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<sst xmlns="http://schemas.openxmlformats.org/spreadsheetml/2006/main" uniqueCount="2877">
  <si>
    <t>id</t>
  </si>
  <si>
    <t>created_at</t>
  </si>
  <si>
    <t>fav</t>
  </si>
  <si>
    <t>rt</t>
  </si>
  <si>
    <t>text</t>
  </si>
  <si>
    <t>media1</t>
  </si>
  <si>
    <t>media2</t>
  </si>
  <si>
    <t>media3</t>
  </si>
  <si>
    <t>media4</t>
  </si>
  <si>
    <t>compound</t>
  </si>
  <si>
    <t>neg</t>
  </si>
  <si>
    <t>neu</t>
  </si>
  <si>
    <t>pos</t>
  </si>
  <si>
    <t>RT @dbongino: One of the final DOJ officials responsible for vetting the spurious information used to spy on the Trump team was Bob Mueller…</t>
  </si>
  <si>
    <t>RT @MSTLGA: @Sticknstones4 @HotPokerPrinces So Far MEC Filings show these Legislators took 
Low Income Housing Tax Credit  $ #Moleg 
Todd…</t>
  </si>
  <si>
    <t>RT @ResignNowKim: A poem for Scott: “Fee Fie Foh @scottfaughn , I smell the stench of a hillbilly pawn. From law he can hide; pretend his c…</t>
  </si>
  <si>
    <t>RT @Norasmith1000: @BryanLowry3 @KCStar I don't really understand what there is to review now, Sneed just admitted on TV that her memory is…</t>
  </si>
  <si>
    <t>RT @JW1057: @stlouisbiz Support Gov. Eric Greitens by signing and sharing petition opposing impeachment and/or censure.  
https://t.co/zo2…</t>
  </si>
  <si>
    <t>RT @MSTLGA: ITS NOT OK FOR YOU TO MAKE YOUR DONORS MILLIONAIRES!     
Todd Richardson 
Caleb Rowdan 
Shamed Dogan
Nicholas Schroer 
Elija…</t>
  </si>
  <si>
    <t>RT @MSTLGA: This is not a woman that was sexually assaulted !  This was a consensual affair
Brought to light by political operatives that c…</t>
  </si>
  <si>
    <t>RT @Avenge_mypeople: When you lack morality, things like lying, cheating, even murder are irrelevant. A little ole coup against a governor…</t>
  </si>
  <si>
    <t>RT @MichaelCohen212: The problem today is if you don’t watch the news on television/cable and/or read the newspapers, you are uninformed. H…</t>
  </si>
  <si>
    <t>RT @sigi_hill: @EricGreitens Stay strong Governor Greitens, we have your back and we are the majority. We want you to say in the office and…</t>
  </si>
  <si>
    <t>RT @magathemaga1: @Avenge_mypeople @grcfay @EricGreitens #moleg #greitens #mogov
The woman already prejudged the case!
hope @TeamGreitens…</t>
  </si>
  <si>
    <t>RT @magathemaga1: So shes a mistress? Well I'm glad that she is no longer claiming to be a  victim.
Funny how this is being leaked on eve…</t>
  </si>
  <si>
    <t>RT @magathemaga1: The problem is the house lied. 
They can’t establish credibility as THEY NEVER EVEN CROSS EXAMINED THE WITNESS 
House t…</t>
  </si>
  <si>
    <t>RT @NSFMill: @magathemaga1 @Str8DonLemon @Avenge_mypeople @grcfay @EricGreitens @TeamGreitens @Rep_TRichardson @joel_capizzi @RSF_LAW @SKOL…</t>
  </si>
  <si>
    <t>RT @Str8DonLemon: #GREITENS CASE SP PREJUDGED CASE, MUST RECUSE!
Fact. She presumed guilt of @EricGreitens by calling accuser a "vicitm".…</t>
  </si>
  <si>
    <t>RT @tkinder: HUGE!! IG Has NO POWER TO SUBPOENA Former Obama Employees — That’s Why Rosenstein Asked Him to Investigate Spying on Trump htt…</t>
  </si>
  <si>
    <t>RT @JW1057: @ksdknews Still don't think this is political? Kitty runs around for months screaming privacy and then gives interview on eve o…</t>
  </si>
  <si>
    <t>RT @Avenge_mypeople: Look, this special prosecutor is so biased, she would be good with convicting men by using anonymous women. That works…</t>
  </si>
  <si>
    <t>RT @CStamper_: Soros-backed prosecutor dropped her case. No evidence. FEC dismissed campaign finance complaint. No evidence. Cole County pr…</t>
  </si>
  <si>
    <t>RT @JW1057: @BryanLowry3 You may want to read this article in your paper. Baker has prejudged the case and proved in accepting appointment…</t>
  </si>
  <si>
    <t>RT @USANEWS007: BREAKING: Netflix board of Directors Susan Rice leaks The Obamas New Fall line up
I spy with my little eye
Trump stole my…</t>
  </si>
  <si>
    <t>@EricGreitens Thank you, Governor! I appreciate all you are doing for the state of Missouri. Praying for you and your lovely family! #IStandWithGreitens</t>
  </si>
  <si>
    <t>RT @CStamper_: Soros-backed prosecutor Kim Gardner’s handling of this case was so unethical and corrupt that a judge has ordered her and he…</t>
  </si>
  <si>
    <t>RT @mattdpearce: The hunt continues for the financier secretly throwing around literal stacks of cash to bring down Missouri’s governor. On…</t>
  </si>
  <si>
    <t>RT @ws_missouri: Scott Faughn continues to hide. Greitens' lawyers couldn't find him for a deposition, and the #moleg committee still has a…</t>
  </si>
  <si>
    <t>RT @YearOfZero: Now DISBAR HER
#moleg #mogov #greitens #stlouis #stl https://t.co/CbsmRuSdSP</t>
  </si>
  <si>
    <t>RT @Avenge_mypeople: Trying to find out who financed this filthy coup in Missouri. Cursory overview of possibilities below. Oh what a tangl…</t>
  </si>
  <si>
    <t>RT @sigi_hill: 🔥 @AGJoshHawley why are you not investigating democRAT House rep @staceynewman?
🔥why aren't you investigating Kitty Sneed's…</t>
  </si>
  <si>
    <t>RT @ChrisDavisMMJ: Eric Greiten’s attorney, Ed Dowd, explains what happened in court today. @ksdknews #Greitens https://t.co/4H21pYpNOz</t>
  </si>
  <si>
    <t>RT @HotPokerPrinces: Missouri House of Representatives: Urgent! Stop the Coup Against Gov. Eric Greitens - Sign the Petition! https://t.co/…</t>
  </si>
  <si>
    <t>RT @HotPokerPrinces: Let’s Play  
Is Your Legislator a Swamp Creature 🧟‍♂️🧟‍♀️
Go to https://t.co/RcPJFwdEMZ   Search candidates reports…</t>
  </si>
  <si>
    <t>RT @WhiteHouse: Too many innocent Americans have fallen victim to the unthinkable violence of MS-13’s animals. What you need to know ⬇️ htt…</t>
  </si>
  <si>
    <t>RT @OliverMcGee: A picture paints a thousand words. https://t.co/Od1bOrO8bG</t>
  </si>
  <si>
    <t>RT @SykesforSenate: Great news for #Missouri! #MOSen #MAGA https://t.co/DrFxc3BVtF</t>
  </si>
  <si>
    <t>RT @YearOfZero: These folks are actually talking about why a scam job the whole #greitens thing is.
Hashtags to look at besides #moleg #mo…</t>
  </si>
  <si>
    <t>RT @YearOfZero: Ali. Where have u been? 
Bunch of #Missouri citizens have been covering witch hunt &amp;amp; con job on @EricGreitens 
Reason us…</t>
  </si>
  <si>
    <t>RT @magathemaga1: @X1Titan @ResignNowKim @TheBluesMan361 @i_like_sykes @HawleyMO @smart_hillbilly @AP4Liberty @SykesforSenate If we don’t f…</t>
  </si>
  <si>
    <t>RT @Str8DonLemon: Also what did @mariachapelleN mean by this tweet??
#moleg #mogov #greitens #missouri #stl #lihtc #taxcredits 
@JohnLamp…</t>
  </si>
  <si>
    <t>RT @Str8DonLemon: What deal did @Mikelkehoe cut with @mikeparson to enable this coup in #Greitens 
Also LIHTC ????
Somebody should be fol…</t>
  </si>
  <si>
    <t>RT @PlatteCountyGOP: Regular Missourians stand up for (and stand behind) Gov. @EricGreitens. https://t.co/4Eqts4vyoi</t>
  </si>
  <si>
    <t>RT @Avenge_mypeople: This can be illustrated in the case of #greitens in Missouri. Every dirty trick imaginable has been used by both Democ…</t>
  </si>
  <si>
    <t>RT @catdeeann: #IStandWithGreitens
#MoLeg
@EricGreitens 
@MOGOP_Chairman 
@MissouriGOP https://t.co/pPgtLzkzm2</t>
  </si>
  <si>
    <t>RT @RealEagleBites: ARREST THEM: Rosenstein and Mueller then ignored their own conflicts and took charge anyway. Rosenstein is a fact witne…</t>
  </si>
  <si>
    <t>RT @88YahamaKeys: So now you are making up your own rules #MoLeg? https://t.co/9VpFLJ8eX2</t>
  </si>
  <si>
    <t>RT @Cernovich: People who were just saying Trump shouldn’t be worried if he doesn’t have anything to hide are triggered like college kids t…</t>
  </si>
  <si>
    <t>RT @MSTLGA: $.58 of every LIHTC was squandered away for decades.  Scamming taxpayers out 1.5 Billion Dollars.  Greitens stopped the scam&amp;amp; s…</t>
  </si>
  <si>
    <t>RT @Sticknstones4: This is Why They want to impeach Governor Greitens.
Tax Credit Millionaires think they run Missouri 
They took 1.3 Billi…</t>
  </si>
  <si>
    <t>RT @ericgraves50: Governor @EricGreitens has now taken the podium to address the crowd. He was welcomed with a standing ovation. @KOMUnews…</t>
  </si>
  <si>
    <t>RT @CStamper_: Unlike Soros-backed prosecutors, lobbyists, greedy special interests, self-interested politicians, and the liberal media, re…</t>
  </si>
  <si>
    <t>@smart_hillbilly Looks like the fix is in</t>
  </si>
  <si>
    <t>RT @Steffi_Cole: Wow, @HawleyMO, your new campaign shirts are really true to your character! #MOSEN #ladderboy #Greitens #bus #leadersnotla…</t>
  </si>
  <si>
    <t>RT @RealJamesWoods: https://t.co/ZsgV5kdaYK</t>
  </si>
  <si>
    <t>@NotThatGoat Goats settled the country? Just kidding - sounds like a lot of hard work, but very commendable!</t>
  </si>
  <si>
    <t>RT @dbongino: A police-state spying play, in 7 acts
1-No spying on Trump team
2-No wiretapping of Trump team
3-No unmasking of Trump team…</t>
  </si>
  <si>
    <t>RT @Sticknstones4: Why doesn’t #moleg want to get to the bottom of the 120K?
Yeah NO , we Demand to know who is buying your votes ! 
#gre…</t>
  </si>
  <si>
    <t>RT @JW1057: @FOX2now Support Gov. Eric Greitens by signing and sharing these two petitions. 
(1) Oppose impeachment and/or censure.  
http…</t>
  </si>
  <si>
    <t>RT @ATeamMom1: What I’ve said ALL ALONG! As has @JCunninghamMO . The statute is clear. “In Office.” https://t.co/VRCyF7pstD</t>
  </si>
  <si>
    <t>RT @JCunninghamMO: What is it people don’t understand about conduct while “in office?”  Seems so simple and straight forward. #moleg. https…</t>
  </si>
  <si>
    <t>RT @magathemaga1: The West County Bag Man is pushing the COUP propaganda hard today 
#moleg #mogov #Greitens https://t.co/FyPHDUDhok</t>
  </si>
  <si>
    <t>RT @Neilin1Neil: due process. No such thing with this #moleg! KANGAROO IMPEACHMENT COURT @KathieConway @EricGreitens @RealTravisCook @YearO…</t>
  </si>
  <si>
    <t>RT @JW1057: @realDonaldTrump Support Gov. Eric Greitens by signing and sharing these two petitions. 
(1) Oppose impeachment and/or censure…</t>
  </si>
  <si>
    <t>RT @magathemaga1: Thanks for pointing this out John. @RepEngler are you ok with #StarChamberBarnes latest motion to not:
👉Not Allow #Greit…</t>
  </si>
  <si>
    <t>RT @wjpennington52: @stltoday Charges should not have been made to begin with, knowing they had no proof. The circuit attorney should be in…</t>
  </si>
  <si>
    <t>RT @RealTravisCook: Because actual voters expressing their concerns and engaging in political discourse is "horrible".  #Greitens #SaveGove…</t>
  </si>
  <si>
    <t>@VisioDeiFromLA Good idea! I rarely go on Facebook so I never thought of that. Thanks!</t>
  </si>
  <si>
    <t>RT @VisioDeiFromLA: @Mizzourah_Mom Not if this motion passes
Please sign this petition
This outlines it better. Please share 
https://t.…</t>
  </si>
  <si>
    <t>@VisioDeiFromLA Signed and shared! Is there anything else we can do? I contacted my state rep as far as that went. I don't think they care what the people of Missouri want.</t>
  </si>
  <si>
    <t>@VisioDeiFromLA Still - doesn't it follow some of the same procedures as a civil case?</t>
  </si>
  <si>
    <t>@VisioDeiFromLA Wow! How is that legal? I thought a defense team had the right to cross-examination. They don't want fairness - they just want #Greitens to be gone and all of us to look the other way.</t>
  </si>
  <si>
    <t>RT @VisioDeiFromLA: COUP CONTINUES 
Jay Barnes doesnt Want #greitens team a chance to cross examine the witnesses with a motion he just fi…</t>
  </si>
  <si>
    <t>@CristieMoss1963 I agree that it is a total witch hunt, but in the #moleg it is bi-partisan. Both sides seem to want him gone so their #LITHC donors get their credits again if Mike Parson becomes the new governor. #dirtypolitics</t>
  </si>
  <si>
    <t>RT @cjtruth: @TheJordanRachel  https://t.co/YTT5SbZ6E7</t>
  </si>
  <si>
    <t>RT @jmoore6201: @FarLeftWatch @PrisonPlanet If the NRA were truly terrorists, the left would openly embrace them</t>
  </si>
  <si>
    <t>RT @CStamper_: These sham charges are disappearing left and right. It’s good to see that when push comes to shove and facts and evidence ar…</t>
  </si>
  <si>
    <t>RT @CStamper_: If you’re tired of political witch hunts and efforts to convict people for the crime of being Republican, sign this petition…</t>
  </si>
  <si>
    <t>@smart_hillbilly Looks anti-semitic, but not unusual for Ron Paul. The blood of the terrorist Hamas Palestinians is on them, not Israel or DC.</t>
  </si>
  <si>
    <t>RT @chapman_sports: @Mizzourah_Mom @Neilin1Neil @EricGreitens @RealTravisCook @Sticknstones4 @KathieConway @inthejungle234 @Norasmith1000 @…</t>
  </si>
  <si>
    <t>RT @tkinder: @JCunninghamMO @EricGreitens @jaybarnes5 @edemery @Koenig4MO @155dr @Dogan4Rep @deanplocher @kurtbahr It’s very obvious the #m…</t>
  </si>
  <si>
    <t>RT @JohnLamping: #moleg If special interests can take out a sitting MOGOV think what will happen to you when you don't vote as you're told…</t>
  </si>
  <si>
    <t>RT @JCunninghamMO: #MOLeg beware. This letter writer expresses what a lot of your base strongly think.  https://t.co/ReVLsgmItg</t>
  </si>
  <si>
    <t>RT @tkinder: #moleg would rather blow up the state, set an impeachment precedent that converts Missouri into Illinois if only they can over…</t>
  </si>
  <si>
    <t>@catdeeann @for_congress Missouri legislators/swamp dwellers are proving they are no better than the ones in DC. Pathetic!</t>
  </si>
  <si>
    <t>RT @CStamper_: Soros-backed prosecutor Kim Gardner tried to take down Greitens. Now the liberal media, self-interested politicians &amp;amp; schemi…</t>
  </si>
  <si>
    <t>RT @HotPokerPrinces: Why does Jay Barnes &amp;amp; Todd Richardson spend so much money on Fake new subscriptions by a supoena evader ?
#Missouricr…</t>
  </si>
  <si>
    <t>RT @Neilin1Neil: https://t.co/EH6inK3Jxw</t>
  </si>
  <si>
    <t>RT @Neilin1Neil: House committee is hell bent on quick impeachment. No reason for it other than leadership fearing the peopleRgoing to infl…</t>
  </si>
  <si>
    <t>RT @Sticknstones4: @Neilin1Neil @EricGreitens @inthejungle234 @liberty1776son @VisioDeiFromLA @DeplorableGoldn @blackwidow07 @edemery With…</t>
  </si>
  <si>
    <t>RT @_Makada_: So the Santa Fe school shooter wore a communist hammer and sickle pin, a gay pride hat, a satanic pentagram and a socialist i…</t>
  </si>
  <si>
    <t>RT @for_congress: https://t.co/uOvGqjZZTB | Missouri prosecutor says he won't file charges against Governor Greitens https://t.co/AxL0gGW29…</t>
  </si>
  <si>
    <t>RT @CollinRugg: Dems keep saying “we need common sense gun laws” in response to the Texas shooting. Here are the facts
The shooter is 17.…</t>
  </si>
  <si>
    <t>RT @RealTravisCook: He's #Antifa.  #SantaFe #SantaFeHighSchool https://t.co/FMC1JfKnx2</t>
  </si>
  <si>
    <t>RT @w_terrence: Public schools should have armed security &amp;amp; metal detectors just like Banks, Courts &amp;amp; Airports. Also a Surveillance Team ju…</t>
  </si>
  <si>
    <t>RT @Str8DonLemon: #Ladderboy at it again!
Hawley shows clear COI so anything he says only be assumed to be coming from his interest in see…</t>
  </si>
  <si>
    <t>@smart_hillbilly @AGJoshHawley Agreed!</t>
  </si>
  <si>
    <t>RT @magathemaga1: Jay Barnes wouldn’t know what Justice means given he has deprived #greitens of Justice by releasing one sided reports, ti…</t>
  </si>
  <si>
    <t>@AGJoshHawley is a real slimeball! I would never vote for him as dog catcher. 😬 https://t.co/vzDKkUCPmw</t>
  </si>
  <si>
    <t>RT @PamelaS49806175: @FOX2now I'm not a fan of Greitens, but I'm beginning to be even LESS a fan of Hawley! He's striking me as a media who…</t>
  </si>
  <si>
    <t>RT @JCunninghamMO: Why?  After two prosecutors dropped their cases for lack of evidence, moving forward by the legislature on @EricGreitens…</t>
  </si>
  <si>
    <t>RT @melody_grover: Someone call Ringling Brothers, because PT Barnum wants his circus back from @jaybarnes5. Somehow #moleg has managed to…</t>
  </si>
  <si>
    <t>RT @mopns: Connects the Dots: Conspiracy Against Governor Coming Into Focus Part 2 https://t.co/2IWNlGazrx</t>
  </si>
  <si>
    <t>RT @RyanAFournier: Stop blaming the NRA for school shootings.
Stop blaming Republicans for school shootings.
Stop blaming law abiding cit…</t>
  </si>
  <si>
    <t>@FOX2now She knew she would ruin herself if she had to testify, so she dropped the charges. She brought this on herself and deserves the fallout.</t>
  </si>
  <si>
    <t>RT @JCunninghamMO: This decision is significant in bringing closure to the @EricGreitens investigations.  https://t.co/gBdo7vErBy</t>
  </si>
  <si>
    <t>Awww, @AGJoshHawley didn't get to further the witch hunt against @GovGreitensMO. Remember this in August, Missouri. We can choose someone better to represent us. #FireClaire https://t.co/YCXuzEYKTo</t>
  </si>
  <si>
    <t>RT @CStamper_: These days there seems to be a lot of folks wanting to charge people with crimes despite a lack of evidence. Good to see som…</t>
  </si>
  <si>
    <t>RT @Avenge_mypeople: Sounds like the description of the welfare state, to me. They get to perform cronyism, enriching their developer/donor…</t>
  </si>
  <si>
    <t>RT @KRCG13: BREAKING NEWS: Cole County prosecutor Mark Richardson will not file criminal charges against Gov. @EricGreitens, as requested b…</t>
  </si>
  <si>
    <t>RT @HorwitzKelly: @CStamper_ Keep on sharing Chris!!  Gov. Greitens is the best thing that has happened to Missouri in a long time!!  He ha…</t>
  </si>
  <si>
    <t>RT @CStamper_: A Soros-backed prosecutor tried to put him in jail. Special interests, self-interested politicians &amp;amp; the liberal media are t…</t>
  </si>
  <si>
    <t>RT @magathemaga1: Good morning #MoLeg 
Where is the West Butler County Bag Man?
And what does Sterling Bank have to do we this whole #Gre…</t>
  </si>
  <si>
    <t>RT @SykesforSenate: Missouri House of Representatives: Urgent! Stop the Coup Against Gov. Eric Greitens - Sign the Petition! https://t.co/8…</t>
  </si>
  <si>
    <t>RT @CStamper_: The words of a voter: “Guilty in the court of public opinion isn’t what we as Missourians should base our verdict on. Let th…</t>
  </si>
  <si>
    <t>RT @Sticknstones4: How can Jay Barnes go through all this discovery before the start of special session ?
This is what a witch hunt looks…</t>
  </si>
  <si>
    <t>RT @JohnLamping: It's the Jeff City insiders who are nervous. The plan was to get him to resign. He was supposed to be gone months ago. Whe…</t>
  </si>
  <si>
    <t>RT @KRCG13: JUST IN: Catherine Hanaway, counsel for Greitens for Missouri, releases statement regarding today's court filing, says governor…</t>
  </si>
  <si>
    <t>RT @Hope4Hopeless1: .@POTUS #Moleg #Mogov #WitchHunt
-Missouri House of Representatives-
 #WeThePeople of #MISSOURI DEMAND that YOU STOP…</t>
  </si>
  <si>
    <t>@ResignNowKim @ws_missouri @Avenge_mypeople @HennessySTL @EdBigCon @kmoxnews @stltoday @blackwidow07 @SKOLBLUE1 @Sticknstones4 @RiverfrontTimes @ChrisHayesTV I happily stand corrected! 😆</t>
  </si>
  <si>
    <t>RT @YearOfZero: 7. “When I Look to my left, I see you.... when I look to my right, I see your friends and family...”
This is why @EricGrei…</t>
  </si>
  <si>
    <t>RT @Sticknstones4: @Biodiesel_Fnd Support  Governor Greitens tell Moleg to stop the Wotch Hunts 
Missouri House of Representatives: Urgent!…</t>
  </si>
  <si>
    <t>RT @ResignNowKim: Missouri House of Representatives: Urgent! Stop the Coup Against Gov. Eric Greitens - Sign the Petition! https://t.co/DJk…</t>
  </si>
  <si>
    <t>@ResignNowKim @ws_missouri @Avenge_mypeople @HennessySTL @EdBigCon @kmoxnews @stltoday @blackwidow07 @SKOLBLUE1 @Sticknstones4 @RiverfrontTimes He won't - you can tell by his comments that he is not an investigative reporter like the story today by @ChrisHayesTV. The #MisLeader is just as biased as the other big papers in the state. The #LITHC queens probably pay the papers/reporters to publish exactly what they want.</t>
  </si>
  <si>
    <t>RT @Brianontheair: Missouri Gov. @EricGreitens is blasting political insiders and the tax credit lobby. He describes them as "ripoff artist…</t>
  </si>
  <si>
    <t>@ChrisHayesTV And when Governor #Greitens actually did something about it he became the enemy and expendable. #MOswamp</t>
  </si>
  <si>
    <t>RT @magathemaga1: The mistake #MoLeg is making is that this is all going to die and goes away should #greitens be impeached.
You thought w…</t>
  </si>
  <si>
    <t>Finally! There is a reporter who is not afraid to do some real investigative work and lay out the real players in the #Greitens case. Thank you @ChrisHayesTV!
Follow the money trail behind the Greitens’ invasion of privacy case – https://t.co/JXccGPDgNH https://t.co/0lraCrSGwZ</t>
  </si>
  <si>
    <t>@grcfay @CStamper_ Hawley's in this up to his eyeballs too. Why else would he start to look for a second charge in case the invasion case went down - also after he asked Greitens to resign.</t>
  </si>
  <si>
    <t>RT @CStamper_: At a housing project in Cape Girardeau “per apartment unit, (taxpayers paid) $376,000.” Per unit! Governor Greitens put a st…</t>
  </si>
  <si>
    <t>RT @HennessySTL: Register here to be part of the "Hour and Day" event in Jefferson City. Be a modern "Minute Man." Events unfolding fast .…</t>
  </si>
  <si>
    <t>RT @magathemaga1: Al says 120k to bring down @ericgreitens came from "wealthy Republican"
Who is Republican?
Who hates #Greitens
Who would…</t>
  </si>
  <si>
    <t>RT @HennessySTL: The Tax-Credit Lobby is Missouri's premier organized crime syndicate. Bribery, extortion, intimidation, racketeering, infl…</t>
  </si>
  <si>
    <t>RT @HennessySTL: Be the Pollster! Poll your Missouri State Rep. Record Results Here. "Impeachment, Yay or Nay?"
→ https://t.co/zNqPo8Rp20…</t>
  </si>
  <si>
    <t>RT @Sticknstones4: @latimes Dig further , look into JES Holdings LLC  Jeff Smith 
His company receives the largest amount of Low Income Hou…</t>
  </si>
  <si>
    <t>RT @latimes: The lawyer who got $120,000 to bring down Missouri's GOP governor says he was told it came from a wealthy Republican https://t…</t>
  </si>
  <si>
    <t>RT @Sticknstones4: HEY #MOLEG  LOOK AT HOW SLEEZY SCAMMING SCOTT FAUGHN IS !  LA TIMES IS HOT ! THEYRE FOLLOWING THE MONEY 💰 STERLING BANK…</t>
  </si>
  <si>
    <t>RT @CStamper_: This is the sort of crap driving the witch hunt to oust Missouri Governor Eric Greitens. No shocker that the local media nev…</t>
  </si>
  <si>
    <t>RT @CStamper_: Why would Scott Faughn blatantly lie about these payments, and why does nobody in #moleg seem to care?  https://t.co/7RcjCE0…</t>
  </si>
  <si>
    <t>RT @Neilin1Neil: There is such a great deal of hate amongst the #MoLeg that want Greitens out.All because he does not play their game and c…</t>
  </si>
  <si>
    <t>RT @TheMarkPantano: It appears that the Democrat Party has a 3-point platform:
1. Hate Men
2. Hate White People
3. Hate Trump</t>
  </si>
  <si>
    <t>RT @Sticknstones4: Jay Barnes, Todd Richardson, Elijah Haahr, Jamilah nasheed, Doug Libla, Gary Romine, Ron Richard , 
Gina Walsh, Rob Scha…</t>
  </si>
  <si>
    <t>RT @DeplorableGoldn: RT 🚨👇
#OccupyJeffCity 
The peasants are coming!
@HennessySTL 
@EricGreitens @Eric_Schmitt @BillEigel @TeamGreitens…</t>
  </si>
  <si>
    <t>RT @ResignNowKim: So, who’s up for #OccupyJeffCity ? Those of us who can, let’s take our tents and campers and RVs and go tailgate/camp out…</t>
  </si>
  <si>
    <t>RT @HotPokerPrinces: @MariaChappelleN The Missouri millionaires have used &amp;amp; abused the tax payers long enough.  TIMES UP,  Moleg needs to s…</t>
  </si>
  <si>
    <t>RT @JCunninghamMO: Consensual is the key. She kept coming back. That is not a victim. It is a participant. https://t.co/aJQWi4I0CN</t>
  </si>
  <si>
    <t>RT @YearOfZero: But not #KimShady investigators?
This is a coup
#moleg #mogov @Neilin1Neil @JW1057 @BobOnderMO @KevinCorlew @BillEigel @B…</t>
  </si>
  <si>
    <t>RT @YearOfZero: Jeff Smith?
Nobody wants to say the name but I’ll say it. Did the money come from Jeff Smith as rumored? Is #MoLeg investi…</t>
  </si>
  <si>
    <t>@MSTLGA That's why they want him gone. Lt. Gov. Parsons would allow the stealing from the MO poor to continue.</t>
  </si>
  <si>
    <t>RT @MSTLGA: Where can i find the auditors report on the Low Income Housing Tax Creidts ? 
Why did #Moleg allow years of inefficiency &amp;amp; abu…</t>
  </si>
  <si>
    <t>RT @JW1057: @ws_missouri Comm. caused own problems. Released 1st report 4/11 and haven't done anything with it. Could't wait a month until…</t>
  </si>
  <si>
    <t>RT @NickBoles: Yesterday I criticised Israel's handling of the protests at the Gaza border. I should not have been so quick to judge. We no…</t>
  </si>
  <si>
    <t>RT @Str8DonLemon: Yo #MoLeg
I see you still got ur witch hunt going!
Remember, there would be no second indictment without the first indi…</t>
  </si>
  <si>
    <t>@Sticknstones4 @ksdknews Agreed! Now if we could find out which MO house committee members received donations from the #LIHTC millionaires, are related to them, or will be working for them when they leave office.</t>
  </si>
  <si>
    <t>RT @Sticknstones4: @Mizzourah_Mom @ksdknews 1.5 billion awarded , only 42 cents of every dollar stayed in state for the project ... the oth…</t>
  </si>
  <si>
    <t>@Sticknstones4 @ksdknews They should - and I would bet one of them is short about $120,000.</t>
  </si>
  <si>
    <t>RT @Sticknstones4: @ksdknews Moleg should question &amp;amp; Audit all the recipients of low income housing tax credits for the last 20years</t>
  </si>
  <si>
    <t>RT @ResignNowKim: (1) RE: #SpecialSession : Every single #moleg needs to disclose all monies received from any tax credit queen donor.  Inc…</t>
  </si>
  <si>
    <t>RT @ResignNowKim: (2) All #moleg need to be required to do this. And if they aren’t willing to do it, then that entitles PUBLIC to an adver…</t>
  </si>
  <si>
    <t>RT @Claire_Kellett: The attorneys for Governor @EricGreitens want to publicly question the woman with whom he had an affair. https://t.co/m…</t>
  </si>
  <si>
    <t>RT @CalebJHull: This morning, a man opened fire on an Illinois High School. 
An armed resource officer confronted him and shot the gunman…</t>
  </si>
  <si>
    <t>RT @JacobAWohl: CONFIRMED: The FBI wiretapped and snooped on texts belonging to Trump Campaign officials in the run-up to the election usin…</t>
  </si>
  <si>
    <t>RT @smart_hillbilly: Josh Hawley's campaign shirts are out! #MOSen #moleg #Greitens #MidTerms #WednesdayWisdom 
#LeadersNotLadders #LadderB…</t>
  </si>
  <si>
    <t>RT @ROHLL5: 💥Greitens’ lawyers want to publicly question former mistress, other witnesses‼️‼️‼️‼️‼️‼️
Let’s go Public!!!!! 💯
Bring it!!!!…</t>
  </si>
  <si>
    <t>RT @Neilin1Neil: Some reps/senators against Greitens terms are up, and do not care about threat to not vote for them.
Write letters to edit…</t>
  </si>
  <si>
    <t>@Neilin1Neil @edemery @KathieConway Great idea! Will be interesting to follow what lobbying/consulting jobs they take for employers with low income tax housing credit ties after they leave office.</t>
  </si>
  <si>
    <t>RT @JCunninghamMO: Unfortunately I agree. After spending 12 years at the Capitol, I’m perplexed at the seemingly headlong effort 2 overturn…</t>
  </si>
  <si>
    <t>RT @bridgetp1961: @MSTLGA No need for MO citizens to vote ...... the Gods in Jefferson City think they have the power to choose our elected…</t>
  </si>
  <si>
    <t>RT @MSTLGA: #Moleg stop screwing over the voters with your Corruption &amp;amp; Greed 
Low Income Housing Tax Credits have been in need of reform f…</t>
  </si>
  <si>
    <t>RT @JW1057: @jmannies I've long argued @GovGreitensMO should testify before Comm. once criminal case ended. Comm. making me reconsider posi…</t>
  </si>
  <si>
    <t>RT @CStamper_: Sounds like the FBI is investigating the shady $100,000 cash payment that went to one of the witnesses’ attorney in Soros-ba…</t>
  </si>
  <si>
    <t>RT @_p4z_: When you're a dead Palestinian martyr but your nose keeps itching 
https://t.co/WUh60xq7t5</t>
  </si>
  <si>
    <t>RT @tkinder: Senate &amp;amp; #moleg aren’t on mission to undo Governor .@EricGreitens work. They are on mission to overturn his election by Missou…</t>
  </si>
  <si>
    <t>RT @smart_hillbilly: #LadderBoy thinks he can sellout the duly elected governor of his own party and become senator? #moleg #mosen #NeverHa…</t>
  </si>
  <si>
    <t>RT @joel_capizzi: AWOL from the campaign trail, Josh Hawley is too busy framing the governor, pumping iron, buying wine and more.
The Misso…</t>
  </si>
  <si>
    <t>RT @toadtws: Photo caption: Missouri @AGJoshHawley takes time off from undermining Gov. Greitens to speak with a constituent. https://t.co/…</t>
  </si>
  <si>
    <t>RT @RealJack: Planned Parenthood slaughters nearly 900 babies a day.
Democrats support it.
But Democrats are so morally outraged over the…</t>
  </si>
  <si>
    <t>RT @YearOfZero: This is a good thread on what to do to stop THE COUP against #Missouri voters
#moleg #mogov #greitens @MissouriGOP @TeamGr…</t>
  </si>
  <si>
    <t>RT @JW1057: @EricGreitens  I am so proud that you are fighting the good fight. I stand behind you. I know that this was just one battle in…</t>
  </si>
  <si>
    <t>Missouri voters - contact your MO representative and let them know what you think about the witch hunt against Governor #Greitens. Let them know they should not expect their voters to forget and re-elect any reps who do not truly represent us and act to invalidate our votes.</t>
  </si>
  <si>
    <t>RT @YearOfZero: Just a reminder 
@MOHOUSECOMM @MOHouseGOP @MOHouseDems A friendly reminder that a vote to impeach/censure @GovGreitensMO i…</t>
  </si>
  <si>
    <t>RT @ATeamMom1: St. Louis police launching investigation into Greitens case investigator. Tap here or watch at 4 for more information.
(Via…</t>
  </si>
  <si>
    <t>RT @MarcCox971: Poor Circuit Atty Gardner. On a seek &amp;amp; destroy mission against Gov Greitens with no evidence - but it’s her “integrity” tha…</t>
  </si>
  <si>
    <t>RT @EricGreitens: Today is #PeaceOfficersMemorialDay, a day to remember the fallen heroes who gave their lives in pursuit of justice and pe…</t>
  </si>
  <si>
    <t>RT @Neilin1Neil: Seems to me people n high places n both parties (the swamp) are determined to get MO Gov, &amp;amp; will stop at nothing to do it.…</t>
  </si>
  <si>
    <t>RT @JW1057: @MOHOUSECOMM @MOHouseGOP @MOHouseDems A friendly reminder that a vote to impeach/censure @GovGreitensMO is a vote against your…</t>
  </si>
  <si>
    <t>@tkinder @Monetti4Senate Claire McCaskill is the weakest Democrat up for re-election, but it looks like the GOP is handing her the re-election. #ladderboy is more concerned with railroading the governor and most people haven't heard of the other 3 candidates.</t>
  </si>
  <si>
    <t>RT @Sticknstones4: @MarkReardonKMOX I Disagree with John Hancock
1) u just said you were going to have greitens on air this week. 2) he doe…</t>
  </si>
  <si>
    <t>RT @CStamper_: More bad news for Soros-backed prosecutor Kim Gardner &amp;amp; her handpicked investigator Tisaby: Tisaby is now under investigatio…</t>
  </si>
  <si>
    <t>RT @philip_saulter: @Mizzourah_Mom @Neilin1Neil @EricGreitens @RealTravisCook @Sticknstones4 @KathieConway @inthejungle234 @Norasmith1000 @…</t>
  </si>
  <si>
    <t>RT @Sticknstones4: @Avenge_mypeople @magathemaga1 @Eric_Schmitt @Rep_TRichardson @willscharf @HotPokerPrinces @RealTravisCook @smart_hillbi…</t>
  </si>
  <si>
    <t>@STL_Blonde @MissouriGOP The sad thing is the #moleg committee said that this will not change anything. They are full steam ahead to railroad/impeach and remove the governor.</t>
  </si>
  <si>
    <t>RT @JW1057: You should move to unseal court records, including depositions, and use them as exhibits. We are here to fight for you. @Sheena…</t>
  </si>
  <si>
    <t>RT @JW1057: Our corrupt @stlcao! https://t.co/pyPRDijlXX</t>
  </si>
  <si>
    <t>RT @SKOLBLUE1: Absolutely! @stlcao office needs to investigated along with Tisaby and Sullivan. #KimShady aka Kim Gardner needs to be disba…</t>
  </si>
  <si>
    <t>RT @JW1057: @BryanLowry3 To the contrary this case was all about Ms. Gardner and Mr. Tisaby. Ms. Gardner filed the case and Mr. Tisaby trie…</t>
  </si>
  <si>
    <t>@Neilin1Neil @EricGreitens @RealTravisCook @Sticknstones4 @KathieConway @inthejungle234 @Norasmith1000 @liberty1776son I'm glad he didn't roll over and resign. Now we have to figure out how to help him against a corrupt #moleg.</t>
  </si>
  <si>
    <t>RT @FOX2now: Greitens’ lawyer to file police report against Kim Gardner, investigator https://t.co/6Oq8R8iQCd https://t.co/GKIfjQtNdq</t>
  </si>
  <si>
    <t>RT @Sticknstones4: Wonderful ! Lock her &amp;amp; Tisaby Up
No playing the victim card either Kimmy!
you abused your power &amp;amp; duty for politics ,…</t>
  </si>
  <si>
    <t>RT @CStamper_: As if having her witch hunt dismissed yesterday weren’t bad enough for Soros-backed prosecutor Kim Gardner, now a police rep…</t>
  </si>
  <si>
    <t>RT @BryanLowry3: .@EricGreitens' legal team says it's filing a police report about alleged perjury of private investigator who was hired by…</t>
  </si>
  <si>
    <t>RT @CStamper_: Soros-backed Kim Gardner handpicked an investigator who repeatedly committed perjury, hid evidence, and created false eviden…</t>
  </si>
  <si>
    <t>@MikeMynatt1 @MtRushmore2016 And I hope that she gets nailed for prosecutotrial misconduct. Our justice system should never be used for a political witch hunt.</t>
  </si>
  <si>
    <t>@MikeMynatt1 @MtRushmore2016 And that she was aware that her special investigator lied to the grand jury, that she hid evidence from the defense, that she personally met with the main witness OR would have had to plead the 5th to avoid admitting all of these mistakes</t>
  </si>
  <si>
    <t>RT @Avenge_mypeople: 2) @EricGreitens plan to put a stop to it is what stirred up this hornets nest of vipers. Even though the corrupt #Kim…</t>
  </si>
  <si>
    <t>RT @Avenge_mypeople: There is some seriously underhanded, dirty politics in Missouri. Behind it all- the attempted prosecution of the gover…</t>
  </si>
  <si>
    <t>RT @ws_missouri: Attorneys for @EricGreitens and the governor's office have proposed the following special session schedule. They also have…</t>
  </si>
  <si>
    <t>RT @MtRushmore2016: Turning the tables on corrupt prosecutors! 👌🏼 Charge Against MO. Gov. Eric Greitens Dropped After Defense Allowed to Pu…</t>
  </si>
  <si>
    <t>RT @CStamper_: When Soros-backed prosecutor Kim Gardner found herself on the eve of trial with no witness and a slew of unethical and illeg…</t>
  </si>
  <si>
    <t>RT @strmsptr: #moleg has lost the moral authority and ability to lead...  #WeThePeople will be like bulls in a china shop come November. Co…</t>
  </si>
  <si>
    <t>@smart_hillbilly @AP4Liberty @TheTrussel Wow! I will remember that.</t>
  </si>
  <si>
    <t>@smart_hillbilly @AP4Liberty @TheTrussel So @AP4Liberty called people who attended a Trump rally fascists?</t>
  </si>
  <si>
    <t>RT @SKOLBLUE1: @tkinder @EricGreitens There is an all out war on #Greitens and the #corruption runs so deep in #STL and #Missouri  Very Sad!</t>
  </si>
  <si>
    <t>RT @NassimBnchabane: Defense team in Gov. #Greitenstrial statement after charge dismissed as CA seeks special prosecutor #moleg https://t.c…</t>
  </si>
  <si>
    <t>Behind the scenes in the dismissed Governor case and what’s next – https://t.co/JXccGPDgNH https://t.co/imNRfd6CVF</t>
  </si>
  <si>
    <t>RT @CStamper_: As Soros-backed Kim Gardner focuses on her witch hunt, “almost half of all cases brought before the circuit attorney's offic…</t>
  </si>
  <si>
    <t>RT @VP: We stand with Israel because her cause is our cause, her values are our values, and her fight is our fight. 
We stand with Israel…</t>
  </si>
  <si>
    <t>@smart_hillbilly @VisioDeiFromLA @magathemaga1 @Sticknstones4 @Nov2018election @Hope4Hopeless1 @BigLeague2020 Lol! 😅 #ladderboy and #trashcanclaire</t>
  </si>
  <si>
    <t>RT @aaron_hedlund: What we observed today was a politically motivated, incompetent prosecutor with no evidence throw in the towel rather th…</t>
  </si>
  <si>
    <t>RT @tkinder: At this point it’s becoming clear #moleg isn’t concerned about the facts so much as removing Governor .@EricGreitens  from off…</t>
  </si>
  <si>
    <t>RT @tkinder: #MoLeg won’t let a few facts get in the way of the witch hunt against Governor .@EricGreitens https://t.co/HQ0esLxgzo</t>
  </si>
  <si>
    <t>RT @countryboyexec: @CStamper_ @Mizzourah_Mom I want a Special Prosecutor on Kim Gardner for Malicious Prosecution &amp;amp; filing a False Charge…</t>
  </si>
  <si>
    <t>RT @magathemaga1: You also going to demand apology from @jaybarnes5 for releasing incomplete testimony that wasnt cross examined &amp;amp; thus not…</t>
  </si>
  <si>
    <t>RT @JakeGrayPoliSci: This is why I think #MoLeg should have waited to act. With all the new evidence coming out including Judge Burlison’s…</t>
  </si>
  <si>
    <t>RT @daisydorie: Congrats to our first family of Missouri. Let's keep making Missouri a great state. @EricGreitens  #Greitens 
          nev…</t>
  </si>
  <si>
    <t>RT @Sticknstones4: Governor Eric Greitens Press Conference after Felony Invasion of Privacy Case was dropped 
We Have a great Mission Befo…</t>
  </si>
  <si>
    <t>RT @JW1057: @EricGreitens Please remember going forward we must restrain the power of prosecutors. Too many prosecutors are deposed to abus…</t>
  </si>
  <si>
    <t>RT @christoferguson: Kim Gardner screwed this case up bad. And she should feel bad. And so should citizens of #StL City  who are at risk of…</t>
  </si>
  <si>
    <t>RT @CStamper_: Soros-backed prosecutor, with no evidence &amp;amp; with her unethical &amp;amp; illegal behavior under scrutiny, waived the white flag.  Ma…</t>
  </si>
  <si>
    <t>@EricGreitens Congratulations, Governor! We have been praying for you and believed this was a political witch hunt from day one.</t>
  </si>
  <si>
    <t>RT @JohnAMDG: @suzannamimi @jrosenbaum @EricGreitens Kim "Where's the Picture" Gardner demonstrates that St. Louis isn't ready for reform y…</t>
  </si>
  <si>
    <t>RT @AbbyLlorico: Governor @EricGreitens delivers a brief statement but takes no questions following the dismissal of his invasion of privac…</t>
  </si>
  <si>
    <t>RT @RougeOperator1: @DRUDGE_REPORT Prosecutor misconduct. The entire thing was political from the start. And the GOP that back stabbed him…</t>
  </si>
  <si>
    <t>RT @catdeeann: Awesome news for @EricGreitens! 
I wonder how all those people who threw him under the bus feel. Including RINO @HawleyMO!
H…</t>
  </si>
  <si>
    <t>@Nanci_TattooU @magathemaga1 @jrosenbaum @willscharf @Shawtypepelina @SKOLBLUE1 @RealTravisCook @Neilin1Neil @Avenge_mypeople @blackwidow07 @Hope4Hopeless1 @ByronYork How exactly did he invade her privacy when there was NO photo to prove he invaded her privacy?</t>
  </si>
  <si>
    <t>@smart_hillbilly How they plan to prove he took the photo and "invaded her privacy" when the photo does not exist is beyond me!</t>
  </si>
  <si>
    <t>@smart_hillbilly They are hoping that if they refile it with a special prosecutor it wouldn't look as bad when the defense calls Gardner to testify about her role in this. That's the whole reason the CA dropped it this time. The defense could show it was a politically motivated hit job.</t>
  </si>
  <si>
    <t>RT @Norasmith1000: Can disbarment proceedings begin now against #kimgardner please? #moleg #mogov</t>
  </si>
  <si>
    <t>This should have been dismissed a long time ago. #witchhunt
Prosecutors drop charge against Greitens https://t.co/6kL6OmxiEk</t>
  </si>
  <si>
    <t>RT @Boothe08887997: Always follow the money. The developers aren't in it for the benefit of their fellow man. https://t.co/ErujgO08hj</t>
  </si>
  <si>
    <t>RT @KaynarOhad: Last thought of the day: to the #liberal #bigots who don't hold #Palestinians accountable to same standards we all abide by…</t>
  </si>
  <si>
    <t>RT @CStamper_: Gardner’s witch hunt “was a weak case from the beginning, and the prosecution has admitted that they DO NOT have the photogr…</t>
  </si>
  <si>
    <t>RT @CStamper_: In witch hunts the prosecution isn't "interested in winning so much as in damaging the accused politically. And this is espe…</t>
  </si>
  <si>
    <t>@rothfarms @Boothe08887997 @DeniseYust @ChrisHayesTV According to the audit only $.42 per dollar actually was used - the other $.58 went into the developer's pockets. Someone didn't want it to end or be replaced by something less lucrative.</t>
  </si>
  <si>
    <t>@Boothe08887997 @DeniseYust @ChrisHayesTV That's true. His following through on the low income housing tax credits was probably the main reason they all want him gone.</t>
  </si>
  <si>
    <t>RT @Sticknstones4: Many #Moleg Memebers let Missouri get ripped off for years
Governor Greitens put an end to it 
This is why they want t…</t>
  </si>
  <si>
    <t>@DjLots3 @jllgraham Amen! 🙏</t>
  </si>
  <si>
    <t>RT @CStamper_: Soros-backed prosecutor Kim Gardner has finally abandoned her desperate search for the evidence she should have had in hand…</t>
  </si>
  <si>
    <t>RT @CStamper_: We are about to find out what happens when a Soros-backed prosecutor takes a case to trial without literally any actual evid…</t>
  </si>
  <si>
    <t>RT @thealexvanness: How dare Israel protect itself from violent rioters hoping to illegally break through it's border so they can murder th…</t>
  </si>
  <si>
    <t>RT @IsraeliPM: God bless the United States of America and God bless Jerusalem, the eternal, undivided capital of Israel. https://t.co/hgetP…</t>
  </si>
  <si>
    <t>@realDonaldTrump Thank you, Mr. President. May God bless you and Israel forever. “I will bless those who bless you, And I will curse him who curses you; And in you all the families of the earth shall be blessed” (Genesis 12:3)</t>
  </si>
  <si>
    <t>@IsraeliPM @POTUS May the Lord bless Israel and Jerusalem forever!</t>
  </si>
  <si>
    <t>RT @StevenDialTV: Tough task ahead for the prosecution. Trying to convince 12 jurors that Gov. Greitens took a nude photo. This morning pro…</t>
  </si>
  <si>
    <t>RT @CStamper_: “Isn’t anyone interested in the questions about the political motivations in this whole ordeal?” Well, some of us are. Unfor…</t>
  </si>
  <si>
    <t>@DeniseYust @ChrisHayesTV Actually it looks like a bi-partisan takedown. Dems are outnumbered in the #moleg and still they got 3/4 of the members to call for a special session even before this farce plays out.</t>
  </si>
  <si>
    <t>RT @rothfarms: @ChrisHayesTV Kim Gardner has turned St Louis into a kangaroo court for all the world to see. Pathetic. She should be disbar…</t>
  </si>
  <si>
    <t>RT @HotPokerPrinces: @ChrisHayesTV You don’t say , a guy goes on trial for taking photo that the prosecutor says he took because a woman mi…</t>
  </si>
  <si>
    <t>RT @ChrisHayesTV: The MO Gov's iCloud photos have been obtained. According to defense atty Jim Martin, the CA received records from Apple l…</t>
  </si>
  <si>
    <t>RT @YearOfZero: @AngelaLily0501 @magathemaga1 @EricGreitens @MOGOP_Chairman @Rep_TRichardson @ByronYork @MOHouseGOP @gatewaypundit @Norasmi…</t>
  </si>
  <si>
    <t>RT @creasolepole: @Uncle_Jimbo They were warned the day before that Israel would protect its borders. https://t.co/PfQizvIHAO</t>
  </si>
  <si>
    <t>RT @Uncle_Jimbo: Breaking News: Attempting to forcibly invade a sovereign nation can get you killed https://t.co/heIR6I83Rv</t>
  </si>
  <si>
    <t>RT @_Makada_: The American mainstream media is referring to jihadist rioters in Gaza as "peaceful protesters." These Islamic terrorists are…</t>
  </si>
  <si>
    <t>RT @CDTCivilWar: The Missouri Capitol News Association, by a 7-0 vote, has revoked the membership of @MissouriTimes due to the payments by…</t>
  </si>
  <si>
    <t>RT @RealCandaceO: Q: Why would terrorists send innocent young children to a militarized border that they aren’t allowed to cross?
A: So tha…</t>
  </si>
  <si>
    <t>RT @Ostrov_A: Laughable if it wasn't so tragic. At end of day, responsibility for violence in #Gaza solely the fault of Hamas &amp;amp; Palestinian…</t>
  </si>
  <si>
    <t>RT @elderofziyon: How many times have we seen this:
* An event happens
* Palestinian Arabs decide to violently riot in protest
* Europe bl…</t>
  </si>
  <si>
    <t>RT @hrtablaze: This is the guy who Organized today's day of rage and the storming of Israel's borders ! These are the people that leftists…</t>
  </si>
  <si>
    <t>RT @HennessySTL: Missouri is more corrupt than Russia.  Missouri’s oligarchs are out to get @EricGreitens. The evil oligarchs want your tax…</t>
  </si>
  <si>
    <t>RT @magathemaga1: Quit trying to change the subject.
Your talking about dark money. Let’s talk about dark money.
Who Gave Scott Faughn th…</t>
  </si>
  <si>
    <t>RT @IsraeliPM: This is a momentous time. @POTUS Trump is making history. We are deeply grateful and our people will be eternally grateful f…</t>
  </si>
  <si>
    <t>RT @GovMikeHuckabee: It's midnight in Jerusalem and after several days in Galilee, back in capitol for opening of US Embassy on 70th annive…</t>
  </si>
  <si>
    <t>RT @magathemaga1: @RGreggKeller 
Was going through #MoLeg tweets &amp;amp; a tweet of yours caught my eye
Whipping votes?  
“Failure to see ‘The…</t>
  </si>
  <si>
    <t>RT @_Makada_: Arrest John Kerry for violating the Logan Act and working with terrorists. https://t.co/PrNd2UXtxi</t>
  </si>
  <si>
    <t>RT @Sticknstones4: When you have cash payments , closed door sessions, indictments without evidence &amp;amp; witnesses evading a supoena   You bet…</t>
  </si>
  <si>
    <t>RT @GartrellLinda: BEAUTIFUL TRIBUTE TO AMERICA BY ISRAEL
Flowers laid out in the shape of the American flag are displayed along the road l…</t>
  </si>
  <si>
    <t>RT @s_kupp: @HawleyMO 
I’d move very carefully.
It looks like you’re looking for anything to remove #Greitens.
You’re very close to looking…</t>
  </si>
  <si>
    <t>RT @ResignNowKim: @stltoday Maybe they’ll hold a hearing about @staceynewman and @stlcao @kimgardner77th  and Newman’s son’s tax credit con…</t>
  </si>
  <si>
    <t>The Great Greitens Railroading https://t.co/9Vjxp0H3Hs via @AmericanThinker</t>
  </si>
  <si>
    <t>RT @christoferguson: Game, set, match: No images of ex-mistress found on #moGov. Greitens phone.  No images taken on date in question. No i…</t>
  </si>
  <si>
    <t>RT @CStamper_: Soros-backed Kim Gardner has already committed numerous sanctionable violations in her politically-motivated witch hunt agai…</t>
  </si>
  <si>
    <t>RT @CStamper_: Already two days into jury selection and Soros-backed Kim Gardner is still desperately in search of evidence she should have…</t>
  </si>
  <si>
    <t>RT @MZHemingway: I would love nothing more than a genuine investigation into the bipartisan swampiness of political access being traded for…</t>
  </si>
  <si>
    <t>RT @Sticknstones4: GOT MILK ?🐄🥛
No photo is more like spilt milk
#greitens #findfaughn https://t.co/r0mx0GZsgg</t>
  </si>
  <si>
    <t>RT @TWPundit: Pope Francis is Demanding Americans Bow to the New World Order.
https://t.co/4WZ9fKcxWM</t>
  </si>
  <si>
    <t>RT @sigi_hill: @ChrisHayesTV On the other hand the MO mediamob suppresses the findings on KS aka #KatrinaKittyAnneSneed's phone about her c…</t>
  </si>
  <si>
    <t>RT @SKOLBLUE1: @ChrisHayesTV This is a disgusting portrayal of the legal profession. Kim Gardner needs to be disbarred and punished ASAP. #…</t>
  </si>
  <si>
    <t>RT @ChrisHayesTV: We now know what forensic experts found on the Governor's phone. According to the defense, 16,000 images were reviewed &amp;amp;…</t>
  </si>
  <si>
    <t>RT @CStamper_: Not one of 16,000 photos is of the alleged victim AND there is no photo that any photo was even taken on the date in questio…</t>
  </si>
  <si>
    <t>RT @Sticknstones4: Public defenders are asking the court to take action against the St. Louis Circuit Attorney's Office for failing to foll…</t>
  </si>
  <si>
    <t>RT @jerome_corsi: SHOCKING REVELATION: FBI Hid A Mole In The Trump Campaign https://t.co/nERrvONbWg … VERY SERIOUS development &amp;amp; the REASON…</t>
  </si>
  <si>
    <t>RT @magathemaga1: Good Morning #MoLeg
We need to talk
We still dont know where Scott Faughn is
We still dont know where the money came f…</t>
  </si>
  <si>
    <t>RT @shesova: This man Faughn runs the Missouri Times. He has a real bone to pick with @EricGreitens Suddenly he has $50K in cash delivered…</t>
  </si>
  <si>
    <t>RT @Sticknstones4: @shesova @EricGreitens @TuckerCarlson @FoxNews @molegislature Late Motions reveal Faughns hands delivered a total of 70k…</t>
  </si>
  <si>
    <t>RT @RealTravisCook: Hey now--the kitty (Sneed, that is) screwed the Governor just as much as he screwed her.  She's just as much to blame f…</t>
  </si>
  <si>
    <t>RT @magathemaga1: Tell me again how there shouldn’t be a bench trial? They have people tainting the poll right outside the court house!
#g…</t>
  </si>
  <si>
    <t>RT @HotPokerPrinces: WHEN THE SHERIFF GIVES YOU A HUG  &amp;amp; PATS YOU ONTHE BACK FOR SUPPORT 
YOU KNOW ITS A WITCH HUNT  !    GO GOVERNOR GREI…</t>
  </si>
  <si>
    <t>RT @memoriadei: For so many who say they believe in our Constitution and justice system, there seems to be a lot who believe #Greitens is g…</t>
  </si>
  <si>
    <t>RT @MSTLGA: FOLLOW THE MONEY
Who was the source of the 120K Cash ?
#Moleg #MoGov #Greitens https://t.co/d1nMvvWoBc</t>
  </si>
  <si>
    <t>RT @magathemaga1: #GreitensTrial
Wonder if any of the potential jurors know #Moleg was coordinating with the circuit attorneys office???…</t>
  </si>
  <si>
    <t>RT @MSTLGA: Simply Outrageous Behavior 
Not Shocking Though
This is what the Far Left has Resulted too 
Sumbodybetter start to investigate…</t>
  </si>
  <si>
    <t>RT @sigi_hill: @LaurenTrager @KMOV @HafnerMO @EricGreitens @missioncontinue Why don't you report the revealing Kitty Sneeds text messages,…</t>
  </si>
  <si>
    <t>RT @magathemaga1: #Missouri Media
Scott Faughn DICTATING journalism in state, as none of U, with few exceptions, will report where money h…</t>
  </si>
  <si>
    <t>@smart_hillbilly @BreitbartNews It's been very eye-opening. Looks like Missouri is as big of a swamp as D.C. Sad!</t>
  </si>
  <si>
    <t>@smart_hillbilly @BreitbartNews Easy answer - #taxcredits</t>
  </si>
  <si>
    <t>EXCLUSIVE – Hantler: The Four Shocking Messages That Reveal The Democrat Witch Hunt Against Republican Gov. Eric Greitens https://t.co/lscziao3nd via @BreitbartNews</t>
  </si>
  <si>
    <t>RT @mopns: Rep. Stacy Newman &amp;amp; Key Prosecution Witness Collude But Judge Allows Her Testimony Anyway https://t.co/r0uL66A0IW</t>
  </si>
  <si>
    <t>RT @sigi_hill: @Avenge_mypeople @staceynewman Same corrupt #DemocRAT #MORepStaceyNewman #MoLeg texted alleged victim 
“my House Dem leaders…</t>
  </si>
  <si>
    <t>RT @CStamper_: “A prosecutor knows not to meet a witness alone. It’s simply not done.” Yet Soros-backer prosecutor Kim Gardner and her “lea…</t>
  </si>
  <si>
    <t>@smart_hillbilly @Cernovich His version of a gorilla must be a gorilla sculpture made of snowflakes! ❄❄❄</t>
  </si>
  <si>
    <t>RT @CStamper_: Prior to opening an investigation, and without disclosing it, Soros-backed prosecutor Kim Gardner communicated “with Missour…</t>
  </si>
  <si>
    <t>RT @CStamper_: While Soros-backed prosecutor Kim Gardner focused on her political witch hunt, “almost half of all felony cases from 2018 ha…</t>
  </si>
  <si>
    <t>RT @VisioDeiFromLA: So, we still have investigative reporters, don't we?
This is very critical.
It needs to be investigated and it  shows…</t>
  </si>
  <si>
    <t>RT @Sticknstones4: Maybe Lobbysists are Hiding Scott Faughn ?
Where There’s Lobbyists &amp;amp; Liquor , Scott’s a near 
#FindFaughn #Moleg #Bias…</t>
  </si>
  <si>
    <t>RT @Sticknstones4: Where is Scott Faughn Hiding ?
Sauget Strip Clubs ?
Casino’s ?
Sizzler’s All U Can Eat Buffet ?
Lake of the Ozarks ?…</t>
  </si>
  <si>
    <t>RT @Sticknstones4: Mo’ Money Mo’Money Mo’Money 
Wow now we know Scott Faughn made 2 bag drops to 
Al watkinns
Oh #FindFaughn explain that…</t>
  </si>
  <si>
    <t>RT @stltoday: St. Louis circuit attorney's failures in disclosing evidence keep poor defendants locked up, petition claims https://t.co/fWo…</t>
  </si>
  <si>
    <t>RT @JW1057: @BryanLowry3 That @stlcao is seeking a warrant for cell phone and e-mail account a week before trial says everything. (1) This…</t>
  </si>
  <si>
    <t>RT @Norasmith1000: @JW1057 @KRCG13 @stlcao Gardner is getting desperate isn't she?!?! Still no picture I'm guessing, maybe because there IS…</t>
  </si>
  <si>
    <t>RT @Sticknstones4: #KimShady is really Shady and this one Has nothing to do with Eric Greitens
We saw the carnage of Stockley, We’re livin…</t>
  </si>
  <si>
    <t>RT @CStamper_: Soros-backed prosecutor Kim Garner “needs to be removed from office in order to send a message to prosecutors around the nat…</t>
  </si>
  <si>
    <t>RT @CStamper_: Soros-backed “Kim Gardner has clearly, repeatedly and consistently violated the ethics of her profession and brought disgrac…</t>
  </si>
  <si>
    <t>Take a look at the petition and remember who did/did not sign on to the #Greitens #witchhunt next election. I will remember. Dark money and political espionage in Missouri.
#taxcredits https://t.co/Hi9FdgrJR3</t>
  </si>
  <si>
    <t>RT @Lrihendry: John Kerry should be arrested for violating the Logan Act (1 Stat. 613, 18 U.S.C. § 953 s for unauthorized negotiation with…</t>
  </si>
  <si>
    <t>RT @Sticknstones4: @TomJEstes @VisioDeiFromLA Deliberately evading service, hillarious for a guy that’s always has his hand on the pulse of…</t>
  </si>
  <si>
    <t>RT @HotPokerPrinces: 3 STOOGES OF THE #GREITENS CASE LOVE TO SPEAK FREELY TO MEDIA
BUT 
WHEN ITS THEIR TURN TO SPEAK IN A COURT OF LAW 
U…</t>
  </si>
  <si>
    <t>RT @magathemaga1: #MoLeg #Mogov
What's all this talk about Scott Faughn going into hiding?
It's ok cuz even if he was, I'm sure #MISSOURI…</t>
  </si>
  <si>
    <t>RT @VisioDeiFromLA: Tweets from PS 
These are actions of somebody who is mad his wife CHEATED ON HIM with @EricGreitens 
Not actions of a…</t>
  </si>
  <si>
    <t>RT @HotPokerPrinces: #greitens #moleg https://t.co/c67dHxmfYI</t>
  </si>
  <si>
    <t>RT @HotPokerPrinces: #greitens #moleg https://t.co/TfECmirWdf</t>
  </si>
  <si>
    <t>RT @HotPokerPrinces: #kimshady #greitens #moleg https://t.co/B20MFdNkJ9</t>
  </si>
  <si>
    <t>RT @HotPokerPrinces: THE PHOTO 📸
No Device 
No Knowledge of such Picture from KS
No photo of Nudity
No transmission of photo 
#Greitens #m…</t>
  </si>
  <si>
    <t>RT @HotPokerPrinces: #greitens #moleg https://t.co/bGt4iskDjl</t>
  </si>
  <si>
    <t>RT @HotPokerPrinces: THE NAKED TRUTH THE MEDIA REFUSES TO TELL YOU
KS testified in her deposition n June 2015 she used FaceTime with greit…</t>
  </si>
  <si>
    <t>RT @CStamper_: Liberal logic: https://t.co/4sjmidByjB</t>
  </si>
  <si>
    <t>RT @Sticknstones4: @TomJEstes Anybody can Be a Leader In Missouri 
It just takes a bag of Cash and a few strings
#moleg https://t.co/xwB0…</t>
  </si>
  <si>
    <t>RT @VisioDeiFromLA: Why #STL CA Kim Gardner Must Be Investigated—and Stopped
"#StLouis CA Kim Gardner has clearly, repeatedly &amp;amp; consistent…</t>
  </si>
  <si>
    <t>RT @VisioDeiFromLA: Why would Scott Charton not tweet or do commentary on his buddy Scott Faughn’s involvement in all this?
Not saying you…</t>
  </si>
  <si>
    <t>RT @Sticknstones4: The fact that the media would report this falsehood is just another indication of how biased the coverage of this case h…</t>
  </si>
  <si>
    <t>RT @CStamper_: A Democrat state rep texted the alleged victim encouraging her to get a lawyer and providing Soros-backed prosecutor Kim Gar…</t>
  </si>
  <si>
    <t>RT @CStamper_: “In order to conceal the video and then notes taken by Mr. Tisaby, everyone had to be on the same page. So, in her depositio…</t>
  </si>
  <si>
    <t>RT @CStamper_: “As the old saying goes, ‘you don’t know what you don’t know.’ Who else is being paid for their testimony? What other inform…</t>
  </si>
  <si>
    <t>RT @CStamper_: Soros-backed prosecutor Kim Gardner has already been sanctioned by the court in this witch hunt. Her handpicked investigator…</t>
  </si>
  <si>
    <t>RT @Sticknstones4: Dead toddler, stolen guns, stolen car &amp;amp; Drugs, Kim Gardner’s office cant make a case out of THIS but can make a case on…</t>
  </si>
  <si>
    <t>RT @sean_spicier: It would be redundant for John Kerry to register as a foreign agent. He’s already a registered Democrat</t>
  </si>
  <si>
    <t>RT @Sticknstones4: #Moleg  &amp;amp; #KimShady Shame on You !   You conspired to unseat a duly elected governor 
#greitens #witchhunt 
Gov. Greite…</t>
  </si>
  <si>
    <t>RT @ResignNowKim: @stltoday ‘s new “opinion piece” is another in unbroken series of anti- @EricGreitens hit pieces. Drips w schadenfreude f…</t>
  </si>
  <si>
    <t>RT @Sticknstones4: @blackwidow07 @tkinder @ChrisHayesTV @scottfaughn @FBIStLouis Missouri has a need for Low income Housing. A new program…</t>
  </si>
  <si>
    <t>RT @Norasmith1000: @VisioDeiFromLA I had a feeling from the beginning that Stacey Newman was heavily involved in this, she hates Greitens!…</t>
  </si>
  <si>
    <t>RT @magathemaga1: #MoSen #MoGov #MoLeg 
🚨 POLL TIME 🚨
Which Senate candidate will back @realDonaldTrump the most and end this UNCONSTITUT…</t>
  </si>
  <si>
    <t>RT @ChrisHayesTV: “Can you tell me who specifically told you to lie in this case?” The CAO’s chief investigator in the MO Governor’s privac…</t>
  </si>
  <si>
    <t>RT @ChrisHayesTV: “Now that we've discovered all these lies, I have a general question as to -- as to why did you, in fact, repeatedly lie…</t>
  </si>
  <si>
    <t>RT @ChrisHayesTV: “Tell me how you -- tell me if you, in fact, conspired with the Circuit Attorney's Office or any members thereof to depri…</t>
  </si>
  <si>
    <t>RT @ChrisHayesTV: Latest MO Gov defense filing says it would like to depose @scottfaughn about the mysterious $100,000 cash payments but “i…</t>
  </si>
  <si>
    <t>RT @ChrisHayesTV: MO Gov's defense says recently discovered text messages reveal possibility alleged victim could profit. Court motion quot…</t>
  </si>
  <si>
    <t>RT @ChrisHayesTV: MO Gov defense motion says politics were in play starting 1-11 when MO Rep texted alleged victim “my House Dem leadership…</t>
  </si>
  <si>
    <t>RT @Farberyanki: President of Iran told Trump: "I dreamed was a huge sign on the White House that read "The United States of Iran"
Trump t…</t>
  </si>
  <si>
    <t>RT @Str8DonLemon: Why is Kathie Conway, a tax payer funded #MoLeg rep on Twitter giving her opinion which is of course biased TAINTING THE…</t>
  </si>
  <si>
    <t>RT @GovMikeHuckabee: The press started losing their heads the night Donald Trump was elected President, and as time goes on and the “crimes…</t>
  </si>
  <si>
    <t>RT @CStamper_: This convicted felon media member manages to make the media look even more dishonest, which is quite an achievement. I don’t…</t>
  </si>
  <si>
    <t>RT @DineshDSouza: Your biblical namesake David slept with Bathsheba &amp;amp; had her husband killed on the front. Didn’t God nevertheless make Dav…</t>
  </si>
  <si>
    <t>RT @sigi_hill: @Sticknstones4 @Norasmith1000 @JW1057 @VisioDeiFromLA @EricGreitens @Eric_Schmitt @Rep_TRichardson Obviously @scottfaughn wa…</t>
  </si>
  <si>
    <t>RT @magathemaga1: The media is concerned about the public being informed?
Lol
Ironic considering media has done it's best 2 keep public m…</t>
  </si>
  <si>
    <t>RT @FredrickDoss: As per usual with everything they distribute or bring to #moleg 
No indication of who this is from as well as who paid fo…</t>
  </si>
  <si>
    <t>RT @magathemaga1: These are great AND ACCURATE points. Thanks for sharing!
Yes Barnes was reckless releasing this before trial!
Yes this…</t>
  </si>
  <si>
    <t>RT @ChrisYaudas: Who do I think needs to be impeached? The @MOHouseGOP and @MissouriSenate leadership and those #moleg members who are defy…</t>
  </si>
  <si>
    <t>RT @emfvet78: We have entered very dangerous times. Suggest you read and re-tweet. Weaponizing financial institutes. Threatening them. 👍👍🇺🇸…</t>
  </si>
  <si>
    <t>RT @Sticknstones4: 🕵🏻‍♂️TRUTH SEEKERS
FOLLOW #MOLEG MONEY https://t.co/facNEr0Sp2</t>
  </si>
  <si>
    <t>RT @magathemaga1: "Life imitates Art far more than Art imitates Life" -Oscar Wilde 
As #MoLeg looks 2 screw @EricGreitens in new ways, I'v…</t>
  </si>
  <si>
    <t>RT @sigi_hill: Missouri Crimes Scene https://t.co/EfQeBs1ing</t>
  </si>
  <si>
    <t>RT @sigi_hill: @jaybarnes5 what is your goal?
As a lawyer &amp;amp; representative of the People of MO you forge false statement to compromise the…</t>
  </si>
  <si>
    <t>RT @magathemaga1: 🚨 JUSTICE WARRIOR ALERT 🚨 
The Justice warrior responds to that CHIP guy #MANSPLAINING to @EricGreitens legal council.…</t>
  </si>
  <si>
    <t>RT @magathemaga1: @toadtws @JW1057 @VisioDeiFromLA @TeamGreitens @EricGreitens @SheenaGreitens @StLCountyRepub @MOHOUSECOMM @jeanielauer @R…</t>
  </si>
  <si>
    <t>RT @realjohnnynero: @MarkReardonKMOX What I learned this afternoon is this: anyone interested in publishing a book can either contact @KMOX…</t>
  </si>
  <si>
    <t>RT @MarkReardonKMOX: My bottom line on my interview with @scottfaughn:
--he NEVER answered the question directly about why he gave Watkins…</t>
  </si>
  <si>
    <t>RT @Sticknstones4: @sigi_hill @EricGreitens Nothing Ethical or Tranparent about these Closed Door Sesssions.
They are Not Credible and tho…</t>
  </si>
  <si>
    <t>RT @YearOfZero: It’s surreal that tax payer funded state Senator that doesn’t understands that the presumption of innoncence in this countr…</t>
  </si>
  <si>
    <t>RT @MissouriTimes: “If @jaybarnes5 were on a quest to find out the truth, he has unfinished business to conduct. He ought to ask the campai…</t>
  </si>
  <si>
    <t>RT @JW1057: @MissouriTimes @jaybarnes5 Jay Barnes is not interested in truth or justice. He is turning the MO House into the Star Chamber.</t>
  </si>
  <si>
    <t>RT @Norasmith1000: And, NO ONE forced this woman to go to SHEENA's house. She knew EG is married, if she didnt want or expect sex there wou…</t>
  </si>
  <si>
    <t>RT @HotPokerPrinces: LOBBYISTS FOR TAX CREDITS
HOW MANY MEETINGS DID #MOLEG  HAVE WITH THEM?
HOW MUCH MONEY DID #MOLEG TAKE FROM THEM?
H…</t>
  </si>
  <si>
    <t>RT @HotPokerPrinces: THIS GUY GETS IT 
#MOLEG YOURE BUSTED https://t.co/W7fkoJEMxe</t>
  </si>
  <si>
    <t>RT @VisioDeiFromLA: @jonesmarkh @jrosenbaum @scottfaughn @EricGreitens Well since Scott faughn allegedly has a secret pad in Jeff city, if…</t>
  </si>
  <si>
    <t>@ResignNowKim @JaneDueker @EricGreitens Great questions!</t>
  </si>
  <si>
    <t>RT @ResignNowKim: @JaneDueker Seriously though, Jane: which Jane Dueker is tweeting this? “Journalist Jane?” How about “Lobbyist Jane”? Hmm…</t>
  </si>
  <si>
    <t>RT @VisioDeiFromLA: @jrosenbaum @EricGreitens @Hope4Hopeless1 @Sticknstones4 @SKOLBLUE1 @Eric_Schmitt @GOPMissouri @STLCountyGOP @paulcurtm…</t>
  </si>
  <si>
    <t>RT @VisioDeiFromLA: @jrosenbaum @EricGreitens Tweets from PS 
These are the actions of somebody who is mad his wife CHEATED ON HIM with @E…</t>
  </si>
  <si>
    <t>RT @VisioDeiFromLA: @jrosenbaum @EricGreitens Here is the story that goes over PS taunting tweets 
#moleg #mogov #Greitens 
https://t.co/…</t>
  </si>
  <si>
    <t>RT @VisioDeiFromLA: @jrosenbaum @EricGreitens If you look at the ex husbands tweets where he was taunting @EricGreitens ... he never once r…</t>
  </si>
  <si>
    <t>RT @magathemaga1: 7. This entire sham report shows is that the people on the committee have no concern for justice. 
Nor does the media ha…</t>
  </si>
  <si>
    <t>RT @magathemaga1: 6. ✔Laub still worked 4 campaign 
✔If Laub &amp;amp; Hafner jointly prepared list (possibly both should have been listed as dono…</t>
  </si>
  <si>
    <t>RT @magathemaga1: 5. ✔Hafner and Laub made the campaign donor list (data in part derived from TMC donor list)
✔Campaign formed 2/25 and lis…</t>
  </si>
  <si>
    <t>RT @magathemaga1: 4. ✔Donor list over 1k on TMC website
✔EG never stated donor list contribution was made 3/1 ... EG &amp;amp; ✔MEC stipulated cont…</t>
  </si>
  <si>
    <t>RT @magathemaga1: 3. So let's address some of the mischaracterizations of this report but also point out the fact that the @MOHouseGOP rele…</t>
  </si>
  <si>
    <t>RT @magathemaga1: 2. First, I have to ask, where was this excitement 4 #MoneyBagsAl situation? Pre written in depth articles about this, wh…</t>
  </si>
  <si>
    <t>RT @magathemaga1: 1. So about SHAM REPORT from #MoLeg 
Once again, mountains out of molehills &amp;amp; corrupt journalists in state show more con…</t>
  </si>
  <si>
    <t>RT @YearOfZero: Nothing Jay Barnes says can be trusted
MALICIOUSLY released report before criminal trial tainiting jury pool 4 obvious pol…</t>
  </si>
  <si>
    <t>RT @iheartmindy: I don't understand how the Left who gets offended by everything (frogs, milk, and the OK sign were all somehow "racist" la…</t>
  </si>
  <si>
    <t>RT @CStamper_: This is what Soros-backed prosecutor Kim Gardner’s witch hunt has come to. #moleg #mogov https://t.co/ZqgR6bOeBF</t>
  </si>
  <si>
    <t>RT @YearOfZero: Is Chapter 1 the part where Scott faugn dropped off 50 k to Phillip sneeds lawyer so they could invent a FAKE abuse story?…</t>
  </si>
  <si>
    <t>RT @VisioDeiFromLA: Anybody running for #Missouri state office who doesn’t understand due process and presumption of innocence or repeats t…</t>
  </si>
  <si>
    <t>@landerdog @Beganovic_85 @Avenge_mypeople Conservative on social issues I agree with as I said</t>
  </si>
  <si>
    <t>@landerdog @Beganovic_85 @Avenge_mypeople I am a proud to be an informed  independent who is conservative socially and leans more liberal economically. That doesn't fit any party of today. I own that.</t>
  </si>
  <si>
    <t>RT @JacquiCline2: @Education4Libs  https://t.co/88y9Jo9Xlg</t>
  </si>
  <si>
    <t>@landerdog @Beganovic_85 @Avenge_mypeople And yours is complete left wing liberal tribal loyalty.</t>
  </si>
  <si>
    <t>@landerdog @Beganovic_85 @Avenge_mypeople Actually, as an independent I do not have a "party". I have voted for both Rs and Ds in the past. But I can spot a big money generated witch hunt - which is exactly what this is. If you were not blinded by party affiliation maybe you could see it too.</t>
  </si>
  <si>
    <t>Here's an article about Sterling Bank's links to the low income tax credits from 2013. Looks like they stand to lose a lot of money if the #LIHTC is cancelled. 
@Sticknstones4
Sterling Bank mines banking niche in tax credits https://t.co/WS1fe9aJC4 via @stlouisbiz</t>
  </si>
  <si>
    <t>RT @Sticknstones4: @YearOfZero @Mizzourah_Mom I suspect these Missouri 5 need to be scrutinized 
Jay Barnes (R), Don Phillips (R), Kevin A…</t>
  </si>
  <si>
    <t>@Sticknstones4 Specifically which #moleg committee members who seem to have a big interest in perpetuating this #witchhunt. Five of them are not seeking re-election - wonder what they have been promised for their "cooperation"?</t>
  </si>
  <si>
    <t>@Sticknstones4 @JCPenknife Very good question and worth looking into. Sterling bank has been mentioned, but there are more.</t>
  </si>
  <si>
    <t>RT @PrisonPlanet: This is why right-leaning pages have lost tons of Facebook engagement in the last couple of months.
Blatant censorship d…</t>
  </si>
  <si>
    <t>RT @YearOfZero: The victim kitty isn’t credible. 
Her testimony has glaring holes.
#moleg #mogov https://t.co/RufeHJfJVe</t>
  </si>
  <si>
    <t>RT @YearOfZero: One other thing
Unless it can be proven it was tit for tat arrangement, then there really isn't story here. This is common…</t>
  </si>
  <si>
    <t>RT @YearOfZero: Like many, I’ve read through both. As a long time LEO, Let me say this: IT IS CONTRADICTORY 
To me, what is most alarming…</t>
  </si>
  <si>
    <t>RT @Sticknstones4: How Many #MoLeg members have been to Scott’s 
Hidden Party Pad  ? 
Do Tell !  We want to hear more about the Den of Cor…</t>
  </si>
  <si>
    <t>The author has obviously pre-determined #Greitens is guilty before due process, but he spells out some of the key players who are behind the dark money that started this #WitchHunt
 https://t.co/UcGOAdUF8t via @stltoday</t>
  </si>
  <si>
    <t>@justwongirl @rxpatrick Yes, #Greitens made some very poor choices and admitted them. But this was a take down by big money interests that hated #Greitens for doing what he promised - axing the tax credits. The Lt. Gov. is in favor of them. If the governor is impeached their money rolls back in again.</t>
  </si>
  <si>
    <t>RT @magathemaga1: Same Scott who recently had outstanding tax bill that was just recently paid off that was available on Casenet? Am I mist…</t>
  </si>
  <si>
    <t>RT @Sticknstones4: The alternative to Governor #Greitens is Mike Parsons. Parsons is a darling of the tax-credit lobby, a slave to huge cor…</t>
  </si>
  <si>
    <t>@JCPenknife Obviously #moleg is banking he would. Dirty politics in Missouri!</t>
  </si>
  <si>
    <t>RT @JCPenknife: For sale by Scott Faughn. Only used once. #mogov #Greitens #moleg https://t.co/79Z6TRXO6W</t>
  </si>
  <si>
    <t>RT @YearOfZero: Also noticed inconsistencies like this when I read both. 
@MOHouseGOP IC flat out lying 2 public #greitens 
I know news o…</t>
  </si>
  <si>
    <t>RT @shesova: The #moleg standard. Charge .@EricGreitens with anything to get a Rep out of office. @MissouriGOP @molegislature @StLouisCityC…</t>
  </si>
  <si>
    <t>RT @aaron_hedlund: What's the going rate for a low income housing tax credit scammer's soul? Apparently $50k... #mogov #moleg</t>
  </si>
  <si>
    <t>RT @JCunninghamMO: This reporter is clearly unaware of all of us Republicans who agree with @RoyBluntMO and are not jumping out ahead of th…</t>
  </si>
  <si>
    <t>RT @tkinder: Meanwhile, back in Jefferson City, the #moleg continues to do the people’s - aka lobbyists - business... https://t.co/uF6pPkUJ…</t>
  </si>
  <si>
    <t>RT @DineshDSouza: Since you’re willing to overlook Marxism’s history of mass murder, can we expect a “Happy Birthday, Adolf Hitler”? https:…</t>
  </si>
  <si>
    <t>RT @Str8DonLemon: Journalists!
If U don't want public 2 mistrust U, dont berate citizens when we ask questions U SHOULD BE ASKING
Eg. KS/…</t>
  </si>
  <si>
    <t>RT @elderofziyon: Going around:
Iran has decided to transfer its embassy to Jerusalem, as all their confidential papers are already there.…</t>
  </si>
  <si>
    <t>RT @ws_missouri: Dome of the Missouri Capitol will be lit up blue for the month of May to honor fallen law enforcement officers, Greitens s…</t>
  </si>
  <si>
    <t>RT @jrosenbaum: Committee members criticized @EricGreitens for not turning over his attorneys’ deposition of the woman. A spokeswoman for t…</t>
  </si>
  <si>
    <t>RT @PrisonPlanet: Rob Schneider: "Much late night comedy is less about being funny and more about indoctrination by comedic imposition. Peo…</t>
  </si>
  <si>
    <t>RT @realDonaldTrump: So disgraceful that the questions concerning the Russian Witch Hunt were “leaked” to the media. No questions on Collus…</t>
  </si>
  <si>
    <t>RT @CStamper_: Soros-backed Kim Gardner’s witch hunt was launched when a media member who has been criticizing the governor for years hand…</t>
  </si>
  <si>
    <t>RT @EdBigCon: Great article! #moleg  https://t.co/koE3WxGpIV</t>
  </si>
  <si>
    <t>RT @rxpatrick: Defense lawyers say the payments could affect the credibility of witnesses against Greitens. Faughn’s publication has also b…</t>
  </si>
  <si>
    <t>RT @VisioDeiFromLA: Isn’t it convenient the media and the corrupt @MOHouseGOP they timed the release of the addendum to coincide with the b…</t>
  </si>
  <si>
    <t>RT @AP4Liberty: News Update! @HawleyMO opens investigation into @EricGreitens for allegedly going 55mph in a 50mph zone. Hawley claims he h…</t>
  </si>
  <si>
    <t>RT @JW1057: @russellkinsaul @GovGreitensMO @KMOV Sorry, we give no respect or deference to the USSR tribunal being held by the MO House. 
#…</t>
  </si>
  <si>
    <t>RT @JW1057: @jmannies Of course, that also undermines the claim that the committee is NOT biased because five of the seven members are Repu…</t>
  </si>
  <si>
    <t>RT @jmannies: Never a secret that Greitens' most powerful enemies are fellow Republicans: https://t.co/AdlmewP2w6</t>
  </si>
  <si>
    <t>RT @VisioDeiFromLA: Which means #MoLeg committee headed by barnes &amp;amp; much of #MoGov is tainted &amp;amp; has bias against @EricGreitens 
The people…</t>
  </si>
  <si>
    <t>RT @st_vockrodt: NEW: Al Watkins testified in a deposition that he received $50,000 from Missouri Times publisher Scott Faughn. "Faughn has…</t>
  </si>
  <si>
    <t>RT @HennessySTL: Looks like Candy Man @scottfaughn launders money for corporations with failed business plans that only exist by bilking ta…</t>
  </si>
  <si>
    <t>RT @HennessySTL: And this crooked MO House committee (they all hang out in Candy Man @ScottFaughn's weird party pad in JC after hours) is a…</t>
  </si>
  <si>
    <t>@Beganovic_85 @Avenge_mypeople I don't believe he did. The governor and Kitty Sneed had a consensual affair. I don't believe a "victim" would have continued to see him and even text nude photos of herself to him later. A true "victim" of assault would have gone to the police.</t>
  </si>
  <si>
    <t>RT @Avenge_mypeople: @RiverfrontTimes  https://t.co/o5NGjN02i6</t>
  </si>
  <si>
    <t>RT @ResignNowKim: @RiverfrontTimes YOU asked @KMOXPD @MarkReardonKMOX @DebbieMonterrey @johnrhancock @mskstl what they plan on doing, since…</t>
  </si>
  <si>
    <t>@DeplorableGoldn We need to take a hard look at all in #moleg who are upset Gov. #Greitens cancelled their MO tax credits. Maybe Jane is one of them? Follow the money - it will tell the tale.</t>
  </si>
  <si>
    <t>RT @DeplorableGoldn: RT🚨
Lol Jane trying to force a narrative. This absolutely matters to the public.. 
No the money doesn’t matter? 
Exp…</t>
  </si>
  <si>
    <t>RT @VisioDeiFromLA: Scott is a large part of the media apparatus in #missouri 
How is it not fair question and why dont you answer it? Als…</t>
  </si>
  <si>
    <t>@J_Hancock @EricGreitens @scottfaughn Guess they have to attempt make it look like it's not a complete witch hunt</t>
  </si>
  <si>
    <t>RT @CStamper_: As of a few months ago deceptive media hack Scott Faughn was so broke he couldn’t even pay a bill that was under $1,500. He…</t>
  </si>
  <si>
    <t>@YearOfZero Considering the fact we learned today that a member of the media helped pay for this farce, I don't think there will be any investigative journalism.</t>
  </si>
  <si>
    <t>RT @CStamper_: In November 2017 Scott Faughn was sued for not paying his bills. In February 2018 he secretively hand-delivered $50,000 in c…</t>
  </si>
  <si>
    <t>RT @YearOfZero: In Light of #MonegBagsAl thing &amp;amp; these people having money and being couriers, what I would ask:
1. Any large purchases la…</t>
  </si>
  <si>
    <t>RT @TomJEstes: Hi, Jane. I have never commented on the House members. I’m just curious about what you knew about the 50K payment made to th…</t>
  </si>
  <si>
    <t>RT @VisioDeiFromLA: Good old ESTABLISHMENT tessa spinning for #MoLeg
it was timed to take attention off the @scottfaughn revelations.
It…</t>
  </si>
  <si>
    <t>RT @VisioDeiFromLA: Accuser isnt credible
Kept seeing
Didnt go to police
Witness testimony inconsistent
Now money is involved 
Is Scott Si…</t>
  </si>
  <si>
    <t>RT @Sticknstones4: And the press wonders why the  public distrusts them 
Right Here !   
The unethical #scammingScott 
And all the #mole…</t>
  </si>
  <si>
    <t>Here is the reason the #Greitens #witchhunt was started - he ticked off a bunch of developers who were angry he axed their tax credits. They paid the ex-husband's attorney to get the ball rolling to get rid of #Greitens so they get their $ again. Sad!
https://t.co/0ikSHKWHkV</t>
  </si>
  <si>
    <t>@Avenge_mypeople One story today says Scott Faughn has ties to people who were unhappy Greitens ended the low income tax credits. Very damning proof they wanted the Governor gone so the tax credits would resume. #witchhunt</t>
  </si>
  <si>
    <t>RT @Avenge_mypeople: Just to put this whole #Greitens  affair in perspective: Scott Faughn, owner of Missouri Times gave at least $50,000 t…</t>
  </si>
  <si>
    <t>RT @wikileaks: "The Central Intelligence Agency can selectively disclose classified information to [pet] reporters while withholding that v…</t>
  </si>
  <si>
    <t>RT @Avenge_mypeople: Through the primary, he would just essentially hand over the election. We can't allow that to happen. This primary is…</t>
  </si>
  <si>
    <t>RT @Avenge_mypeople: @AP4Liberty  I just heard your interview with @MarcCox971 and thought it was interesting that Claire is called the "lu…</t>
  </si>
  <si>
    <t>RT @NotThatGoat: #Translation I was really so clueless as to think character assassination wouldn’t bother anyone. https://t.co/KgqcLKJ5Lz</t>
  </si>
  <si>
    <t>RT @PremierUSA2020: @hughhewitt @washingtonpost  https://t.co/6ye9UuIbyi</t>
  </si>
  <si>
    <t>RT @somethingldsay: This ordeal is turning into a bigger 💩 show than the Trump Russia thing. It's pretty clear @EricGreitens isn't an angel…</t>
  </si>
  <si>
    <t>RT @Lautergeist: I'm so sick of this #Greitens witch hunt!  
#GuiltyInTheCourtOfMedia
@HereLiesMoon 🌛
#GreitensIndictment 
@EricGreitens #…</t>
  </si>
  <si>
    <t>Thank you Senator @RoyBlunt !
Voters in Missouri appreciate due process. Gov. #Greitens deserves the right to a fair trial without the rush to judgment.
#moleg https://t.co/HRyz5rONnx</t>
  </si>
  <si>
    <t>RT @magathemaga1: #Missouri Supreme Court says Greitens' accuser must turn over phone 4 examination
"...woman told a House committee last…</t>
  </si>
  <si>
    <t>RT @toadtws: @KttsnewsMike Memo
To: Leftie Women Trying To Bring Down A Conservative GOP Governor
Re: Common Sense
When trying to claim t…</t>
  </si>
  <si>
    <t>RT @magathemaga1: Reminder: she kept coming back.
Reminder: she didn’t go to the police.
Reminder: people do have kinky sex.
Reminder: n…</t>
  </si>
  <si>
    <t>RT @magathemaga1: @RoyBlunt correct
#greitens should not resign &amp;amp; should not be impeached unless he actually did something wrong related t…</t>
  </si>
  <si>
    <t>RT @GovMikeHuckabee: After seeing the young female hired to verbally bully anyone who worked for @realDonaldTrump I now understand why eati…</t>
  </si>
  <si>
    <t>RT @PollackHunter: Like other "Politicians" @RobertwRuncie is looking for his best interest by pointing fingers at every one else. Policy h…</t>
  </si>
  <si>
    <t>RT @kennethrpreston: Everything I’ve claimed is sourced and available in my full length investigative report that you can find here: https:…</t>
  </si>
  <si>
    <t>RT @kennethrpreston: 20) Ultimately, it was the shooter and only the shooter who's responsible for killing 17 and injuring 17 more. It's al…</t>
  </si>
  <si>
    <t>RT @kennethrpreston: Parkland parents, students, I went to the Broward School Board to seek answers for the potential negligence by Superin…</t>
  </si>
  <si>
    <t>RT @Education4Libs: Great Britain.
A nation that celebrates the birth of a royal baby &amp;amp; executes the baby of commoners.</t>
  </si>
  <si>
    <t>RT @GovMikeHuckabee: The WHCD was supposed to celebrate the 1st Amendment.  Instead they celebrated bullying, vulgarity, and hate. They got…</t>
  </si>
  <si>
    <t>@smart_hillbilly More like - "When they go low, we go to the slimiest depths of depravity."</t>
  </si>
  <si>
    <t>RT @benshapiro: There is tremendous irony to the fact that Michelle Wolf, in making the media look nasty and Democrats spitefully awful, wi…</t>
  </si>
  <si>
    <t>RT @AriFleischer: This is foul.  It’s uncalled for. It’s nasty. And not funny.  The WH staff should stop attending this dinner. https://t.c…</t>
  </si>
  <si>
    <t>@davidmweissman It's ok to be an Independent. There are good and bad in both parties - sometimes we have to choose between the lesser of 2 evils. Stay informed and vote accordingly.</t>
  </si>
  <si>
    <t>@VisioDeiFromLA @marinevet1982 @mefbama I think they realize the first count is completely unbelievable to most Missourians, but it won't stop the drumbeat for his removal from office. They will look for anything for rope to hang him. Sad! Corrupt politicians on both sides.</t>
  </si>
  <si>
    <t>@marinevet1982 @mefbama @VisioDeiFromLA It's been a #witchhunt from day one. Started with the $100,000 money from an "anonymous" donor. A "victim" who has changed her story multiple times. A prosecutor who hired a special investigator who perjured himself &amp;amp; now pleads the fifth. How can this not be more obvious? #moleg</t>
  </si>
  <si>
    <t>RT @marinevet1982: @mefbama @VisioDeiFromLA I’m sick of it! That woman even said it could have been a dream?? Wow, no evidence or nothing!…</t>
  </si>
  <si>
    <t>RT @Norasmith1000: @RGreggKeller At this point, I wouldnt trust anything Gardner does or says about anything relating to ANY case against G…</t>
  </si>
  <si>
    <t>RT @JudicialWatch: Attorney General Sessions was justified in his firing the former FBI Deputy Director McCabe. JW found evidence showing h…</t>
  </si>
  <si>
    <t>RT @DavidKeyesPMO: There is one thing the media almost never mentions about Gaza. It's that Hamas, the terrorist organization that actually…</t>
  </si>
  <si>
    <t>RT @for_congress: The Latest: Woman files appeal in Missouri governor's case https://t.co/qTrssbfX1P Katrina Sneed must have something to h…</t>
  </si>
  <si>
    <t>RT @LouDobbs: Enemy of the State:  Brennan spied on Senate Intel Comm, lied, Feinstein let him off on both crimes, her aide part of Russia…</t>
  </si>
  <si>
    <t>RT @jamesirving2: RT is you want #JakeTapper prosecuted and imprisoned for conspiracy and political espionage. #JamesClapper https://t.co/S…</t>
  </si>
  <si>
    <t>RT @Norasmith1000: I dont care if you love or hate @EricGreitens, think hes innocent or guilty, but nobody on either side can deny the abso…</t>
  </si>
  <si>
    <t>RT @inthejungle234: So @robschaaf sold out to Soros and the left?
Am I understanding that correctly?
Gotta pay the bills somehow...
#mol…</t>
  </si>
  <si>
    <t>RT @magathemaga1: Sorry but no. She needs to hand over the phone. They dont get yo drag @EricGreitens name through the mud and over a simpl…</t>
  </si>
  <si>
    <t>RT @Sticknstones4: @lindsaywise @JW1057 @EricGreitens 📌Tisaby no showed Monday than took the 5th Thursday
📌Al Watkins tried to quash his su…</t>
  </si>
  <si>
    <t>RT @magathemaga1: @Neilin1Neil @stlbriancollins @Norasmith1000 @KathieConway @Shawtypepelina @YearOfZero @RealTravisCook @inthejungle234 @s…</t>
  </si>
  <si>
    <t>RT @deenie7940: Show Me the Money: Judge in Governor Greitens Case Orders Attorney to Disclose Source of Mystery Funds - RedState https://t…</t>
  </si>
  <si>
    <t>RT @allme102: the left claims Missouri Gov. Greitens shows how the party system is broken yet says nothing about Clinton and her fraud and…</t>
  </si>
  <si>
    <t>RT @GovMikeHuckabee: Signed peace agreement by NOKO and S. Korea-stunning, historic, &amp;amp; gives hope for the region. Can even his craziest cri…</t>
  </si>
  <si>
    <t>RT @Hope4Hopeless1: @Shawtypepelina @YearOfZero @KathieConway @RealTravisCook @inthejungle234 @Neilin1Neil @Norasmith1000 @sdieckhaus @Eric…</t>
  </si>
  <si>
    <t>@Norasmith1000 I agree - it completely spells out what is going on. I can not believe what a circus this has become. Absolutely disgusting!</t>
  </si>
  <si>
    <t>@Sticknstones4 Very! I don't know the author, but he spelled out the #witchhunt perfectly. If only we had a fair media that would get this information out there.</t>
  </si>
  <si>
    <t>OPINION: It's Time for Us to Rally to Defend Missouri
#Greitens
#GreitensIndictment
#moleg
https://t.co/PnoeXFzGZ5</t>
  </si>
  <si>
    <t>RT @AP4Liberty: Josh Hawley spent a million bucks on consultants and all we got was a statement about how we need to ban firearms accessori…</t>
  </si>
  <si>
    <t>RT @PrisonPlanet: OK, let's play the left's game here for a sec.
Stephen Colbert (white) &amp;amp; his team of writers (almost all white) using a…</t>
  </si>
  <si>
    <t>RT @MarkDice: Fake News!  Diamond and Silk said they received reimbursement for their flights to an event, which they paid for out of their…</t>
  </si>
  <si>
    <t>RT @GrizzleMeister: Twitter sensation @RealJamesWoods schooled these spoiled brats being used as liberal pawns in an attempt to smear the N…</t>
  </si>
  <si>
    <t>RT @smart_hillbilly: Office of the Chief Disciplinary Counsel: Revoke the law license of St. Louis Circuit Attorney Kim Gardner! - Sign the…</t>
  </si>
  <si>
    <t>Office of the Chief Disciplinary Counsel: Revoke the law license of St. Louis Circuit Attorney Kim Gardner! - Sign the Petition! https://t.co/8BSf4FNIuW via @Change</t>
  </si>
  <si>
    <t>RT @LauraLoomer: BREAKING: With a 534-94 margin, deputies vote ‘no confidence’ in #Broward County Sheriff Scott Israel! 
#Parkland #Browar…</t>
  </si>
  <si>
    <t>RT @MarkReardonKMOX: Exclusive video of Kim Gardner's lead investigator in the @EricGreitens case.
https://t.co/XGac1YZU14</t>
  </si>
  <si>
    <t>RT @smart_hillbilly: I wonder if this rule applies to a hijab? https://t.co/6X9XlrTsIq</t>
  </si>
  <si>
    <t>RT @Neilin1Neil: What some people say in the middle of the night: “WOW I could of had a V8!” What Kitty might say in the middle of the nigh…</t>
  </si>
  <si>
    <t>RT @RealTravisCook: Exactly--Phil Sneed's career was lagging, just as #Greitens career was on the ascendency. Kitty Sneed wouldn't be the f…</t>
  </si>
  <si>
    <t>RT @aaron_hedlund: How is this newsworthy? Desperate reporters chase around the Governor and he refuses to be at your beck and call? You mu…</t>
  </si>
  <si>
    <t>RT @magathemaga1: Did anyone think #Greitens was only politician hairdresser dated?
Chris do you really think people of #Missouri are dumb…</t>
  </si>
  <si>
    <t>RT @Sticknstones4: Why ? @Rep_TRichardson forcing this ?
Especially after Tisaby the liar  took the 5th. 
 Why not allow #greitens  due…</t>
  </si>
  <si>
    <t>RT @magathemaga1: When my (non-moronic) friends talk #greitens, they ask:
Y keep seeing?
Y didn't she go 2 cops?
Y did ex go 2 kmov not po…</t>
  </si>
  <si>
    <t>RT @jamesirving2: @DiamondandSilk have spoken more truth and spread more real news than all the #MSM and compromised #DC politicians combin…</t>
  </si>
  <si>
    <t>RT @magathemaga1: #TriflingTisaby pleaded the 5th today.
Hmm.....
@EricGreitens @Eric_Schmitt
@Rep_TRichardson @RonFRichard
#moleg #mogov…</t>
  </si>
  <si>
    <t>RT @Sticknstones4: All that money wasted in hiring Tisaby an outside investigator , that lies &amp;amp; takes the 5th.  This is a disgrace to our j…</t>
  </si>
  <si>
    <t>RT @magathemaga1: Is ‘Guilty Until Proven Innocent’ the New Standard?
Democrats &amp;amp; establishment Republicans don't support presumption of i…</t>
  </si>
  <si>
    <t>RT @sigi_hill: Tisaby is knowN to the courts as lying under oath - PERJURY 
Crooked @stlcao @kimgardner77th hired him from out of state
#Gr…</t>
  </si>
  <si>
    <t>RT @TrumpChess: Just a reminder that Tisaby was caught lying to the @FBI while employed by them and has been caught lying about the #Greite…</t>
  </si>
  <si>
    <t>The defense should be allowed to have EVERYTHING this "investigator" touched stricken from the record.
#Greitens 
#GreitensIndictment 
#DisbarKimGardner
#perjury https://t.co/nQmNGHLzY2</t>
  </si>
  <si>
    <t>RT @sigi_hill: How is hired FBI-disgraced investigator #WilliamDonTisaby with a record of lying under oath be allowed to take the 5th🤪🤬
#Gr…</t>
  </si>
  <si>
    <t>RT @Norasmith1000: #moleg this sentiment is shared by a lot of MO.  Stop wasting my money, remove #kimgardner and get back to work! https:/…</t>
  </si>
  <si>
    <t>RT @NotThatGoat: #Translation Two black women revealed the truth about our pals at Facebook and now they gotta pay. https://t.co/VpdZoEu2wC</t>
  </si>
  <si>
    <t>#Kimshady banked on Tisaby to bring the charge against #Greitens. Looks like she made a big mistake. Anyone remember #Nifong?
Investigator on Greitens' criminal case refuses to answer deposition questions https://t.co/XzthE76pnv via @stltoday</t>
  </si>
  <si>
    <t>Well, well - Tisaby (lead investigator in the #Greitens #witchhunt showed up for the deposition today, but pleaded the 5th to over 200 questions. But there's nothing shady going on here, right? https://t.co/C9dPeZgFIj</t>
  </si>
  <si>
    <t>RT @AP4Liberty: Josh Hawley is the James Comey of Missouri. https://t.co/YTstolxKd7 via @springfieldNL</t>
  </si>
  <si>
    <t>RT @troballis: @CStamper_ IMO it's the standard across the country in r legal system, ppl r being tried by public opinion b4 they even reac…</t>
  </si>
  <si>
    <t>RT @JessieJaneDuff: Kanye West, Chance, Candace Owens...This is getting real now. Even CNN can't give Stormy Daniels anymore air time. They…</t>
  </si>
  <si>
    <t>RT @RealJack: Sickening.... 
Apparently this "history" teacher doesn't understand history, or Hitler disarming citizens...
UNREAL: Parkla…</t>
  </si>
  <si>
    <t>RT @wikileaks: Substantial thread looking at the Joy Reid evidence. Reid falsely claimed the posts were made by hackers. Note that while Re…</t>
  </si>
  <si>
    <t>RT @aaron_hedlund: "Not a well-oiled machine." Understatement of the year. Gardner and company are the Ford Pinto of prosecutors. Engine fi…</t>
  </si>
  <si>
    <t>RT @Norasmith1000: @YearOfZero Im still waiting for the Dem outrage at Gardner for misconduct, perjury censure by judge, maybe hiding Tisab…</t>
  </si>
  <si>
    <t>Looks like the STL Post Dispatch is calling the #Greitens case a circus with #KimGardner as the lead clown
Editorial: Prosecution in Greitens case not exactly a well-oiled machine 
https://t.co/aKOFo7Ese5 via @stltoday</t>
  </si>
  <si>
    <t>RT @TBirdusThoracis: @GregPittman1957 I have a question: is it true you compared a Parkland student who is Jewish born with Israeli immigra…</t>
  </si>
  <si>
    <t>RT @_VachelLindsay_: Don't be surprised if these reporters are IDd in the upcoming Strzok/Page texts. These two were VERY indiscreet 👇 http…</t>
  </si>
  <si>
    <t>@BrianKaylor @PlatteCountyGOP Sounds like YOU have already judged Gov. Greitens on all of the allegations - not just adultery. (Luke 6:37) If a crime can be proven in court THEN condemn his actions, not before. He will face the consequences of his actions, but that is up to God.</t>
  </si>
  <si>
    <t>Here's a very interesting article that should raise concerns about the prosecutor and investigator in the #Greitens case. Add to this the "anonymous" $100,000 for Watkins and it shows corruption in this case. #witchhunt 
https://t.co/pNHU5rPIgg</t>
  </si>
  <si>
    <t>RT @dspud2006: @MarkReardonKMOX Most law enforcement realizes the case against Greitens is a witch hunt, especially regarding the non-exist…</t>
  </si>
  <si>
    <t>RT @DailyCaller: @Acosta As for the "toxic environment," this might have something to do with it:
https://t.co/EaeSthR3F7
Ratings &amp;gt; object…</t>
  </si>
  <si>
    <t>RT @Sticknstones4: Well well well
Contradictions in statements ..
From the La Times interview to the courthouse Steps https://t.co/OO8rquw…</t>
  </si>
  <si>
    <t>RT @magathemaga1: "I can tell you, the people of Missouri stand with you," Gov. Eric Greitens said 2 annual memorial prayer breakfast of ST…</t>
  </si>
  <si>
    <t>RT @RealTravisCook: Uh oh! He got caught with Phil Sneed's payoff money!!! (Oh, wait...are we still supposed to pretend that we don't know…</t>
  </si>
  <si>
    <t>RT @Sticknstones4: Clownish St. Louis Prosecutors 🤡Turn Greitens Case Into Farce 
#moleg #greitens #kimshady #moneybagsAl 
https://t.co/C…</t>
  </si>
  <si>
    <t>RT @GovMikeHuckabee: Yeti, which sells more coolers to people who like hunting and not as many to people who prefer sitting indoors, smokin…</t>
  </si>
  <si>
    <t>RT @AnnCoulter: Would they accept California? https://t.co/azbLp3NBPD</t>
  </si>
  <si>
    <t>RT @Sticknstones4: @StevenDialTV @EricGreitens @41actionnews Do you think the special House committee had any special bags of cash droped o…</t>
  </si>
  <si>
    <t>RT @JudicialWatch: After the now-infamous Clinton-Lynch tarmac meeting, docs obtained by JW show the FBI worked hard to cover it all up. Em…</t>
  </si>
  <si>
    <t>RT @CoreyLMJones: Ban AR-15’s, bad guy will use a handgun
Ban handguns, bad guy will use a knife
Ban knives, bad guy will use a car
Ban car…</t>
  </si>
  <si>
    <t>RT @smart_hillbilly: #YouAreWinningWhen You've interacted with civility, and the only word your opponent can say is "BOT!".</t>
  </si>
  <si>
    <t>RT @Montel_Williams: So @KyleKashuv, went to a gun range *WITH HIS FATHER outside school hours. I don’t understand how that justifies being…</t>
  </si>
  <si>
    <t>RT @CStamper_: The scheming political operatives, self-interested politicians and untrustworthy media behind this whole scheme won’t like t…</t>
  </si>
  <si>
    <t>RT @CStamper_: Missouri is under attack. “Under the guise of ethics &amp;amp; lobbying reform, George Soros &amp;amp; other progressive groups are using th…</t>
  </si>
  <si>
    <t>Looks like even they are doing a double-take on the dark money used to start the #Greitens #witchhunt
Lawmakers issue subpoena to attorney in Greitens case to ask about anonymous $100,000 https://t.co/SYBljL6fK4</t>
  </si>
  <si>
    <t>RT @CStamper_: As the Soros-backed prosecutor’s witch hunt falls apart and the secret money trail that launched this whole scheme is made p…</t>
  </si>
  <si>
    <t>Looks like even the leftists can see what a sham the #Greitens witch hunt has become - the stltoday article is eye-opening. https://t.co/B01p8Wf3j5</t>
  </si>
  <si>
    <t>RT @RealTravisCook: $100,000 to try and bring down a Governor...I'd be shocked if this isn't Soros money. #greitens #moleg https://t.co/h1J…</t>
  </si>
  <si>
    <t>RT @YearOfZero: Ok.
So news about money bags Watkins guy is wild. So yeah, accusers were paid to make up this story against #Greitens 
An…</t>
  </si>
  <si>
    <t>RT @Sticknstones4: Good Morning #MoLeg aka witch hunters 
Have Any Bags💰 of Anonymous cash 💵 been dropped off at your offices ?
Amazing t…</t>
  </si>
  <si>
    <t>RT @Sticknstones4: This is Just Amazing 
2 Bags💰💰 of anonymous cash 💵💵 100K delivered by courier to Attorney Al Watkins office…</t>
  </si>
  <si>
    <t>RT @gatewaypundit: BREAKING: MONEY MAN Dropped Off $100,000 to STL ATTORNEY to Launch Governor Greitens SEX SCANDAL https://t.co/7lfIOrKgoq</t>
  </si>
  <si>
    <t>RT @JW1057: Who is paying Katrina "Kitty" Sneed's attorney, Scott Simpson?
#moleg #mogov #greitens #KimShady #IStandWithGreitens</t>
  </si>
  <si>
    <t>RT @J_Hancock: Attorney of the ex-husband who first made the allegations against @EricGreitens public received two payments of $50,000 from…</t>
  </si>
  <si>
    <t>RT @ChrisDavisMMJ: The Judge has also ordered William Tisaby testify via disposition by this Thursday. His former counsel said he was busy…</t>
  </si>
  <si>
    <t>RT @ChrisDavisMMJ: The Defense also stated today in court, they hear from a reliable source, that Attorney Al Watkins received $100,000 fro…</t>
  </si>
  <si>
    <t>RT @ChrisDavisMMJ: ALSO BREAKING: Judge rules that Al Watkins MAY NOT represent William Tisaby, citing a conflict of interest that he also…</t>
  </si>
  <si>
    <t>RT @ChrisDavisMMJ: BREAKING: Eric Greitens’ alleged mistress, along with her ex-husband, have been ordered by the judge to have their phone…</t>
  </si>
  <si>
    <t>RT @VisioDeiFromLA: Courier Gave $100k to #MoneyBagsAl 2 Launch #GreitensIndictment / WitchHunt
Attorney representing man who accused #Gre…</t>
  </si>
  <si>
    <t>Wonder how much they paid PS &amp;amp; KS? https://t.co/kkLq2pyrYq</t>
  </si>
  <si>
    <t>@gatewaypundit @VisioDeiFromLA And they want us to believe it's not a complete witch hunt?</t>
  </si>
  <si>
    <t>RT @VisioDeiFromLA: 🚨 MONEY BAG UPDATE 🚨 
💰 💰 💰 💰 
“Watkins says the cash arrived by courier with no note of explanation. Later-he says h…</t>
  </si>
  <si>
    <t>RT @Education4Libs: 9 ppl are dead &amp;amp; 16 others are injured following a vehicle attack in Toronto.
So who’s fault is it today, liberals?
Th…</t>
  </si>
  <si>
    <t>RT @sean_spicier: Based on the media coverage you’d think the Toronto attack was committed by an out of control self driving van</t>
  </si>
  <si>
    <t>RT @wikileaks: Comment: It's hard to understand where the DNC thinks it is going with lawsuit that says "Voters! WikiLeaks took away our ri…</t>
  </si>
  <si>
    <t>RT @RealTravisCook: Same here--i'm a Missouri citizen (and voter), and I, too, am distressed about this #WitchHunt against the Governor wit…</t>
  </si>
  <si>
    <t>RT @michaelmalice: The claim "hate speech is not free speech" implies "free" is a type of speech, as opposed to how speech is treated in a…</t>
  </si>
  <si>
    <t>RT @blaubok: The father gave the gun back to his mentally disturbed son
It wasn't the state
It wasn't the NRA
Lock up the father
Lock up…</t>
  </si>
  <si>
    <t>RT @YearOfZero: Greitens innocent until proven guilty. Aren’t we glad U lost UR race as u don’t understand law?
Second, burns. If he resig…</t>
  </si>
  <si>
    <t>RT @andersonDrLJA: BAD NEWS FOR ANTI-GUN FANATICS! Newly Released Gov't Study Shows Overwhelming Number of Shootings Are Defensive!
#Pro2nd…</t>
  </si>
  <si>
    <t>RT @PolitixGal: The LEFT's blind allegiance to GROUPTHINK shows how desperate &amp;amp; fascist they are:  
-No diverse opinions allowed w/in the g…</t>
  </si>
  <si>
    <t>RT @KanyeWoke: diversity is strength but I guess that doesn’t include diversity of ideas or opinions.</t>
  </si>
  <si>
    <t>RT @CStamper_: Soros-backed prosecutor Kim Gardner’s handpicked private investigator repeatedly lied under oath and withheld evidence. Now…</t>
  </si>
  <si>
    <t>RT @VisioDeiFromLA: This entire #GreitensIndictment is a joke.
How any of you on #moleg take it seriously shows your complete hatred for @…</t>
  </si>
  <si>
    <t>RT @magathemaga1: We should also ask why you are allowed to cover this case given your complete conflict of interest as you used 2 work at…</t>
  </si>
  <si>
    <t>RT @CStamper_: Soros-backed prosecutor’s private investigator perjured himself repeatedly &amp;amp; withheld evidence, and created false evidence.…</t>
  </si>
  <si>
    <t>RT @Education4Libs: The Waffle House shooter was already PROHIBITED from owning guns as his were previously confiscated by local law enforc…</t>
  </si>
  <si>
    <t>RT @RealJack: The Waffle House shooter was known by the FBI.
The Waffle House shooter was mentally insane.
Why do these two common trends…</t>
  </si>
  <si>
    <t>RT @dodo: This guy found a prairie dog drowning in his pool, brought him back to life and kept saying the sweetest things to him until he w…</t>
  </si>
  <si>
    <t>RT @DrMartyFox: Many People Still Do NOT Understand That #Ryan #McConnell &amp;amp; The #GOP Swamp Are #Globalist Anti #Conservative Progressives:…</t>
  </si>
  <si>
    <t>RT @phil200269: @chucktodd @Marcshort45 Can you change the name of your show to 'Chuckles The Clown Does Fake News'?
It would be more appr…</t>
  </si>
  <si>
    <t>RT @foxandfriends: .@RealCandaceO: The left wants to strap black people to this idea that they are victims – they want black people to focu…</t>
  </si>
  <si>
    <t>RT @VisioDeiFromLA: Good morning. I agree hate speech is bad. So, are we also going to ask Bruce Franks JR to resign for his hateful langua…</t>
  </si>
  <si>
    <t>RT @Sticknstones4: Take Note📝 @HawleyMO 
Your name on the ballot isn’t a slam dunk 🏀
You lost your base when you threw @EricGreitens unde…</t>
  </si>
  <si>
    <t>RT @dbongino: Good to know. I have a lot of options for coolers this summer and @YETICoolers is no longer one of them. https://t.co/wS9hb3u…</t>
  </si>
  <si>
    <t>RT @YearOfZero: Or maybe @RoyBluntMO doesn’t want to attack Missouri voters like you have been doing for the last 3 months?
The case is in…</t>
  </si>
  <si>
    <t>RT @Norasmith1000: @YearOfZero @RoyBluntMO @EricGreitens Exactly right! Roy Blunt respects MO voters, #moleg should do the same. Glad he be…</t>
  </si>
  <si>
    <t>RT @Sticknstones4: Missourians know it’s a witch hunt
They love the governor @EricGreitens 
#moleg #noresign #teamgreitens #greitens http…</t>
  </si>
  <si>
    <t>@smart_hillbilly @MarkDice Tolerance is only for those who tolerate the things the liberals tolerate.</t>
  </si>
  <si>
    <t>RT @Str8DonLemon: I'm calling on Bruce Frank's Jr 2 resign position immediately from #MoLeg @GailBeatty
"...Franks rapped about shooting &amp;amp;…</t>
  </si>
  <si>
    <t>RT @chrisregniertv: Senator Roy Blunt tells Fox 2 he is not calling for Gov. Greitens to resign in wake of new charge against him. Rather,…</t>
  </si>
  <si>
    <t>RT @CStamper_: Good to see a Republican who actually believes in the importance of the legal process. Too many are quick to join Claire McC…</t>
  </si>
  <si>
    <t>RT @jerome_corsi: History of Robert Mueller repeatedly abusing prosecutorial authority https://t.co/9jsM90zk0k Rudi Guiliani should have an…</t>
  </si>
  <si>
    <t>RT @MarkSKrikorian: Every asylum applicant should be given a choice: Stay in detention for the entire duration of your case or wait in Mexi…</t>
  </si>
  <si>
    <t>RT @BryanLowry3: Greitens’ attorney has also issued a statement. More info at https://t.co/dOlpIcJGPk #moleg #Greitens https://t.co/rXRDpVQ…</t>
  </si>
  <si>
    <t>RT @magathemaga1: Dear #MoLeg Swamp dwellers @Rep_TRichardson @elijahhaahr
@EricGreitens gets his day in court. Until then, back off &amp;amp; let…</t>
  </si>
  <si>
    <t>RT @dbongino: The Dems get the gold medal in the dopey olympics.  As Levin points out, how is that discovery process on the DNC servers goi…</t>
  </si>
  <si>
    <t>RT @SheriffClarke: Not too long ago a Philadelphia Starbucks refused to let a police officer use the restroom telling him it was for paying…</t>
  </si>
  <si>
    <t>RT @MarkDice: But the liberal media told me Trump's tweets about North Korea were supposed to start a nuclear war! https://t.co/NwmMverUvl</t>
  </si>
  <si>
    <t>RT @AmerPride777: https://t.co/khn08WB5hi</t>
  </si>
  <si>
    <t>RT @RealJack: The Democrats are so pathetic! 
The DNC rigged the primary for Hillary, colluded with the media, colluded with the DOJ which…</t>
  </si>
  <si>
    <t>RT @CollinRugg: Comey: “I couldn’t find collusion”
Mueller: “I can’t find any collusion”
Rosenstein: “Trump isn’t even under investigation.…</t>
  </si>
  <si>
    <t>RT @TechHelp: Justice Department IG probing Comey memos over classified material
https://t.co/Zv9czSp8Ta</t>
  </si>
  <si>
    <t>RT @ChristFighterNY: @charliekirk11 Why stop with marijuana? Stick heroin and crack on the legalize list as well! You can't pretend that a…</t>
  </si>
  <si>
    <t>RT @RyanAFournier: The Republican Party should file a federal lawsuit alleging a conspiracy by the Clinton Campaign, FBI, Obama Administrat…</t>
  </si>
  <si>
    <t>RT @chuckwoolery: Wait till you children get in the real world. You walk out on your job to protest and you get FIRED. Great socialistMarxi…</t>
  </si>
  <si>
    <t>RT @wikileaks: Comment on DNC "lawsuit": DNC already has a moribund publicity lawsuit which the press has became bored of--hence the need t…</t>
  </si>
  <si>
    <t>Comey was being investigated for political interference at time of firing https://t.co/5jgRoZyowp via @washtimes</t>
  </si>
  <si>
    <t>@RealBigRedBeard @Norasmith1000 @pfeuerborn @tonymess @EricGreitens Maybe we still support him because we are not rushing to judgment and want this to play out in a court - due process. If wrong-doing can be proved fine, he should resign. If not, let him do the job we elected him to do.</t>
  </si>
  <si>
    <t>RT @melody_grover: $116,436.96: the amount of money taxpayers pay @HawleyMO to not do his job. #mosen https://t.co/t66l1wQ7uq https://t.co/…</t>
  </si>
  <si>
    <t>@heavenlypatriot @TeamHawley Or at the very least wait until the trial for both sides to have their day in court. Why the big rush to judgement? May 14 is not that far away.</t>
  </si>
  <si>
    <t>RT @brithume: Anatomy of a leak —&amp;gt;  https://t.co/7D0R7BSB0X</t>
  </si>
  <si>
    <t>RT @PrisonPlanet: The DNC is suing the Trump campaign, Russia &amp;amp; Wikileaks over a "conspiracy" to rig the election.
The same DNC that rigge…</t>
  </si>
  <si>
    <t>RT @mkolken: But I thought nobody needs an AR-15 or 30 rounds for home defense?https://t.co/uff4f2tttN @DLoesch @ChrisLoesch @KyleKashuv @c…</t>
  </si>
  <si>
    <t>RT @TheMarkPantano: Today's gun control walkouts are yet another reminder that the primary purpose of government schools is not education,…</t>
  </si>
  <si>
    <t>RT @JackPosobiec: Great! In discovery we can finally subpoena the DNC server! https://t.co/7Zy8E6sFpz</t>
  </si>
  <si>
    <t>RT @RealJack: Oh, DNC is suing Trump campaign for Wikileaks?
I'm glad they want to bring that up again.
It means we can keep demanding an…</t>
  </si>
  <si>
    <t>RT @Sticknstones4: @theknobboy @hillbilly_from @scoutcats90 @juckniess_linda @EricGreitens @MissouriChamber Why release the house report of…</t>
  </si>
  <si>
    <t>RT @_Makada_: Remember when people like MLK used to march for equal rights?
Now anti-2nd Amendment students are walking out of class to ma…</t>
  </si>
  <si>
    <t>RT @ByronYork: And Comey thinks Trump is obsessed with loyalty? Like a mob boss? After Comey, in first meeting, drops Moscow sex allegation…</t>
  </si>
  <si>
    <t>RT @larryelder: Why don't these democrats-turned-"journalists" have a "duty to disclose" that they worked for...democrats? VIEWERS DO NOT K…</t>
  </si>
  <si>
    <t>RT @melody_grover: How do you conduct an impartial investigation of somebody you've called on to resign? Yes, they're two separate matters,…</t>
  </si>
  <si>
    <t>RT @drawandstrike: Here's @MZHemingway with a fantastic column on something the Comey memos reveal that DNC Media will NEVER report on: 
h…</t>
  </si>
  <si>
    <t>RT @JaySekulow: The U.S. House of Representatives voted to ban abortions after 20 weeks – when unborn babies can actually feel pain. The bi…</t>
  </si>
  <si>
    <t>RT @RepDeSantis: Tragedy that a special counsel investigation was launched by leaking of the memos (which Comey has admitted). No basis in…</t>
  </si>
  <si>
    <t>RT @RepDeSantis: Some of the Comey memos contained classified information.  Intentionally leaking classified information is a big no no.  T…</t>
  </si>
  <si>
    <t>RT @Barnes_Law: #ComeyMemos summarized: "I am writing, dear Diary, to tell you how I told my boss how awesome I am. I told him I never lie,…</t>
  </si>
  <si>
    <t>RT @RepDevinNunes: Statement from Chairman Goodlatte, Chairman Gowdy, and me on the Comey memos: https://t.co/KNpfqvgQts</t>
  </si>
  <si>
    <t>RT @Barnes_Law: I have never seen an agent dumb enough to lie about himself &amp;amp; record the lies he told his boss, in his own personal diary h…</t>
  </si>
  <si>
    <t>RT @JackPosobiec: Comey under oath: I asked a friend of mine to share the content of the memo with a reporter. I didn't do it myself for a…</t>
  </si>
  <si>
    <t>RT @ArthurSchwartz: Looks like @Comey lied to POTUS. https://t.co/cF6XQbgSTM</t>
  </si>
  <si>
    <t>RT @magathemaga1: #donnybrookSTL
#KimShady lied
#NoNotesTiasby lied
The house is lying (didn’t cross examine)
The media is lying 
They ju…</t>
  </si>
  <si>
    <t>RT @Cernovich: "The unredacted documents are classified," DOJ's letter said.
Which would mean Comey at the very least potentially leaked c…</t>
  </si>
  <si>
    <t>RT @RealJamesWoods: Why not donate the money equally to the surviving immediate families of the 17 actual victims? Oh, right, you’re being…</t>
  </si>
  <si>
    <t>RT @melody_grover: That time when @HawleyMO admitted he is politicizing his job duties to win #mosen. https://t.co/qzNMFWCmok</t>
  </si>
  <si>
    <t>RT @JCunninghamMO: I don’t see that as bad. A not guilty finding by a jury would end the move to impeach where throwing out the case becaus…</t>
  </si>
  <si>
    <t>RT @JudicialWatch: Important: Due to JW's ongoing efforts holding Special Counsel Mueller accountable, JW found emails showing bias among t…</t>
  </si>
  <si>
    <t>@IsraeliParasite You are an obvious anti-semite and not worth addressing. "Never argue with an idiot. They will drag you down to their level and beat you with experience." -Mark Twain</t>
  </si>
  <si>
    <t>@IsraeliParasite There have been multiple inconsistencies in the "victim's" story - and a rush to judgment. The judge cited the prosecutors today or did you read that part? I'm glad it will go to trial so the truth can come out.</t>
  </si>
  <si>
    <t>RT @caesar718: Man.. I dig this guy @Monetti4Senate  #ReadyForMonetti #MoSen https://t.co/LCgeEhN2Xn</t>
  </si>
  <si>
    <t>Circuit Judge Rex Burlison declared on Thursday, “Clearly in this case the state has committed sanctionable discovery violations of the rules of criminal procedure.” Judge in #Greitens Case Slams State https://t.co/YLqJ5npDs1 via @SentinelKSMO</t>
  </si>
  <si>
    <t>RT @JoplinGlobe: A felony criminal trial of Gov. Eric Greitens will continue, but the judge who rejected a request to dismiss the criminal…</t>
  </si>
  <si>
    <t>RT @MaryPatriotNews: #Politics #Congress The Latest: Judge sanctions prosecutors in Greitens case https://t.co/lpdOCylK9T #Trending #Newswi…</t>
  </si>
  <si>
    <t>Here is where your MO state politicians stand on the #Greitens witch hunt. Remember this when they are up for reelection. https://t.co/JmMZ5gnOjU</t>
  </si>
  <si>
    <t>RT @CraigSeverson2: @ThomasWictor "If you can get arrested for hunting or fishing without a license, but not for entering and remaining in…</t>
  </si>
  <si>
    <t>RT @Ostrov_A: This is awesome! Thank you Boston! #Israel70 https://t.co/GrUdU3FFhS</t>
  </si>
  <si>
    <t>RT @MarkDice: The trolling of Starbucks has just gone supernova 😆  #StarbucksChallenge https://t.co/L9BAcr9Ox7</t>
  </si>
  <si>
    <t>@tomgear @EricGreitens So you are Russian - sorry my mistake! 😆 Guess I'm wasting my time explaining the merits of due process with you.</t>
  </si>
  <si>
    <t>@tomgear @EricGreitens Actually, due process is a very American ideal and should be protected for everyone. Since that offends you maybe you are the Russian? (More likely a liberal though.)</t>
  </si>
  <si>
    <t>@tomgear @EricGreitens No, not unless MO moved today. Triggered by due process?</t>
  </si>
  <si>
    <t>RT @Sticknstones4: So than why doesn’t #moleg work on stuf that they can actually accomplish ?
Give #greitens his due process in court 
W…</t>
  </si>
  <si>
    <t>RT @tkinder: Some present Governor .@EricGreitens pending court case as a choice between Josh Hawley and Greitens. Not True. The choice is…</t>
  </si>
  <si>
    <t>RT @JudicialWatch: Thanks to JW's litigation, it's now been revealed that DOJ compared Comey to WikiLeaks &amp;amp; even said that some of the info…</t>
  </si>
  <si>
    <t>RT @BarbaraAKelley: @JudicialWatch @wikileaks If Comey and Hillary can get away with leaking classified material or sending it in emails, w…</t>
  </si>
  <si>
    <t>RT @Education4Libs: If liberals ever got their way &amp;amp; banned “assault weapons”, we would just call them “undocumented firearms” &amp;amp; let them l…</t>
  </si>
  <si>
    <t>RT @LouDobbs: #DraintheSwamp- 11 House Republicans including @RepMattGaetz sign letter demanding Sessions investigate Comey, McCabe &amp;amp; Deep…</t>
  </si>
  <si>
    <t>@Mizzourah_Cuck @VisioDeiFromLA @thatsbuckaroo2u @EricGreitens @MissouriGOP @MOHouseGOP @Hope4Hopeless1 @Avenge_mypeople @strmsptr @elijahhaahr @Rep_TRichardson @SKOLBLUE1 @ohsynesthesia Yeah, he blocked me too.</t>
  </si>
  <si>
    <t>RT @realDonaldTrump: Best wishes to Prime Minister @Netanyahu and all of the people of Israel on the 70th Anniversary of your Great Indepen…</t>
  </si>
  <si>
    <t>@EricGreitens Stay strong, Governor! Some of us in MO still believe in due process.</t>
  </si>
  <si>
    <t>RT @GovMikeHuckabee: Absolutely pathetic pandering!  So Sen. Shaheen won't confirm a qualified Sec of State because he holds Biblical views…</t>
  </si>
  <si>
    <t>@SybilleAbed @VP @realDonaldTrump So true! https://t.co/T6ox3UjU4X</t>
  </si>
  <si>
    <t>RT @JW1057: @YblackGOP See attached.
#moleg #mogov #greitens #KimShady #IStandWithGreitens https://t.co/f2h5R9vbrE</t>
  </si>
  <si>
    <t>At least there are some who want to allow #Greitens to have his day in court! As an American I still believe in innocent until PROVEN guilty. What is the rush if it's not a total swamp-driven #witchhunt? https://t.co/hVRC7dq28H</t>
  </si>
  <si>
    <t>RT @JCunninghamMO: I’m with Representatives Lindell Shumake, @lfshumake and Cheri Toalson Reisch, @CheriMO44. Allow the complete process to…</t>
  </si>
  <si>
    <t>RT @Hope4Hopeless1: @VABVOX #SOROS backed #KimShady witheld EVIDENCE in discovery &amp;amp; it MAGICALLY appeared 1hr after #Moleg's "report" &amp;amp; SHO…</t>
  </si>
  <si>
    <t>RT @Avenge_mypeople: @HawleyMO  is going after other avenues to get rid of #greitens . That should tell you all you need to know about this…</t>
  </si>
  <si>
    <t>RT @magathemaga1: @Bryantbusby2 @YblackGOP @EricGreitens @Monetti4Senate @SykesforSenate @AP4Liberty The new painting has arrived
#moleg #…</t>
  </si>
  <si>
    <t>RT @JW1057: Dear Members of the Missouri House and Senate:
If you don't want to work with @EricGreitens then you are all free to resign. T…</t>
  </si>
  <si>
    <t>RT @TrumpChess: I don't feel sorry for Hawley but I sure hope @POTUS backs someone else in the #MoSen race to replace millionaire Claire. @…</t>
  </si>
  <si>
    <t>RT @JW1057: @kmoxnews Criminally this appears to be nonstarter. If violation occurred on 3/1/15, or earlier, the three year statute of limi…</t>
  </si>
  <si>
    <t>RT @sigi_hill: @grcfay @magathemaga1 @ohsynesthesia @MOHouseGOP @MissouriGOP @Avenge_mypeople @Blackboxhalo @Rep_TRichardson @elijahhaahr @…</t>
  </si>
  <si>
    <t>RT @RealJack: Between a hooker porn star, a whining 17 year-old, and a couple disgruntled lying under oath FBI agents, the Democrats are re…</t>
  </si>
  <si>
    <t>Facebook Bans Black Conservative Comedian After He Posts Hatemail from Liberals https://t.co/pd31bj0iH3</t>
  </si>
  <si>
    <t>RT @DiaFig: @kylegriffin1 Don't be fooled. Hawley was totally behind Greitens when he was running. But now he's running for senate in Novem…</t>
  </si>
  <si>
    <t>RT @AP4Liberty: .@HawleyMO inappropriately used his office to score political points by calling @EricGreitens alleged actions impeachable a…</t>
  </si>
  <si>
    <t>RT @Mizzourah_Cuck: Funny how "tolerant" the intolerant left is. #Chickfila https://t.co/AsFOGPVUEg</t>
  </si>
  <si>
    <t>RT @RealSaavedra: #BREAKING: Former FBI agent Terry J. Albury has pleaded guilty to leaking classified documents to the media and faces a l…</t>
  </si>
  <si>
    <t>RT @SomersetBean: Ecuador's decision to bar Assange from communicating with the outside world makes a mockery of asylum—@ggreenwald https:/…</t>
  </si>
  <si>
    <t>RT @Mizzourah_Cuck: #TuesdayThoughts Kinda odd that some republicans are resigning all around the same time.</t>
  </si>
  <si>
    <t>RT @TomFitton: James Comey illegally took and then leaked material from FBI memos to get a Special Counsel appointed to target @realDonaldT…</t>
  </si>
  <si>
    <t>RT @AppSame: New Miranda warning: "You have the right to remain silent. Anything you say can and will be used against you in a court of law…</t>
  </si>
  <si>
    <t>RT @Pink_About_it: According to court docs for backpage dot com, the co-owner works with Perkins Coie---
The SAME perkins Coie which aided…</t>
  </si>
  <si>
    <t>RT @dbongino: Things conservatives have to be extra cautious about now due to tyrannical, police-state liberals:
1) Hiring a lawyer
2) Spe…</t>
  </si>
  <si>
    <t>RT @bubblybear67: I read the 25 page report and the only sensible conclusion is that Eric Greitens and Katrina Sneed were playing at their…</t>
  </si>
  <si>
    <t>RT @TomFitton: Comey's ambush of @RealDonaldTrump with the Clinton-DNC dossier garbage was orchestrated during an Oval Office meeting with…</t>
  </si>
  <si>
    <t>RT @RealJack: Why more outrage over Hannity having a personal convo with a lawyer than there is over:
Cohen’s judge being a Democratic ope…</t>
  </si>
  <si>
    <t>RT @charliekirk11: The Bible is the most spectacular &amp;amp; greatest book ever to exist 
No book has been translated, copied, or read as much a…</t>
  </si>
  <si>
    <t>RT @Cernovich: “ABC News’s George Stephanopoulos contributed a total of $75,000 to the Clinton Foundation from 2012 through 2014” while rep…</t>
  </si>
  <si>
    <t>@clairecmc So it is against the law for big donors to be able to choose who they donate to? Sorry, that's not criminal!</t>
  </si>
  <si>
    <t>RT @dbongino: Absolutely hysterical watching kooky liberal media outlets take cheap shots at Fox for conflicts while shamelessly promoting…</t>
  </si>
  <si>
    <t>RT @charliekirk11: Why can't we defund Planned Parenthood and give that $500 million a year to women's clinics that don't perform abortions…</t>
  </si>
  <si>
    <t>@Sgf_Cardinals Way to go! Great game today! Sosa is a great player and even nicer person.</t>
  </si>
  <si>
    <t>RT @JackPosobiec: @realDonaldTrump Comey Book
Ch 1: Leaking Classified Memos to the NY Times 
Ch 2: Lying Under Oath
Ch 3: Helping Your…</t>
  </si>
  <si>
    <t>RT @VisioDeiFromLA: ⚠️ JUSTICE WARRIOR ALERT ⚠️
Email he sent to @MOHouseGOP about their FAILURE to CROSS EXAMINE the "witness"
Retweet!…</t>
  </si>
  <si>
    <t>RT @magathemaga1: The #KimShady show! 
Also starting #NoNotesTisaby 
A #Soros Production! 
#MOleg #mogov #StLouis https://t.co/jCirUAwBAh</t>
  </si>
  <si>
    <t>RT @SharylAttkisson: Facts continue supporting Trump's decision to fire James Comey https://t.co/QAn5Qjkl4G</t>
  </si>
  <si>
    <t>RT @charliekirk11: Why does Sheriff Israel still have a job? How many FBI agents have been fired due to missing the tips? Have the Cowards…</t>
  </si>
  <si>
    <t>RT @Mizzourah_Cuck: Raise federal firearm buying age to 21, but lower federal voting age to 16? How could this not be considered idiocy in…</t>
  </si>
  <si>
    <t>Due process seems to be dead in Missouri in the age of #Metoo
Where Is the Due Process With Greitens? https://t.co/gwecoLqWUz via @emissourian</t>
  </si>
  <si>
    <t>RT @jrosenbaum: One eyebrow raising aspect that will likely get lost in the #GreitensReport: The report says the ex-husband was paid $15K b…</t>
  </si>
  <si>
    <t>RT @mtracey: It'll take a truly Herculean effort at this point to continue arguing that Putin surreptitiously controls U.S. foreign policy,…</t>
  </si>
  <si>
    <t>RT @Mizzourah_Cuck: Hmm...🤔
#Syria #SyriaStrikes #HandsOffSyria https://t.co/YDcsUMIERu</t>
  </si>
  <si>
    <t>RT @JackPosobiec: Pray for the US pilots flying over Syria tonight, and the 2,000 troops we have on the ground</t>
  </si>
  <si>
    <t>RT @mtracey: Theresa May lives in some bizarre fantasy world where it’s possible to drop bombs in a way that “does not further escalate ten…</t>
  </si>
  <si>
    <t>RT @sweetatertot2: I love President Trump &amp;amp; I agree w/ about 85% of his policies. #SyriaStrikes is not something I agree with. I believe it…</t>
  </si>
  <si>
    <t>RT @Cernovich: Congrats Democrats and Never Trump: 
You got your war!</t>
  </si>
  <si>
    <t>@Mizzourah_Cuck Complete mistake, but who will be paying any attention to Comey now?</t>
  </si>
  <si>
    <t>RT @RickGermain: @NewYorker Substitute “Muslim” for “Christian” and tell me if this would be a defensible statement or just bigoted.</t>
  </si>
  <si>
    <t>RT @robbysoave: If you think Chick-fil-a is creepy, you're going to be horrified to learn of this thing called "church" that a whole lot of…</t>
  </si>
  <si>
    <t>RT @TomFitton: Breaking: DOJ IG report presents new evidence Obama DOJ sought to shut down FBI investigation of Clinton Foundation. Top Oba…</t>
  </si>
  <si>
    <t>Video deposition suddenly turns up in privacy case; Greitens' team wants dismissal https://t.co/kNa1bpfbnf via @fox2now</t>
  </si>
  <si>
    <t>Gov. Greitens is certainly not an angel, but he is facing a witch hunt. Politically motivated prosecutions: Missouri to D.C. https://t.co/VpF3L3odFC via @worldnetdaily</t>
  </si>
  <si>
    <t>RT @AP4Liberty: That’s because it’s “completely inappropriate that our Attorney General, the chief law enforcement officer of the state, wo…</t>
  </si>
  <si>
    <t>RT @charliekirk11: Comey under oath March 2017: 
"In regards to the President's tweets about him being wiretapped I have no information th…</t>
  </si>
  <si>
    <t>RT @Sticknstones4: Well that’s amazing 🔮✨ I never knew #kimshady was a magician of evidence 🎩🐇
From malfunctioned  damage goods &amp;amp; Abracada…</t>
  </si>
  <si>
    <t>RT @BigJShoota: Did the "Committee" REALLY engage in misconduct?  😒😒😒😒 
#UnAuthorizedConduct 
#moleg #mogov #greitens #GreitensIndictment…</t>
  </si>
  <si>
    <t>RT @ChrisHayesTV: Circuit Attorney Kim Gardner said in court, "They don't know what evidence I have. They know what I've turned over."
http…</t>
  </si>
  <si>
    <t>RT @ChrisHayesTV: Asst prosecutor Robert Steele’s answer to allegations of withholding evidence in the Gov Eric Greiten’s case is that “it…</t>
  </si>
  <si>
    <t>RT @ChrisHayesTV: The Governor’s defense asked for sanctions &amp;amp; that the case be dismissed for “gross misconduct.” They say the evidence, wh…</t>
  </si>
  <si>
    <t>RT @ChrisHayesTV: A Gov Greitens related hearing just ended. The Judge said the former mistresses ex-husband can answer questions about a p…</t>
  </si>
  <si>
    <t>RT @ChrisHayesTV: 2/2 The Defense said the photos show 1. The mistress laughing when asked about the slap.  2. The prosecutor’s paid privat…</t>
  </si>
  <si>
    <t>RT @LouDobbs: So,Rod Rosenstein called for @POTUS to fire Comey, then launched Special Counsel to investigate @realDonaldTrump for firing h…</t>
  </si>
  <si>
    <t>RT @philip_saulter: Further evidence of the political hit job that Kim Gardner is attempting to pull on our Governor.  Attention Mo. GOP, t…</t>
  </si>
  <si>
    <t>RT @RealJack: Rod Rosenstein wrote the document to President Trump recommending he fire Comey.
Rod Rosenstein launched the Mueller investi…</t>
  </si>
  <si>
    <t>RT @e2pilot: So a Christian Baker has to make a cake for a gay wedding but @BedlamCoffee doesn't have to serve Christians coffee🤔 https://t…</t>
  </si>
  <si>
    <t>RT @SKYRIDER4438: I #TakeAKnee 4 the
#Cross &amp;amp; the #Fallen
#TakeAStand 4 the
#NationalAnthem 🇺🇸
#BoycotttheNFL 🚫🏈
#BoycottNFLSponsors
to #MA…</t>
  </si>
  <si>
    <t>RT @MAGGunslinger: Funny, I don't remember #AmericasTeam taking a knee when 11 #Dallas cops were shot &amp;amp; 5 cops died. 
#BoycottNFL #NFL #Mo…</t>
  </si>
  <si>
    <t>Dawn of the bionic age: Body hackers let chips get under their skin https://t.co/FwB6JejmSC</t>
  </si>
  <si>
    <t>RT @tedcruz: (1/2) Troubling. I assume CNN's lawyers are examining GA § 16-8-16 Theft by extortion. If CNN constructively obtained the gif-…</t>
  </si>
  <si>
    <t>RT @Cernovich: That's not what the article said! This is spin from @CNNPR. #CNNBlackMail https://t.co/1Uey9ZC9UQ</t>
  </si>
  <si>
    <t>RT @LeahR77: CNN The Most Trusted Name In EXTORTION #CNNBlackmail #WednesdayWisdom https://t.co/X53nisXwao</t>
  </si>
  <si>
    <t>RT @JamesOKeefeIII: NEW VIDEO: @VanJones68 on camera, says @CNN's #russia narrative "just a big nothing burger"
See the whole video: https…</t>
  </si>
  <si>
    <t>RT @wikileaks: RELEASE: CIA 'ELSA' malware can geolocate your Windows laptop or desktop by listening to surrounding WiFi signals https://t.…</t>
  </si>
  <si>
    <t>RT @JBurtonXP: See we have to bomb Syria so we can make sure all the civilians there are being massacred by conventional weapons rather tha…</t>
  </si>
  <si>
    <t>RT @SaraCarterDC: Hillary Clinton email surfaces, calls into question former secretary’s FBI testimony | Circa News - Learn. Think.  https:…</t>
  </si>
  <si>
    <t>RT @LeahRBoss: People who counter-protested #MarchAgainstSharia for "religious tolerance" have clearly never examined Islamic Law. It is no…</t>
  </si>
  <si>
    <t>RT @_Makada_: Sharia teaches that homosexuality is punishable by death. Sharia Law is NOT compatible with western civilization. #MarchAgain…</t>
  </si>
  <si>
    <t>RT @_Makada_: Leftists claim to stand for "women's rights" and "gay rights" yet oppose a march against killing gays &amp;amp; enslaving women. #Mar…</t>
  </si>
  <si>
    <t>RT @PrisonPlanet: Who would oppose a protest against a doctrine that embraces wife beating, rape and pedophilia?
Antifa. Of course.
#Marc…</t>
  </si>
  <si>
    <t>RT @PrisonPlanet: Antifa laughed at this poor man while he was literally dying.
Let that sink right in.
#MarchAgainstSharia https://t.co/…</t>
  </si>
  <si>
    <t>RT @Cernovich: If FBI is unable to locate Comey memos, it means:
- Comey destroyed memos
- He lied about writing memo immediately after me…</t>
  </si>
  <si>
    <t>@Mizzourah_Cuck Probably not too much...</t>
  </si>
  <si>
    <t>@Mizzourah_Cuck True!</t>
  </si>
  <si>
    <t>@Mizzourah_Cuck Yes, just like God revealed it would.</t>
  </si>
  <si>
    <t>RT @Mizzourah_Cuck: @Mizzourah_Mom It's coming https://t.co/6rW9JwzDXj</t>
  </si>
  <si>
    <t>RT @americanpro1: @jerome_corsi obama's weaponizing of NSA FBI CIA IRS for domestic spying is the greatest assault on freedom since dec 7 4…</t>
  </si>
  <si>
    <t>RT @JulianAssange: Kushner correct to create channels with everyone. CIA has no authority over leadership and is financially motivated to i…</t>
  </si>
  <si>
    <t>RT @JulianAssange: If we are to ever have peace, Trump should create Office of Leadership Engagement and cut out all bureaucracies that ben…</t>
  </si>
  <si>
    <t>RT @JulianAssange: Our gloriously cheeky new book https://t.co/Z9FKWc4g55</t>
  </si>
  <si>
    <t>RT @jerome_corsi: Linked now on DRUDGE - Net Neutrality SOROS-GOOGLE alt-left PROTESTORs want to BAN @DRUDGE @infowars @BreitbartNews https…</t>
  </si>
  <si>
    <t>RT @TomFitton: FBI warned of retaliation for Comey's firing. Illicit surveillance, unmasking, illegal leaking, and secret memos. Deep State…</t>
  </si>
  <si>
    <t>RT @chuckwoolery: If Trump is responsible for Obstruction of Justice, according to the Comey Memo, and Comey didn't report it. Comey is the…</t>
  </si>
  <si>
    <t>RT @JackPosobiec: The media says its a "conspiracy theory" that a DNC IT staffer leaked emails but reports "Russia hacked the election" bas…</t>
  </si>
  <si>
    <t>RT @JessieJaneDuff: The Comey memo offers no proof to impeach the President.
The left is hyperventilating over a dream to remove Trump. ht…</t>
  </si>
  <si>
    <t>RT @JulianAssange: Hang on. James Comey concealed for months that @realDonaldTrump  had attempted to pervert him? Until he was fired? What'…</t>
  </si>
  <si>
    <t>RT @JulianAssange: Total nonsense that Trump has been indicted by the FISA court. Constitution requires Grand Juries alone issue all seriou…</t>
  </si>
  <si>
    <t>RT @FiveRights: .@POTUS
Mr. President,
Respectfully, schools need to stop teachng victimhood &amp;amp; start teachng rights of ALL (as opposed to f…</t>
  </si>
  <si>
    <t>RT @sean_spicier: For maximum liberal tears, after the commencement address at Liberty U, the President will eat at Chick-fil-A &amp;amp; go shoppi…</t>
  </si>
  <si>
    <t>RT @RealJamesWoods: Well, talk to your fellow weasel, #HarryReid. You whiners are going to be drinking his "nuclear option" hemlock until y…</t>
  </si>
  <si>
    <t>RT @Braveheart_USA: Dems did, didn't, did, didn't, did.... 
... want Comey fired. 
Clearly, the Democrats don't think clearly. See a patte…</t>
  </si>
  <si>
    <t>RT @MOLegDems: How is this not a conflict of interest? How is this not self-serving? #moleg #SB43 https://t.co/k7MP78OK74</t>
  </si>
  <si>
    <t>RT @Martha4MO: #SB43 is an attack on the Missouri Human Rights Act and political corruption and self-dealing at its worst. #moleg https://t…</t>
  </si>
  <si>
    <t>RT @HouseCracka: Liberal Media can't decide to write RUSSIA RUSSIA RUSSIA or CONSTITUTIONAL CRISIS right now..... https://t.co/lmh3o7BG4J</t>
  </si>
  <si>
    <t>RT @StockMonsterUSA: Did someone say FBI Director Andrew McCabe ?? 🤣Wife was given 700K by Clinton/McAuliffe &amp;amp; is LIKELY a Wrong Doers in T…</t>
  </si>
  <si>
    <t>RT @dbongino: Having a blast watching looney liberals, who just yesterday wanted Comey fired, melting down because #Comey was actually fire…</t>
  </si>
  <si>
    <t>RT @PrisonPlanet: Bye bye Comey! One less swamp monster. 👏🏼👏🏼👏🏼</t>
  </si>
  <si>
    <t>RT @GovMikeHuckabee: Watch liberals who scalded Comey now try to pretend they support him and attack @realDonaldTrump. He needed to go.</t>
  </si>
  <si>
    <t>RT @sean_spicier: Today is National Day of Prayer. Liberals will boycott on the grounds that they don't know any.</t>
  </si>
  <si>
    <t>RT @Mizzourah_Cuck: Now that the "Russia"narrative is dead. #BREAKING #AltonSterling https://t.co/YxIudpyJsr</t>
  </si>
  <si>
    <t>RT @THEHermanCain: Democrats introduce bill to ban pastors from ministering to homosexuals https://t.co/6xRZAXvdQd https://t.co/SqsWXB8fYe</t>
  </si>
  <si>
    <t>RT @JohnFromCranber: Antifa = Soros Paid Thugs Trying to Silence Free Speech of Conservatives. Soros Hopes by Controlling The Narrative, he…</t>
  </si>
  <si>
    <t>RT @sean_spicier: Everyone keeps leaving out the best part of the President's first 100 days:
It's not Hillary's first 100 days</t>
  </si>
  <si>
    <t>RT @JackPosobiec: Not a single member of Antifa has disavowed the use of violence and militant tactics - not even the brutal bike lock atta…</t>
  </si>
  <si>
    <t>RT @Stevenwhirsch99: Mayors like Jesse Arreguin (Berkeley) enable antifa by giving "stand down" orders to police during riots. It must stop…</t>
  </si>
  <si>
    <t>RT @RobSchneider: UC Berkeley, after your done eliminating speech you don't like &amp;amp; words you don't like what's next?
Maybe add burning book…</t>
  </si>
  <si>
    <t>RT @jerome_corsi: Berkely today GRAVEYARD OF 1ST AMENDMENT https://t.co/iX6ig0ELYh Hard-Left Intolerant Ideologues - Trump Hating CRIMINALS…</t>
  </si>
  <si>
    <t>RT @HouseCracka: George Bush Sr caved to the Democrats and was fired by the people. 
Trump is caving to the Democrats now. 
https://t.co/…</t>
  </si>
  <si>
    <t>RT @phil200269: America Views You As The Stumbling Block To The Fulfillment Of Trump's Campaign Promises.
Hillary Lost So You Now Sabotage…</t>
  </si>
  <si>
    <t>RT @Israel: #WeRemember 🕯️| Israel Marks #Holocaust Remembrance Day Commemorating the Six Million Jews Murdered in the Holocaust https://t.…</t>
  </si>
  <si>
    <t>RT @sean_spicier: 97% of the marchers in the science march believed global warming is man made, the other 3% haven't been heard from since…</t>
  </si>
  <si>
    <t>RT @JulianAssange: Trump promised to 'drain the swamp' not to feed the First Amendment to its most bloated monster. https://t.co/7B4aPuGFsj</t>
  </si>
  <si>
    <t>RT @sweetatertot2: The one who should be getting arrested right now is Hillary Rotten Clinton for her crimes not Assange who exposed the cr…</t>
  </si>
  <si>
    <t>RT @_Makada_: I voted to drain the swamp and stop government corruption, not to arrest Assange for exposing the crimes of corrupt politicia…</t>
  </si>
  <si>
    <t>RT @PrisonPlanet: US wants to arrest Assange for leaking classified info from anonymous sources. 
So when will NY Times &amp;amp; Wash Post journo…</t>
  </si>
  <si>
    <t>RT @PrisonPlanet: Jeff Sessions should concentrate on arresting &amp;amp; deporting illegal aliens, drug lords &amp;amp; narco-terrorists and leave Julian…</t>
  </si>
  <si>
    <t>RT @RussHansen51: Leaked email shows george soros orchestrated O’Reilly smear campaign https://t.co/dzlGtxrhUJ #teaparty #tlot #tcot #pjnet…</t>
  </si>
  <si>
    <t>RT @sean_spicier: FULL LIST OF IRAN'S NUKE DEAL RESPONSIBILITIES:
-
-
-
-
-
-</t>
  </si>
  <si>
    <t>RT @JackPosobiec: Victim Sean Stiles is pressing charges against Antifa Professor Eric Clanton https://t.co/gN5VV35MXA</t>
  </si>
  <si>
    <t>RT @_Pumpkin8: @BlockInTheChain @Dave30959 @polNewsNet @HalleyBorderCol Wish people would quit calling Antifa, "protestors". They are terro…</t>
  </si>
  <si>
    <t>RT @JackPosobiec: Murderous Antifa with Bike Lock Outed by /pol/ as SFSU Professor 
https://t.co/BRqUosLQHU</t>
  </si>
  <si>
    <t>RT @Mizzourah_Cuck: #wednesdaywisdom #MenschAMovie #ShotsFired #WizHawks #dsma #IAmFreshOutOf https://t.co/ZU1LIQCOCi</t>
  </si>
  <si>
    <t>RT @davidfrum: 4 convictions, 1 for shoplifting, 3 for driving without a license. https://t.co/pCKXNa44mP</t>
  </si>
  <si>
    <t>RT @TomFitton: Obama FBI used political oppo research to justify FISA warrant?!!  https://t.co/TzBXF36V9g</t>
  </si>
  <si>
    <t>RT @AnnCoulter: Hello, media?  Report: Suspect in Fresno shooting spree that killed 3 shouts 'Allahu Akbar' when arrested - https://t.co/ZE…</t>
  </si>
  <si>
    <t>RT @RealJamesWoods: Like rats they always work better hidden #TheDemocrats https://t.co/VcjWGwB1B8</t>
  </si>
  <si>
    <t>RT @vdare: A good question from 2013 https://t.co/h4jFWW7RXj</t>
  </si>
  <si>
    <t>RT @Mizzourah_Cuck: This is absolutely true. If you live in MO you know this is true. #AMJoy #ResurrectionSunday #FakeCommandmentFacts am I…</t>
  </si>
  <si>
    <t>RT @Mizzourah_Cuck: #eastersunday #ResurrectionSunday #CNNSOTU #AMJoy #VTWeRemember #ThisWeek #SuperSoulSunday https://t.co/yqfty79bQS</t>
  </si>
  <si>
    <t>RT @Mizzourah_Cuck: Happy Easter! Celebrate our risen savior. #ResurrectionSunday #eastersunday</t>
  </si>
  <si>
    <t>@Mizzourah_Cuck Yep, go out and watch it! 😆</t>
  </si>
  <si>
    <t>RT @LindaSuhler: Wishing you and your family a blessed Easter. https://t.co/Mw224IgVMg</t>
  </si>
  <si>
    <t>RT @shane_bauer: I tell a police officer I've been seeing people get beat up all day and they haven't been around. "Okay, and?" he says. ht…</t>
  </si>
  <si>
    <t>RT @YoungDems4Trump: "Love Trumps Hate" they shout as they beat you into the hospital.
#Berkeley #AntifaTerrorists https://t.co/UiXfH6P6uZ</t>
  </si>
  <si>
    <t>RT @YoungDems4Trump: Antifa are domestic terrorists. Look at them drag innocent man into mob to beat him senseless. Cowards. #Berkeley http…</t>
  </si>
  <si>
    <t>RT @JackPosobiec: CNN has given more coverage to a baby giraffe today than the Antifa terrorist attacks in Berkeley 
Let that sink in</t>
  </si>
  <si>
    <t>RT @clminakowski: "Democracy dies in darkness"
Imagine that's your paper's motto then you publish this paragraph. 
https://t.co/oLTYiwT9d5…</t>
  </si>
  <si>
    <t>RT @Snowden: Facebook's Chief Security Officer on @NSAGov's refusal to warn US software makers about the stolen NSA malware now wrecking th…</t>
  </si>
  <si>
    <t>RT @Snowden: Nice catch: 2013 archive confirms #NSA hacked the EU's SWIFT network, violating data-sharing agreement. Any comment yet from E…</t>
  </si>
  <si>
    <t>RT @AmericanBrawn1: What difference will it make if corporations create jobs from low taxes if they can hire cheap foreign labor in lieu of…</t>
  </si>
  <si>
    <t>RT @wikileaks: Full doc: CIA orders to hack Le Pen &amp;amp; other French presidential candidates https://t.co/mos2EgAWj6 https://t.co/pGgYbpBkr7</t>
  </si>
  <si>
    <t>RT @sean_spicier: The MOAB was available during the Obama years, but there was a better chance of it being used on Texas than Afghanistan d…</t>
  </si>
  <si>
    <t>RT @NumbersUSA: Trump's new economic chairman supports doubling immigration levels. https://t.co/E8sczW5zF3</t>
  </si>
  <si>
    <t>RT @wikileaks: Those tunnels the U.S is bombing in Afghanistan? They were built by the CIA https://t.co/u66ScoiNpX (via @GabiElenaDohm) htt…</t>
  </si>
  <si>
    <t>RT @_Makada_: ANOTHER PROMISE KEPT! President Trump signs bill allowing states to cut funding to abortion providers! https://t.co/uH2ZJ7oWPs</t>
  </si>
  <si>
    <t>RT @JackPosobiec: McMaster is tied to Petraeus, tied to Soros, tied to Obama...funny how I never hear about his ties to the American people</t>
  </si>
  <si>
    <t>RT @JackPosobiec: In 1997, McMaster wrote that the main problem with the Vietnam War was that politicians listened to the American people t…</t>
  </si>
  <si>
    <t>RT @johncardillo: Bannon is on incredibly thin ice because...politics. He is really the only voice of the base left in the West Wing. #Keep…</t>
  </si>
  <si>
    <t>RT @PrisonPlanet: I hope this makes things a bit clearer for my critics. Thank you for reading. 👍👌🏼 https://t.co/BgTYCJ4pkh</t>
  </si>
  <si>
    <t>RT @JackPosobiec: Funny how there are never any leaked stories about McMaster, Dina Powell, or Globalist Gary 🌎 in the WaPo or NYTimes...</t>
  </si>
  <si>
    <t>RT @benshapiro: Spicer said an idiotic, non-malicious thing about the Holocaust. Obama signed a nuclear deal with open advocates for anti-J…</t>
  </si>
  <si>
    <t>RT @wikileaks: "[al-Quada] is on our side in Syria"--email from policy advisor to Secretary of State Hillary Clinton (Feb 2012) https://t.c…</t>
  </si>
  <si>
    <t>@fruitloops412 
Happy Birthday! Hope you have a great day, E! ☺ https://t.co/Q4psK9fQMP</t>
  </si>
  <si>
    <t>RT @PrisonPlanet: Trump listened to his base and realized we were right.
This is fantastic news.
https://t.co/HWLSOyiIki</t>
  </si>
  <si>
    <t>RT @RedNationRising: Before you rush to let them in because your heart bleeds for them, let our gov't vet them so the rest of us don't blee…</t>
  </si>
  <si>
    <t>RT @sean_spicier: I sincerely apologize for saying Hitler didn't use chemical weapons, even though he didn't and you guys are wrong.</t>
  </si>
  <si>
    <t>#nationalpetday
Kiki ☺ https://t.co/FnSSvGbPpN</t>
  </si>
  <si>
    <t>RT @vdare: Democracy - a system of government where media tells people what to think, judges make the law, and bureaucrats set policy</t>
  </si>
  <si>
    <t>RT @mtracey: Alternate headline: Unknown "official" makes unverifiable claim based on unavailable evidence https://t.co/ZzVCUu5tS9</t>
  </si>
  <si>
    <t>RT @AnnCoulter: Kuwait to pass laws banning the construction of Christian religious sites.  Yeah, Assad's the problem.  https://t.co/SFgxWe…</t>
  </si>
  <si>
    <t>RT @TweetingYarnie: Russia and Iran have drawn their own redline and have dared Trump to step over it. #MondayMorning https://t.co/sv0UQorp…</t>
  </si>
  <si>
    <t>RT @PrisonPlanet: 25,000+ votes. 75% against.
@realDonaldTrump @DonaldJTrumpJr https://t.co/BIJMMAy0hy</t>
  </si>
  <si>
    <t>RT @wikileaks: The Senator in charge of investigating CIA gun-running neglected to mention his brother-in-law was a CIA gun-runner. https:/…</t>
  </si>
  <si>
    <t>RT @_Makada_: ISIS murdered at least 43 Christians today in #Egypt on #PalmSunday yet we're focused on toppling Assad who protects Christia…</t>
  </si>
  <si>
    <t>RT @HouseCracka: I got my Neo Con radar on. One sign that we are going full Neo Con I launch full scale attack. Never go full Neo Con. http…</t>
  </si>
  <si>
    <t>RT @ffweekend: .@GovMikeHuckabee: No good reason to publicly accuse Russia of complicity with chemical attacks unless we can prove it beyon…</t>
  </si>
  <si>
    <t>RT @JackPosobiec: Can confirm, hearing the same from independent sources https://t.co/snsboKKcTg</t>
  </si>
  <si>
    <t>RT @StefanMolyneux: You saw the bodies in Syria.
Did you see the bodies in Sweden? 
That's all you need to know.</t>
  </si>
  <si>
    <t>RT @ProximaOne: @vdare @POTUS A Syrian refugee who should not be in America, praised the bombing that shouldn´t have happened.</t>
  </si>
  <si>
    <t>RT @MarkSKrikorian: So Trump's incoming chair of the Council of Economic Advisors wants to double immigration https://t.co/KMy6RBWbCT</t>
  </si>
  <si>
    <t>RT @JulianAssange: #ShadowBrokers are conspicuously &amp;amp; intentionally trying to suggest that they are Russian and aligned with Russian foreig…</t>
  </si>
  <si>
    <t>RT @GrrrGraphics: Angels and Demons https://t.co/tEsNreImd8 https://t.co/Gz7s2cnoXn</t>
  </si>
  <si>
    <t>RT @TheRalphRetort: Big if true #FireKushner https://t.co/H3rH1SUwm3</t>
  </si>
  <si>
    <t>RT @CassandraRules: #FireKushner #KeepBannon https://t.co/2svqhjFAv4</t>
  </si>
  <si>
    <t>RT @stranahan: People who are directly in Hillary's circle now have the ear of Trump… https://t.co/ajnqsKZ9FZ</t>
  </si>
  <si>
    <t>RT @DRUDGE_REPORT: SAVAGE:  NO WAR! https://t.co/UrcQ4quFju</t>
  </si>
  <si>
    <t>RT @realDonaldTrump: AGAIN, TO OUR VERY FOOLISH LEADER, DO NOT ATTACK SYRIA - IF YOU DO MANY VERY BAD THINGS WILL HAPPEN &amp;amp; FROM THAT FIGHT…</t>
  </si>
  <si>
    <t>RT @ColumbiaBugle: #Editorial: The seat is empty no longer. The promise is kept. We pray the successor is worthy. #GorsuchNomination #Anton…</t>
  </si>
  <si>
    <t>RT @asamjulian: Disagreeing with Trump means I'm not a part of his base anymore? This isn't a cult, folks. https://t.co/vZ8VJiY4Vr</t>
  </si>
  <si>
    <t>RT @IngrahamAngle: Missiles flying. Rubio's happy. McCain ecstatic. Hillary's on board. A complete policy change in 48 hrs.</t>
  </si>
  <si>
    <t>RT @DRUDGE_REPORT: TRASH TALK INTENSIFIES... https://t.co/46YDyfqbEX</t>
  </si>
  <si>
    <t>RT @wikileaks: WikiLeaks Reveals How the US Aggressively Pursued Regime Change in Syria, Igniting a Bloodbath (book chapter) https://t.co/F…</t>
  </si>
  <si>
    <t>RT @medialens: The same journalists who warned us Trump was an existential, Hitlerian threat are now egging him on to unilaterally attack S…</t>
  </si>
  <si>
    <t>RT @medialens: Important, rare caveat removed from BBC article on Syria chemical attack https://t.co/c1RlzRKq9i See News Sniffer https://t.…</t>
  </si>
  <si>
    <t>RT @AnnCoulter: Constitution reqs more-than-majority vote in ONLY a few exceptional circs: expulsion, impeachment, overriding presidential…</t>
  </si>
  <si>
    <t>RT @AnnCoulter: Gen. Michael Hayden: N Korea will make nuke capable of hitting Seattle!  Situation will be dire as soon as they can hit a c…</t>
  </si>
  <si>
    <t>RT @RandPaul: This remains true today as it was in 2013. Both parts. https://t.co/sRQkcZ0oDI</t>
  </si>
  <si>
    <t>RT @ggreenwald: Defending and mitigating Hitler's crimes - to fuel a new US war - is about as appalling as it gets. https://t.co/oU1yK2FS0H</t>
  </si>
  <si>
    <t>RT @OliMauritania: @RandPaul Please go back to golf with @realDonaldTrump and redpill him about false flag gas attack in Syria. He needs to…</t>
  </si>
  <si>
    <t>RT @vdare: Notice how there is no money for border security, there is no money for infrastructure, but GOP suddenly ready to spend everythi…</t>
  </si>
  <si>
    <t>RT @DineshDSouza: So why hasn't Schiff stepped down when Nunes has? Answer: Democrats don't wimp out like Republicans do</t>
  </si>
  <si>
    <t>RT @jerome_corsi: Senate NUKES DEMS to put Gorsuch on Supreme Court https://t.co/Y9L0tQaA1I US sick of DEM hard-left "resistance" - Tom Per…</t>
  </si>
  <si>
    <t>RT @asamjulian: Too many neocons in Trump's cabinet. Is there anyone, except maybe Bannon, that passionately shares his foreign policy he c…</t>
  </si>
  <si>
    <t>RT @PrisonPlanet: Interfering in foreign elections is BAD. Except when George Soros does it all over the world. then lefties love it. https…</t>
  </si>
  <si>
    <t>RT @wikileaks: Kissinger and the CIA discussed ways to limit Congressional access to information regarding the Agency’s activities 
https:/…</t>
  </si>
  <si>
    <t>RT @wikileaks: Once there was a white paper: Susan Rice et al strategic plan for the Obama White House, Oct 27, 2008 https://t.co/3CYbP6LE1D</t>
  </si>
  <si>
    <t>RT @0bielicious: Thank god this atrocity didn't become President https://t.co/Mckd2tQqgG</t>
  </si>
  <si>
    <t>RT @sean_spicier: President Trump condemns the gas attack in Syria, that never would've happened if Obama wasn't so weak.</t>
  </si>
  <si>
    <t>RT @AnnCoulter: Good grief, MSNBC obsessed w/ starting another Middle Eastern war! How does our BFF Saudi Arabia treat opposition forces, c…</t>
  </si>
  <si>
    <t>RT @trooper2121: 😂🇺🇸😂🇺🇸😂🇺🇸😂🇺🇸😂🇺🇸 https://t.co/1HUYhLAXNm</t>
  </si>
  <si>
    <t>RT @PrisonPlanet: https://t.co/9EXaJBPqKH</t>
  </si>
  <si>
    <t>RT @dbongino: The government we pay, and allow to govern, now feels it has the authority to spy on us as long as they put the word "inciden…</t>
  </si>
  <si>
    <t>RT @JackPosobiec: Today MSNBC let Susan Rice give a complete explanation of the unmaking situation that 2 weeks ago she assured he she knew…</t>
  </si>
  <si>
    <t>RT @JackPosobiec: The media is more concerned with a Pepsi ad than Obama using the NSA in the biggest political scandal since Watergate</t>
  </si>
  <si>
    <t>RT @dbongino: The real scandal here is that the Democrat/Media complex wants us to believe that spying on American citizens is "routine."…</t>
  </si>
  <si>
    <t>RT @sean_spicier: Media who couldn't find Syria on a map for the last 8 years, suddenly aghast at what's been going on</t>
  </si>
  <si>
    <t>RT @PrisonPlanet: How long can the media pretend that Rice didn't unmask team Trump for political reasons on the orders of Obama?</t>
  </si>
  <si>
    <t>RT @AnnCoulter: I've invented the Susan Rice lie detector!!! Put motion-detectors on her lips.  If they move, she's lying.</t>
  </si>
  <si>
    <t>RT @LindaSuhler: Yeah -- the Dems are now this blindly, stupidly obstructionist.
#ConfirmGorsuch https://t.co/8QVQBnFdbv</t>
  </si>
  <si>
    <t>RT @josh_hammer: That Jews living in *Judea* are "occupiers" is a lie arguably tantamount to the ancient blood libel, in terms of unapologe…</t>
  </si>
  <si>
    <t>RT @sean_spicier: Totally shocked that the guy who used the IRS &amp;amp; DOJ to silence political opponents, also used our Intel agencies</t>
  </si>
  <si>
    <t>RT @DineshDSouza: Obama turned the DOJ into a weapon against his critics--now it's time to unleash that weapon against HIM https://t.co/MDg…</t>
  </si>
  <si>
    <t>RT @GovMikeHuckabee: Mushroom cloud seen over Senate as Gorsuch confirmation looms thanks to Harry Reid and Dems  firing 1st shot. Can u sa…</t>
  </si>
  <si>
    <t>RT @weneverlie: @CNN @MSNBC @maddow @CNNPolitics @BarackObama @mitchellvii @realDonaldTrump @POTUS @weneverlie @FoxNews @MOVEFORWARDHUGE ht…</t>
  </si>
  <si>
    <t>RT @JulianAssange: US 'progressives' are celebrating neocons, FBI &amp;amp; CIA in their existential battle to dethrone Trump https://t.co/9OyJLwR5…</t>
  </si>
  <si>
    <t>@SueV_781 @asamjulian You're probably right, she was foolish enough to take the blame before.</t>
  </si>
  <si>
    <t>RT @asamjulian: Susan Rice Requested Unmasking of Incoming Trump Administration Officials https://t.co/8BW4XcwXcy</t>
  </si>
  <si>
    <t>RT @_Makada_: Now we learn that globalist Susan Rice may have been the one who requested unmasking of incoming Trump officials. Liberal med…</t>
  </si>
  <si>
    <t>@fruitloops412 I haven't been tweeting as much because I wonder if he's going back on what he promised and is really the same as the GOP elite.</t>
  </si>
  <si>
    <t>@fruitloops412 I know exactly what you mean. I didn't vote for cuts to pell grants, MOW, elderly heating etc. Really making it hard to support Trump. 🙁</t>
  </si>
  <si>
    <t>RT @Mizzourah_Cuck: @fruitloops412 @Mizzourah_Mom @Germantownrunne @eREM1600 @hollybear34 @1shawnster @arielangel1026 https://t.co/AcJ4F6lW…</t>
  </si>
  <si>
    <t>RT @DineshDSouza: So what if the White House gave Nunes the intelligence--was there or was there not illicit surveillance of @realDonaldTru…</t>
  </si>
  <si>
    <t>RT @mitchellvii: Remember the good old days when the media at least pretended to be unbiased?  Lol, now they may as well hold a daily parad…</t>
  </si>
  <si>
    <t>RT @mtracey: Have you noticed that lots of prominent Twitter media personalities now mass-delete their old tweets?</t>
  </si>
  <si>
    <t>RT @Dave4FtMyers: Right to Petition for Redress of Grievances the story of a First Amendment right we have lost: https://t.co/S8xWQmlK1Y</t>
  </si>
  <si>
    <t>RT @PoliticalGracie: Remember when names released thru Wikileaks of donations to CF to receive places in govt.? Jeh Johnson donated approx…</t>
  </si>
  <si>
    <t>RT @adamhousley: Our sources: This surveillance that led to the unmasking of private names of American citizens started before Trump was th…</t>
  </si>
  <si>
    <t>This funny Missouri reporter explains the Midwest to the rest of the country https://t.co/yk8Ide6KAI via @fox2now</t>
  </si>
  <si>
    <t>RT @schestowitz: @wikileaks The severity of this is high. It might serve to show, among other things, that #crowdstrike attribution to "Rus…</t>
  </si>
  <si>
    <t>RT @wikileaks: RELEASE: CIA Vault 7 Part 3 "Marble" -- thousands of CIA viruses and hacking attacks could now be attributed https://t.co/Mf…</t>
  </si>
  <si>
    <t>RT @wikileaks: U.S. government spends 90% of its cyber budget attacking people and only 10% on defense. https://t.co/ZPJNOQv43n</t>
  </si>
  <si>
    <t>RT @DineshDSouza: The issue isn't whether the White House gave Nunes the info--the issue is whether @realDonaldTrump 's team was under illi…</t>
  </si>
  <si>
    <t>RT @mtracey: FireEye CEO concedes that his firm's assignment of blame to Russia for the DNC hack was based on "deduction" and "process of e…</t>
  </si>
  <si>
    <t>RT @campusreform: "What a lot of people don’t know is that universities get massive tax breaks for their massive endowments." https://t.co/…</t>
  </si>
  <si>
    <t>RT @terrymendozer: Statement from attorney  📛 Mike Flynn 
No attorney would not protect his client. Democrats are out for blood &amp;amp; will out…</t>
  </si>
  <si>
    <t>RT @AnnCoulter: Under the Ryan bill, I still won't be allowed to buy decent health insurance. https://t.co/DnBQtPrcyf</t>
  </si>
  <si>
    <t>RT @TuckerCarlson: Christian Access Network: Dept of Education will allow Muslim prayers to be taught in our schools... but won't allow les…</t>
  </si>
  <si>
    <t>RT @JackPosobiec: Sharia
Law
Is
Not
Social
Justice</t>
  </si>
  <si>
    <t>Globalism is killing us.
The new face of suburbia: Economic woes and early death https://t.co/haqDnNKi2K via @cbsnews</t>
  </si>
  <si>
    <t>RT @jamesplake721: BREAKING: EVELYN FARKUS OBAMA AIDE ADMITS THEY SPIED ON @realDonaldTrump AND WERE LEAKING IT THE LAST 10 SECONDS IS DAMI…</t>
  </si>
  <si>
    <t>RT @JoeTheMailman: BREAKING!
Mexican Attorney Gen "BUSTED" at
USA border for smuggling heroin~meth~cocaine-&amp;gt; https://t.co/IzSjUiWvsb https…</t>
  </si>
  <si>
    <t>RT @derekahunter: We should not be separating families...deport them all. #Caring https://t.co/0bgfq9YUX7</t>
  </si>
  <si>
    <t>RT @IAMERIKPACHECO: RT to urge Trump to arrest known criminal @georgesoros. He's behind all major efforts against Trump, and he needs to be…</t>
  </si>
  <si>
    <t>@Mizzourah_Cuck @fruitloops412 
No problem! ☺</t>
  </si>
  <si>
    <t>@AnnCoulter 
Sounds like a great plan to me! 😊</t>
  </si>
  <si>
    <t>RT @RockysPride: Wendy's: Help recruit an employee 🏃‍♀️🏃
and get a free meal for the next week 🍔🍟🥃
#OddStoreCoupons https://t.co/oXREhUw8z8</t>
  </si>
  <si>
    <t>RT @sean_spicier: Let's see...which Obama screw-up should we sign away today? Decisions, decisions</t>
  </si>
  <si>
    <t>RT @sean_spicier: You know you've lost your moral compass when exposing the selling of baby parts is a bigger crime than the act itself</t>
  </si>
  <si>
    <t>RT @sean_spicier: Oh, I get it. Rep Nunes at the WH looks like a criminal coverup, but AG Lynch &amp;amp; Bill Clinton running into each other on a…</t>
  </si>
  <si>
    <t>@billnsher42197 
I reluctantly voted for him in 2008. We can't change the past and McCain is proving to be a crazy globalist NOW.</t>
  </si>
  <si>
    <t>RT @YoungDems4Trump: when Soros tells you what exactly to say https://t.co/1rAmQS7Lnt</t>
  </si>
  <si>
    <t>RT @DontBluffMe77: @ish10040 @jerome_corsi https://t.co/ibr8g1Ldk5</t>
  </si>
  <si>
    <t>RT @MarkSimoneNY: https://t.co/gVeocm1S6W</t>
  </si>
  <si>
    <t>RT @KickinBrass1: @realDonaldTrump @CarmineZozzora https://t.co/ocXotQGcWf</t>
  </si>
  <si>
    <t>RT @9ERSorBUST: TOTALLY AGREE that DACA "Dreamers" should be disqualified on the spot and subsequently #deported when convicted of a crime.</t>
  </si>
  <si>
    <t>RT @JohnKStahlUSA: These dolts spend most of their time raising money for the next election. Doing the people's business is secondary. #tco…</t>
  </si>
  <si>
    <t>RT @RichardTBurnett: https://t.co/XaGvHzLB3e</t>
  </si>
  <si>
    <t>RT @DailyCaller: Poll: Americans Want Gorsuch Confirmed By 17 Point Margin https://t.co/91Fm3sabth 👍👍👍 https://t.co/KmZhBbznQK</t>
  </si>
  <si>
    <t>RT @jimgoad: Springtime in America.  #HuntingtonBeach https://t.co/aXAKw1V5p7</t>
  </si>
  <si>
    <t>@fruitloops412 
Everone would benefit. 👍</t>
  </si>
  <si>
    <t>@fruitloops412 
And let insurance companies compete across state lines - that would help lower costs, also Canadian pharmaceuticals</t>
  </si>
  <si>
    <t>@fruitloops412 
Exactly! One article said insurance on #Ryancare could cost $20K per year on older person making $18K - not feasible.</t>
  </si>
  <si>
    <t>@fruitloops412 
That's true - and the most vulnerable people will probably be hurt the worst (elderly, working poor, etc.) 😠</t>
  </si>
  <si>
    <t>@fruitloops412 
Yeah, really glad #Ryancare died.  Hope they don't try to force something like it down our throats again. 😝</t>
  </si>
  <si>
    <t>@fruitloops412 
I wouldn't mind slow if I thought it was actually going to happen. Read somewhere he changed his mind. 😞</t>
  </si>
  <si>
    <t>@fruitloops412 
Pathetic it hasn't been investigated/exposed yet. I was hoping Sessions would see that happened soon.</t>
  </si>
  <si>
    <t>@fruitloops412 
And even that wasn't enough - they set up their "foundation" and made millions on their pay to play scheme.</t>
  </si>
  <si>
    <t>@PNHW1980 @fruitloops412 
Very true! 😄</t>
  </si>
  <si>
    <t>RT @PNHW1980: The word "politics" comes from Greek. 
"Poli" meaning many. 
"Tics" meaning blood sucking parasites.</t>
  </si>
  <si>
    <t>RT @TheFastPitch: Greitens and the GOP's new plan is to cut funds for old and disabled people who rent https://t.co/srWTjYvrqJ e-elderly</t>
  </si>
  <si>
    <t>RT @MissouriBudget: Circuit breaker changes would impact 100,000 low-income seniors &amp;amp; MO'ans w/disabilities across the state #moleg https:/…</t>
  </si>
  <si>
    <t>RT @MissouriBudget: See how many low-income seniors &amp;amp; MO'ans w/disabilities would lose the circuit breaker by MO Senate District #moleg htt…</t>
  </si>
  <si>
    <t>RT @JackPosobiec: Oh look they made it easy for Sessions to know which cities to cut funding first https://t.co/hTMqaqP5o1</t>
  </si>
  <si>
    <t>@AOsiatynski 
That would probably be a good place to start.</t>
  </si>
  <si>
    <t>RT @HarmlessYardDog: .@AnnCoulter was on point tonight Without Deportations,H1B visa reform and a Big Wall, corporate tax cuts won't benefi…</t>
  </si>
  <si>
    <t>@AnnCoulter 
Yes, and she realized Missouri does not like illegal immigration.</t>
  </si>
  <si>
    <t>RT @RealJamesWoods: There is NO argument here. It is violation of federal law to harbor a lawbreaker. Arrest the mayors of these cities. ht…</t>
  </si>
  <si>
    <t>RT @RealJamesWoods: #SweetJustice https://t.co/wZNseFw0q6</t>
  </si>
  <si>
    <t>RT @jerome_corsi: Rep. Mo Brooks files one sentence bill to REPEAL OBAMACARE https://t.co/VHpZYtHXNO GOOD IDEA - maybe add a second sentenc…</t>
  </si>
  <si>
    <t>RT @Tombx7M: Breaking: it's manipulation time
 #ReleaseTheHannityTape https://t.co/xCsO6xm74l</t>
  </si>
  <si>
    <t>RT @dbongino: So,conservative opinion shows are under attack by journalists? Biased "journalism" shows ARE opinion shows, they're just dish…</t>
  </si>
  <si>
    <t>RT @_Makada_: There is no '#MuslimWomensDay' in any Muslim countries. That's because women are enslaved and treated worse than animals unde…</t>
  </si>
  <si>
    <t>RT @jerome_corsi: Watch Hard-LEFT go berserk over AG determined to enforce immigration laws https://t.co/zp6EO1tR2z SESSIONS vows to punish…</t>
  </si>
  <si>
    <t>RT @NPR: AG Jeff Sessions made good on a threat by POTUS, announcing today that the Justice Dept. will sever grant funds to sanctuary citie…</t>
  </si>
  <si>
    <t>@Mizzourah_Cuck 
True - go to church on Sunday and live like the devil on Monday.</t>
  </si>
  <si>
    <t>RT @mtracey: 1) CNN "analyst" postulates a "deal" between Flynn/FBI 
2) Twitter goes crazy 
3) She admits it was wild speculation https://t…</t>
  </si>
  <si>
    <t>RT @sean_spicier: Police arrested another person in connection w/the Westminster attack. This brings the total arrested to 12. Also, the at…</t>
  </si>
  <si>
    <t>We dodged this bullet in 2008! Now, how can we get rid of him?
McCain: World 'cries out' for US and EU leadership https://t.co/H3V3tKRFOc</t>
  </si>
  <si>
    <t>RT @deplorablezilla: Israel is the last hope for the Middle East. We have to stand with them at all costs. 🇮🇱
#AIPAC2017</t>
  </si>
  <si>
    <t>RT @CromwellForever: @mtracey maybe it's my political bias and I know this is said too often, but "America first is a Russian slogan" is un…</t>
  </si>
  <si>
    <t>RT @DBHnBuckhead: @wikileaks
Barry hacked Trump... https://t.co/SOpbGvwJ3T</t>
  </si>
  <si>
    <t>RT @wikileaks: Full doc: The ground zero of modern mass surveillance (US President's Surveillance Program, archive) https://t.co/y8h6DfJ3um</t>
  </si>
  <si>
    <t>RT @jerome_corsi: TRUMP ran as an INDEPENDENT must rule as INDEPENDENT - bring "Reagan DEMS" into tax reform FIRE RYAN, FIRE PRIEBUS - GOP…</t>
  </si>
  <si>
    <t>RT @Stevenwhirsch99: Now we all get to sit back and watch Obamacare crash and burn like it was designed to do. Whats funny is that dems thi…</t>
  </si>
  <si>
    <t>RT @jojoh888: 💥#BreakingNews💥 #Lille shooting: Gunman opens fire at metro station in northern France, reports of multiple injuries https://…</t>
  </si>
  <si>
    <t>RT @AnnCoulter: Exclusive! Discussion About GOP Replacement to Paul Ryan as Speaker of House Intensifies in White House, Congress https://t…</t>
  </si>
  <si>
    <t>@ScottPresler 
I will vote for you in MO!</t>
  </si>
  <si>
    <t>@Germantownrunne @fruitloops412 @dr_mike91 @DrJohn76533054 @CowboysChica @blake09220683 
I took it as a joke. ☺</t>
  </si>
  <si>
    <t>RT @ColumbiaBugle: The lesson from the #KillTheBill movement is that the American People will not accept mediocrity. Time to #DrainTheSwamp…</t>
  </si>
  <si>
    <t>RT @AnnCoulter: I want rich's Obamacare taxes to skyrocket until I can buy health ins on the free market. Maybe then they'll care about the…</t>
  </si>
  <si>
    <t>RT @JohnTDolan: The reason replacement HealthCare Bill NEVER was prepared is bc the Establishment RINOs NEVER wrote one expecting Hillary t…</t>
  </si>
  <si>
    <t>RT @ColumbiaBugle: How about you let someone else handle that. #ResignRyan https://t.co/klGnE8W4Kl</t>
  </si>
  <si>
    <t>RT @steph93065: You know who feels worse than Paul Ryan today? Schumer &amp;amp; the Dems because the 2017 implosion of O'Care is ALL on them now.</t>
  </si>
  <si>
    <t>RT @FoxNewsMom: Ryan: We didn't quite get consensus today. Thought the wise thing to do was to pull the bill..
W/b wise if House pulls spe…</t>
  </si>
  <si>
    <t>@Mizzourah_Cuck @fruitloops412 
Good one! 😆</t>
  </si>
  <si>
    <t>@fruitloops412 @Cernovich 
Wonder what that was about? I'm sure it will get "leaked" eventually. 😆</t>
  </si>
  <si>
    <t>RT @jerome_corsi: Trump pulls Obamacare bill - RINOs DOWN to DEFEAT - Paul Ryan (DEM-lite) SHOULD RESIGN &amp;amp; take PRIEBUS OUT with him. Estab…</t>
  </si>
  <si>
    <t>@fruitloops412 @Cernovich 
I hope he did - it would've hurt his base. Ryan comes out looking bad in this now.</t>
  </si>
  <si>
    <t>@fruitloops412 @Germantownrunne @dr_mike91 @DrJohn76533054 @CowboysChica @blake09220683 
We'd get suspended - not that I don't agree 😉</t>
  </si>
  <si>
    <t>@Mizzourah_Cuck @fruitloops412 
Yes! 👍 #Ryancare was a disaster.</t>
  </si>
  <si>
    <t>RT @ColumbiaBugle: #Editorial We did it! We killed the bill! Time now to replace @SpeakerRyan! #KillTheBill https://t.co/FU7RDSN5vX</t>
  </si>
  <si>
    <t>RT @RichardTBurnett: I blame Reince Preibus for telling Trump to trust his buddy, Paul Ryan! Both should resign now. 👍🏻😎</t>
  </si>
  <si>
    <t>RT @TheMarkRomano: Step 1: #KillTheBill
Step 2: Remove Paul Ryan as Speaker.
Step 3: Pass a better bill.</t>
  </si>
  <si>
    <t>RT @Madhatter_007: One of the biggest #Scandal, is @SpeakerRyan. Enemy within.  We the people want you gone! #FridayFeeling https://t.co/tO…</t>
  </si>
  <si>
    <t>So, by his reasoning, if all of the victims had been British it wouldn't have been as "magnificent". 😞 https://t.co/1hsIlT1B62</t>
  </si>
  <si>
    <t>RT @MotivatedVoter: #MO voters - Senator @RoyBlunt voted today to allow Internet providers to track your usage, scan your email, and sell y…</t>
  </si>
  <si>
    <t>RT @fightfortheftr: .@RoyBlunt just voted to let ISPs sell your private data to advertisers. Think it's a coincidence that AT&amp;amp;T is one of h…</t>
  </si>
  <si>
    <t>@RoyBlunt 
And yet you voted to sell their #ISPs today too...</t>
  </si>
  <si>
    <t>@RoyBlunt 
Why did you vote to sell the #ISPs of your Missouri constituents? Money? This will be remembered at the next primary.</t>
  </si>
  <si>
    <t>RT @Len1776: Rand Paul is the only GOP Senator to vote against ISPs having your personal data. Either recall or primary the rest! #drainthe…</t>
  </si>
  <si>
    <t>RT @TweetingYarnie: The Senators who voted to sell out their constituents on ISPs #BroadbandPrivacy U lost our trust &amp;amp; vote. @ChuckGrassley…</t>
  </si>
  <si>
    <t>RT @TwitterMoments: Internet service providers can now access stuff like your browser history without your permission. 
https://t.co/PRhdNC…</t>
  </si>
  <si>
    <t>RT @Americooligan: Every @SenateGOP member that voted to allow ISPs to sell our browser history is "the swamp," @realDonaldTrump. Every one…</t>
  </si>
  <si>
    <t>RT @AnnCoulter: GOP health bill a nightmare. It actually SETS THE PREMIUMS, based on age &amp;amp; income. IDEA: Let ins cos competing for my busin…</t>
  </si>
  <si>
    <t>RT @KazmierskiR: .@POTUS @SpeakerRyan @RandPaul 
Paul Ryan plants #GUNcontrol measures in #AHCA, without #Trump's knowledge.
#2A
https:/…</t>
  </si>
  <si>
    <t>RT @sean_spicier: Going to be entertaining to watch Democrats explain why they voted for Gorsuch before but can't now</t>
  </si>
  <si>
    <t>RT @BobDohertyACP: Let's stop cancer-shaming people. Sure, eat healthy. Don't smoke. Reduce environmental hazards. But bad things can still…</t>
  </si>
  <si>
    <t>RT @Heritage: The Obama administration’s own State Department—through multiple environmental reviews—concluded that Keystone XL is environm…</t>
  </si>
  <si>
    <t>RT @neontaster: Time Magazine - 1966 vs. 2017. https://t.co/xgJtWgvetm</t>
  </si>
  <si>
    <t>RT @Mizzourah_Cuck: Ryans America LOL @Mizzourah_Mom @fruitloops412 #NationalPuppyDay #ThursdayThoughts #AHCA #FreedomCaucus #SavetheACA #C…</t>
  </si>
  <si>
    <t>@fruitloops412 @Mizzourah_Cuck 
True. I don't think Ryan has a heart for anyone out of the 1%, starting to wonder about Trump too.</t>
  </si>
  <si>
    <t>RT @JackPosobiec: No, @TIME. Truth is finally free after we killed your monopoly on news https://t.co/GqySC8EOLu</t>
  </si>
  <si>
    <t>RT @Reensiebaby: @DRUDGE 
@realDonaldTrump needs new council that reflects the voter's voice. He's at his strongest serving the voters. @Sp…</t>
  </si>
  <si>
    <t>@fruitloops412 @Germantownrunne @Terri101092 @1shawnster 
True, independent thinkers and are the wallflowers without a party to go to 😆</t>
  </si>
  <si>
    <t>@Germantownrunne @fruitloops412 @Terri101092 @1shawnster 
Maybe, I think we were a big reason Trump was elected, but we lack organization.</t>
  </si>
  <si>
    <t>@Germantownrunne @fruitloops412 @Terri101092 @1shawnster 
Most I's do not agree on everything or we would form a party. Trump spoke to us.</t>
  </si>
  <si>
    <t>@Germantownrunne @fruitloops412 @Terri101092 @1shawnster 
Everyone can make mistakes - we are all human. Independents are free of a party.</t>
  </si>
  <si>
    <t>@fruitloops412 @Germantownrunne @Terri101092 @1shawnster 
Independents can spot hypocrisy on both sides because we're not blinded by party</t>
  </si>
  <si>
    <t>RT @AnnCoulter: Dear GOP: You can never imitate the wonders of the free market with legal provisions. Only the free market can be the free…</t>
  </si>
  <si>
    <t>@Germantownrunne @fruitloops412 @Terri101092 @1shawnster 
Did the same. Totally disillusioned w/parties, but liked Trump in 2016.</t>
  </si>
  <si>
    <t>@Germantownrunne @Mizzourah_Cuck @fruitloops412 @admirathoria 
I support Trump, but I think he is being advised badly and needs to re-do it</t>
  </si>
  <si>
    <t>@KimnanaT @Mizzourah_Cuck 
That may be true and it could get ugly</t>
  </si>
  <si>
    <t>@KimnanaT @Mizzourah_Cuck 
Maybe, but if their constituents are without healthcare I think it would force them to the table.</t>
  </si>
  <si>
    <t>@KimnanaT @Mizzourah_Cuck 
But, we do need a system to take care of the poor and e-verify that help goes to American citizens.</t>
  </si>
  <si>
    <t>@KimnanaT @Mizzourah_Cuck 
Government control of healthcare is obviously non-workable and hurts prices, workers and businesses.</t>
  </si>
  <si>
    <t>@KimnanaT @Mizzourah_Cuck 
No, I think a clean repeal and free market are best, not socialism. We do need to take care of the poor/elderly.</t>
  </si>
  <si>
    <t>@fruitloops412 @Mizzourah_Cuck @admirathoria @terescavs @Terri101092 @1shawnster 
No, I like Trump, but this needs to be totally re-done. 😔</t>
  </si>
  <si>
    <t>RT @Mizzourah_Cuck: @Mizzourah_Mom @fruitloops412 @Germantownrunne @admirathoria @terescavs @Terri101092 @1shawnster thats what they expect…</t>
  </si>
  <si>
    <t>@fruitloops412 @Germantownrunne @admirathoria @terescavs @Terri101092 @1shawnster 
Step 3: Die</t>
  </si>
  <si>
    <t>RT @DrMartyFox: We're Afraid #Trump Is A One Term President If #RyanCare Passes 
Will #Ryan Write All The Bills⁉️
#FullRepeal 
https://t.…</t>
  </si>
  <si>
    <t>RT @DrMartyFox: Never Give Up Your #Guns 
The Islamic Terrorist Killed A #Police Officer With A Knife
He Killed Others With A Car
He Was…</t>
  </si>
  <si>
    <t>@fruitloops412 @Germantownrunne @Terri101092 
That's the logical conclusion to what most feminists believe. 😆</t>
  </si>
  <si>
    <t>RT @KarenMKunkle: Hey #feminist loons where's your support for another rape survivor?
Silent again &amp;amp; as a rape survivor from an illegal ali…</t>
  </si>
  <si>
    <t>RT @BreitbartNews: Wait, WHAT??? https://t.co/hNIxbbdqUc</t>
  </si>
  <si>
    <t>RT @ChristieC733: REPORTER: Can we rule out senior OBAMA Admin officials were involved in [WIRETAPPING Trump Team]?
NUNES: “No we can not”…</t>
  </si>
  <si>
    <t>RT @StacyBrewer18: How are those "bridges" working out for you, Sadiq? https://t.co/g9BOga5cJw</t>
  </si>
  <si>
    <t>RT @sean_spicier: *thumbs thru Constitution 
Having a hard time finding where it says it's lawful to conduct surveillance on incoming admi…</t>
  </si>
  <si>
    <t>RT @JackPosobiec: Not so ignorant after all https://t.co/Wu85GllwN2</t>
  </si>
  <si>
    <t>RT @DBloom451: #BREAKING💥 Nunes: Trump transition members were under surveillance during Obama Admin.
@JoeNBC and the #morningjoe CLOWNS h…</t>
  </si>
  <si>
    <t>RT @AnnCoulter: That would be nice, since IT'S ALREADY THE LAW.  Somebody tell Sec of State Tillerson! https://t.co/rGXbOeJjPJ</t>
  </si>
  <si>
    <t>RT @tteegar: #Westminster #London #RefugeesWelcome #ReligionOfPeace strikes again... 
In form of White Asian 
#PrayForLondon https://t.co/…</t>
  </si>
  <si>
    <t>RT @AnnCoulter: Drudge Report: 
TWO DEAD, OTHERS WITH 'CATASTROPHIC' INJURIES...
FIRST PHOTO OF SUSPECT... 
ONE YEAR ANNIVERSARY OF BRUSSEL…</t>
  </si>
  <si>
    <t>RT @mtracey: Co-author of one of the allegedly damning "pro-Russia" memos went on to run... John McCain's presidential campaign https://t.c…</t>
  </si>
  <si>
    <t>RT @sean_spicier: London police are treating today's attack as a terrorist incident, which means no motive will ever be known</t>
  </si>
  <si>
    <t>@fruitloops412 
Wondered what happened - is this the account to follow?</t>
  </si>
  <si>
    <t>RT @wikileaks: How to tell if the CIA is listening to your Samsung Smart TV: The blue light on the back of the TV is still on. https://t.co…</t>
  </si>
  <si>
    <t>RT @johnglennfarish: Washington Post lets Susan Rice, who lied repeatedly about Benghazi, write a column -Trump White House damages foreign…</t>
  </si>
  <si>
    <t>RT @YoungDems4Trump: This cracked me up. Thought I'd share. 😇 https://t.co/AOP6BdSPS6</t>
  </si>
  <si>
    <t>RT @RandPaul: There’s easily 35 no votes right now so unless something happens in the next 24 hrs, I predict they pull the bill. https://t.…</t>
  </si>
  <si>
    <t>RT @RandPaul: The House #AHCA is still Obamacare Lite. I would be a no in the Senate, but I don't think it can pass the House. I stand w/@f…</t>
  </si>
  <si>
    <t>RT @foxandfriends: Cops buy groceries for shoplifting teen after finding out he has no food at home https://t.co/ZOlKwD4Rkr</t>
  </si>
  <si>
    <t>RT @TheSharkDaymond: Whatever you do in life, make sure you're having FUN while doing it! https://t.co/pBO932dCQs</t>
  </si>
  <si>
    <t>RT @mitchellvii: So the IC, whose primary evidence gathering tool is surveillance, investigated Trump's ties to Russia for a year, yet used…</t>
  </si>
  <si>
    <t>RT @OliMauritania: @NolteNC Who outside RINO Republicans in Congress support this horrible #RyanCare? Trump is being badly advised.</t>
  </si>
  <si>
    <t>RT @wikileaks: Five Congressional staffers, including technical advisor to Debbie Wasserman Schultz, under criminal investigation https://t…</t>
  </si>
  <si>
    <t>RT @mtracey: Insane doesn't even begin to describe this. https://t.co/ZtXZ6IDcSm</t>
  </si>
  <si>
    <t>RT @TheMarkRomano: OUTRAGE:
Republicans giving refundable tax credits to ILLEGAL ALIENS in their Obamacare 2.0 bill.
Source: https://t.co…</t>
  </si>
  <si>
    <t>RT @Lrihendry: BOOM!!! https://t.co/FX9w2nIVjJ</t>
  </si>
  <si>
    <t>@USRepLong @RoyBlunt 
#Ryancare is going to hurt your constituents and you are going to own it if you vote to pass this disastrous plan.</t>
  </si>
  <si>
    <t>@USRepLong 
I do not like/want Obamacare, but I absolutely hate Ryancare. This is going to hurt your constituents. You work for us.</t>
  </si>
  <si>
    <t>RT @KimDotcom: Isn't it hypocrisy of US officials to complain about Russian meddling in US elections when the US has manipulated so many fo…</t>
  </si>
  <si>
    <t>RT @GovMikeHuckabee: CNN launching its own social media platform to rival Zuckerburg's-Zucker vs. Zuckerburg.  CNN will call their new site…</t>
  </si>
  <si>
    <t>@fruitloops412 
Yes, and it's discouraging. I liked him because he wasn't like the GOP elite, but now he seems to be just like them. 😔</t>
  </si>
  <si>
    <t>RT @asamjulian: Comey cares as much about illegal government leaks as he did about Hillary's lying to Congress. #ComeyHearing</t>
  </si>
  <si>
    <t>@fruitloops412 @Germantownrunne 
Of course he is lying - question is why is Trump keeping him on 
as head of the FBI?</t>
  </si>
  <si>
    <t>@fruitloops412 @Mizzourah_Cuck 
LOL! 😂😂😂</t>
  </si>
  <si>
    <t>RT @POTUS: FBI Director Comey refuses to deny he briefed President Obama on calls made by Michael Flynn to Russia. https://t.co/cUZ5KgBSYP</t>
  </si>
  <si>
    <t>RT @JVER1: A Win For Haley:🇸🇻🇸🇻🇸🇻
UN Official Resigns Over Report Condemning Israel As An “Apartheid Regime”… 
https://t.co/qpdl5ABoYS</t>
  </si>
  <si>
    <t>New #Ryancare plan: https://t.co/szPHsmcqzR</t>
  </si>
  <si>
    <t>@Germantownrunne @fruitloops412 
I agree. I don't follow Baked/Micro because he is a complete jerk and I don't care what his opinions are.</t>
  </si>
  <si>
    <t>@fruitloops412 
The cuts to MOWs, after school meals, HUD, energy assistance, etc. seem heartless when some people desperately need these.</t>
  </si>
  <si>
    <t>@fruitloops412 @Germantownrunne 
But after the election they have morphed into a bunch of vile racists that really are "deplorable".</t>
  </si>
  <si>
    <t>@fruitloops412 @Germantownrunne 
Yes, they are. The alt right was interesting at first as an alternative to traditional Republicans.</t>
  </si>
  <si>
    <t>@fruitloops412 @Germantownrunne 
They are going to marginalize themselves - maybe that is the plan?</t>
  </si>
  <si>
    <t>RT @Pincho73: #SayItWithStickers Just sayin' https://t.co/DRECYMyG5p</t>
  </si>
  <si>
    <t>@fruitloops412 @Germantownrunne 
They are and they are going to lose whatever support they had from regular people.</t>
  </si>
  <si>
    <t>RT @JBurtonXP: Weird how under Obama we were refueling Saudi jets as they bombed Yemeni civilians but journalists collectively forgot to ta…</t>
  </si>
  <si>
    <t>RT @JBurtonXP: Moral culpability for the terrible human costs of our MidEast interventions somehow passed Obama by and went directly from B…</t>
  </si>
  <si>
    <t>RT @jllgraham: @dbongino https://t.co/LF6OUJarOS</t>
  </si>
  <si>
    <t>RT @LanceSilver1: .@PhotoshopTruth .@Cory_1077 @jizzi1 .@AppSame .@JCCWatch #Palestine was never a Country
#Israel has been a country for t…</t>
  </si>
  <si>
    <t>RT @DetonicsMKV: https://t.co/rOgpLSAj7z</t>
  </si>
  <si>
    <t>@curly3486Q @fruitloops412 @hollybear34 @mitchellvii 
Maybe the constitution should be amended to separation of mosque and state. 🤔</t>
  </si>
  <si>
    <t>RT @DRUDGE_REPORT: 'Radicalized Muslim' shot dead at Paris airport after snatching soldier's gun... https://t.co/IpetrEyvoo</t>
  </si>
  <si>
    <t>RT @Mizzourah_Cuck: Why is Trump having to cut things that will have not effect on the budget?</t>
  </si>
  <si>
    <t>@urougey 
I'm pro-life, but cutting WIC, MOWs, etc. is not something I am in favor of. Not all of Trump's supporters agree with this.</t>
  </si>
  <si>
    <t>RT @elisleeing: @SpeakerRyan What principle guided you to decide that it's OK to take food from hungry kids? #WIC has a real and positive i…</t>
  </si>
  <si>
    <t>RT @RBPundit: Cutting the EPA: good.
Cutting Meals on Wheels: bad.
This isn't hard, folks. https://t.co/VjXHiuJVJN</t>
  </si>
  <si>
    <t>RT @Mizzourah_Cuck: @Mizzourah_Mom @Germantownrunne @hollybear34  #StPatricksDay https://t.co/10GtOpaSas</t>
  </si>
  <si>
    <t>RT @_MealsOnWheels: Cuts of any kind would be devastating for millions of vulnerable seniors. Our #SkinnyBudget statement: https://t.co/R2M…</t>
  </si>
  <si>
    <t>@1shawnster @Terri101092 @fruitloops412 @Germantownrunne @dr_mike91 @DougGT500 @Mizzourah_Cuck @admirathoria @blake09220683 @CowboysChica 
❤</t>
  </si>
  <si>
    <t>@fruitloops412 
LOL! 😁</t>
  </si>
  <si>
    <t>@fruitloops412 
I don't think it's going to fly as it is now.</t>
  </si>
  <si>
    <t>@fruitloops412 
Yep, it's a mess, but I'm hoping Trump's budget is a starting place and he will negotiate and not cut these programs.</t>
  </si>
  <si>
    <t>@fruitloops412 
I guess that's why I'm an independent and not either party.</t>
  </si>
  <si>
    <t>@fruitloops412 
That's what I'm afraid of and this will come back to bite him.</t>
  </si>
  <si>
    <t>@fruitloops412 
Yes, that's what I think too. We need security, but not by sacrificing the poorest among us.</t>
  </si>
  <si>
    <t>@fruitloops412 
I live in a more rural area - more than half of the kids get reduced/free lunches. Some don't get meals at home.</t>
  </si>
  <si>
    <t>@fruitloops412 
I know. I don't know what to think about this. They're also proposing cuts to school meals and that bothers me too.</t>
  </si>
  <si>
    <t>RT @Ostrov_A: Meir famously said "We will only have peace, when they [the Palestinians] love their children more than they hate us." True t…</t>
  </si>
  <si>
    <t>@fruitloops412  
I heard it's 3% of their budget and mostly privately funded, but the idea of seniors going without meals is sad. 🙁</t>
  </si>
  <si>
    <t>@fruitloops412 @Mizzourah_Cuck @Germantownrunne @DrJohn76533054 
Agree 100% 👍</t>
  </si>
  <si>
    <t>RT @_Makada_: Leftist media calls pro-Israel Sebastian Gorka a Nazi with NO PROOF, yet MSM praises Soros who admits he worked with Nazis to…</t>
  </si>
  <si>
    <t>@1shawnster @Germantownrunne @admirathoria @fruitloops412 @Terri101092 @dr_mike91 @AndersonBryan69 @hollybear34
Wow! Trump is right again.</t>
  </si>
  <si>
    <t>@kerpen @michellemalkin 
I like President Trump, but this is one thing I don't want to see cut. Many seniors depend on this program.</t>
  </si>
  <si>
    <t>@fruitloops412 @Germantownrunne @Terri101092 @1shawnster @dr_mike91 @admirathoria 
Guess they haven't heard about the rooftop drops... 🤔</t>
  </si>
  <si>
    <t>RT @PrisonPlanet: Social justice keyboard. 😄 https://t.co/Ctm5wk8ZsD</t>
  </si>
  <si>
    <t>RT @ms_erika74: The Senate Intelligence Committee ~ If Ever There Was An Oxymoron. https://t.co/geVvygAqD6</t>
  </si>
  <si>
    <t>@ruby58293 @ThomasWictor 
He is a great case for term limits. 😆</t>
  </si>
  <si>
    <t>@Thomasib8&amp;amp;ih8i^^&amp;amp;8i8i88i I Wictor</t>
  </si>
  <si>
    <t>RT @MarkYoungTruth: Oh no! You mean no more tax payer dollars for graffiti or a crucifix in a glass of urine being 
Passes off as art?Gov d…</t>
  </si>
  <si>
    <t>RT @JaySekulow: We're taking legal action to defend @POTUS's Exec Order. It's designed to protect us from jihad. SIGN &amp;amp; RT: https://t.co/oa…</t>
  </si>
  <si>
    <t>RT @JackPosobiec: No one is talking about how the #TrumpBudget adds $0 to deficit
First president to do that in a generation</t>
  </si>
  <si>
    <t>@timgw37 @DailyCaller 
She persisted in illegal activities, pay to play and failed presidential campaigns? A book every kid needs - NOT!</t>
  </si>
  <si>
    <t>@fruitloops412 @Mizzourah_Cuck 
You have to wonder if she felt that way about her grandchildren or just the children of the deplorables. 😳</t>
  </si>
  <si>
    <t>@fruitloops412 @Mizzourah_Cuck 
It is and so sad that libs want to fight for the right to murder more.</t>
  </si>
  <si>
    <t>RT @ThomasWictor: McCain is a creature of pure rage and destruction. He's the Republican Ted Kennedy. https://t.co/kLIjWFErpH</t>
  </si>
  <si>
    <t>RT @GrrrGraphics: I guess the #Russians hacked @McDonaldsCorp too https://t.co/QagH6R0yOu</t>
  </si>
  <si>
    <t>RT @GrrrGraphics: Your #ThrowbackThursday #BenGarrison #cartoon #Ryan #ObamacareLite Paul Ryan takes a side #BenGarrison #cartoons https://…</t>
  </si>
  <si>
    <t>RT @Harry1T6: Impressive how Russian hackers keep convincing liberal journalists that it's a good idea to wantonly bash working class Ameri…</t>
  </si>
  <si>
    <t>RT @BartAndrews: Beautiful, real American story telling by @Chris_arnade 
Read, cry and enjoy. 
This is America at its best. 
https://t.co/…</t>
  </si>
  <si>
    <t>RT @dkahanerules: If federal judges wish to violate the constitution and the US Code. let them pay with impeachment and removal. Congress s…</t>
  </si>
  <si>
    <t>RT @mtracey: Mike Morrell, who called Trump an "agent" of Russia and sparked the frenzy, admits there's no evidence of collusion https://t.…</t>
  </si>
  <si>
    <t>@fruitloops412 @Private_Hotep 
That's true! At least the Chinese can see it - wish the idiot libs could.</t>
  </si>
  <si>
    <t>@TheSafestSpace https://t.co/F7aSoKLGRb</t>
  </si>
  <si>
    <t>RT @_Makada_: Why didn't this judge in Hawaii block Obama's ban on Iraqi refugees in 2011? This ban is constitutional! Trump is president N…</t>
  </si>
  <si>
    <t>@fruitloops412 @hollybear34 
Hilarious! 😁</t>
  </si>
  <si>
    <t>RT @RealJamesWoods: Oh, this is so utterly delicious... https://t.co/LkWcX49UWM</t>
  </si>
  <si>
    <t>RT @StefanMolyneux: A Fool and Her Credibility Are Soon Parted
Artwork by @GrrrGraphics https://t.co/e4u0dufo8D</t>
  </si>
  <si>
    <t>RT @VP_pencil: @Mizzourah_Mom @Germantownrunne @fruitloops412 @Private_Hotep @Terri101092 @hollybear34 @Kek_Magician #wednesdaywisdom #Good…</t>
  </si>
  <si>
    <t>RT @Mizzourah_Cuck: @Germantownrunne @Mizzourah_Mom @fruitloops412 @Terri101092 #WendysBracket #wednesdaywisdom #GoodNewsIn5Words #IdeasOfM…</t>
  </si>
  <si>
    <t>@Mizzourah_Cuck @Germantownrunne @fruitloops412 @Terri101092 
Great wisdom, wise one! 👏</t>
  </si>
  <si>
    <t>RT @trscoop: REPORT: Ted Cruz, Mike Lee ask Tillerson to investigate Obama funding FOREIGN Soros groups https://t.co/BTiIvoD79K https://t.c…</t>
  </si>
  <si>
    <t>@BayShoreIsHome @Wikipedia 
Conservatives need to remember this when they beg for donations</t>
  </si>
  <si>
    <t>@Ostrov_A @Sophiemcneill @LukeReuters 
Pure evil</t>
  </si>
  <si>
    <t>RT @Ostrov_A: Just chilling footage of Palestinian car ramming attack in Gush Etzion Jnc today. Hope int'l media will cover. @Sophiemcneill…</t>
  </si>
  <si>
    <t>RT @tia6sc: @POTUS Trump keeping more promises! 
Report: Trump Commands State Department to Slash UN Funding in Half https://t.co/tw9NWurF…</t>
  </si>
  <si>
    <t>RT @winegirl73: 🚨 #idesOfMarch 🚨
We are watching you @SpeakerRyan 👀
#TrumpTrain wants the govt out of our healthcare😎
🗣 #RepealObamaCRAP…</t>
  </si>
  <si>
    <t>RT @mtracey: The current political climate summed up via @flugennock https://t.co/vvacX4rI57</t>
  </si>
  <si>
    <t>RT @LCupcake: @bfraser747 @jerome_corsi @Varneyco @realDonaldTrump @DNC @GOP The last regime was was a Communist dictatorship. Get rid of P…</t>
  </si>
  <si>
    <t>RT @bakerjmw2016: @KazmierskiR @VP 
Let's repeal and replace @SpeakerRyan too huh? Then McCain Graham Schumer etc etc 
#DrainTheSwamp #MAGA</t>
  </si>
  <si>
    <t>RT @DRUDGE_REPORT: OBAMA ORGANIZING... https://t.co/ptWdcSz6OM</t>
  </si>
  <si>
    <t>@fruitloops412 @handymayhem @Mizzourah_Cuck @Private_Hotep 
Probably furious for making Trump look good and out doing Geraldo's Capone fail</t>
  </si>
  <si>
    <t>RT @GovMikeHuckabee: Tomorrow night Rachel Maddow solves the Kennedy Assassinaton.  Will name Oswald as assassin.  Don't miss REAL JOURNALI…</t>
  </si>
  <si>
    <t>RT @ScottPresler: March 14th will be forever known as the day that President Trump outsmarted Rachel Maddow into reporting he pays taxes. 😂…</t>
  </si>
  <si>
    <t>@JackPosobiec @hale4jesus 
Good, how soon will we be rid of him?</t>
  </si>
  <si>
    <t>@DRUDGE @zerohedge 
Did the President leak this to prove the idiocy the MSM? If so, great move!</t>
  </si>
  <si>
    <t>RT @NEWSneil: Not sure what's a bigger letdown: The winter storm that never destroyed NY or the scoop from Rachel @maddow that @realDonaldT…</t>
  </si>
  <si>
    <t>RT @ozarklady76: Rachel Maddow, I thought Trump didn't pay ANY taxes? 🤔 #TrumpTaxes</t>
  </si>
  <si>
    <t>RT @Patrici15767099: I wish someone would leak Obama's sealed grades from Occidental, Columbia &amp;amp; Harvard.</t>
  </si>
  <si>
    <t>@fruitloops412 @Germantownrunne @1shawnster @Terri101092 
That's the problem - it has to be great or 2018 &amp;amp; 2020 will be disastrous</t>
  </si>
  <si>
    <t>@fruitloops412 @Germantownrunne @1shawnster @Terri101092 @dr_mike91 
Agree completely! Must be difficult to know who to trust.</t>
  </si>
  <si>
    <t>@fruitloops412 @Germantownrunne @1shawnster @Terri101092 @dr_mike91 
True, he is good and honest, but he is also fallible (as we all are)</t>
  </si>
  <si>
    <t>@fruitloops412 @Germantownrunne @1shawnster @Terri101092 @dr_mike91 
Yes, I think that's the best plan and let states decide Medicaid.</t>
  </si>
  <si>
    <t>@Germantownrunne @fruitloops412 @1shawnster @Terri101092 @dr_mike91 
Hope so, but Rat Ryan is all over this and I don't trust him at all</t>
  </si>
  <si>
    <t>@fruitloops412 @Germantownrunne @1shawnster @Terri101092 @dr_mike91 
If fully repealed it would force Dems to the table for replacement</t>
  </si>
  <si>
    <t>RT @TomFitton: Obamacare can be fully repealed under reconciliation.  Why won't Republicans do this?  Because many don't want to repeal Oba…</t>
  </si>
  <si>
    <t>@Mizzourah_Cuck @fruitloops412 @Germantownrunne @1shawnster @Terri101092 @dr_mike91 @Private_Hotep 
Yep, lookin' good 😁😂</t>
  </si>
  <si>
    <t>RT @Mizzourah_Cuck: @fruitloops412 @Mizzourah_Mom @Germantownrunne @1shawnster @Terri101092 @dr_mike91 #PiDay #StellaBlizzard @Private_Hote…</t>
  </si>
  <si>
    <t>RT @ThomasWictor: The more chaotic, the better it is.
The public is seeing that the roadblock to improvement is Congress. https://t.co/LhP…</t>
  </si>
  <si>
    <t>RT @IngrahamAngle: Hope @realDonaldTrump now sees trap set for him on healthcare. We need #FullRepeal, then sep. concurrent replacement leg…</t>
  </si>
  <si>
    <t>RT @Alvinfitness66: @AnnCoulter Obama care is bankrupting the middle class, crashing the health care system. It is Unaffordable, Repeal all…</t>
  </si>
  <si>
    <t>RT @JessieJaneDuff: Democrats Threaten To Block Funding For Border Wall.
But of course. How else will they get new voters. https://t.co/A6…</t>
  </si>
  <si>
    <t>Does anyone really think Rat Ryan has a different opinion of Trump now?
Paul Ryan audio leak Donald Trump https://t.co/u9IYf7wtiF</t>
  </si>
  <si>
    <t>RT @sean_spicier: Giving people a choice, in whether they want to buy health insurance or not, really isn't controversial</t>
  </si>
  <si>
    <t>RT @asamjulian: Nobody should be surprised about the Paul Ryan audio. Him and Trump are polar opposites. Ryan is a globalist Dem with an R…</t>
  </si>
  <si>
    <t>RT @JulianAssange: Clinton stated privately this month that she is quietly pushing for a Pence takeover. She stated that Pence is predictab…</t>
  </si>
  <si>
    <t>RT @johncardillo: Priebus cannot both support Paul Ryan and be an effective Chief of Staff to @POTUS. Those are mutually exclusive at this…</t>
  </si>
  <si>
    <t>RT @sean_spicier: Media celebrates when people lose their home over a wedding cake and faint at the idea of not forcing folks to buy a prod…</t>
  </si>
  <si>
    <t>RT @JessieJaneDuff: Really Chuck? You plan to shutdown the government to ensure illegals can still come into our communities.
How about yo…</t>
  </si>
  <si>
    <t>RT @BrittPettibone: Just look at all of that white male privilege. https://t.co/pbVpH5yMc3</t>
  </si>
  <si>
    <t>@fruitloops412 @Germantownrunne @Mizzourah_Cuck @1shawnster @dr_mike91 
More like run for your life - a deranged man is in the restroom! 😨</t>
  </si>
  <si>
    <t>RT @GovMikeHuckabee: Grab the Garden Hose of Reality and spray cold water on the Chihuahuas!Trump right to get resignations of those who wo…</t>
  </si>
  <si>
    <t>RT @mitchellvii: When the average family's health insurance bill is more than their mortgage and car payment put together, THAT is a broken…</t>
  </si>
  <si>
    <t>RT @ConstanceQueen8: 2016 Campaign: Trump ads 70% on policy issues, Clinton’s 65% attacking Trump or talking about herself https://t.co/vFb…</t>
  </si>
  <si>
    <t>Cotton: Obamacare Replacement Will Put the GOP House Majority at Risk - Breitbart https://t.co/3bXDv5fGar</t>
  </si>
  <si>
    <t>RT @huitz_warrior: @IngrahamAngle @NetworksManager fake Republican clown @SpeakerRyan needs to go. @realDonaldTrump https://t.co/peyyPVggW0</t>
  </si>
  <si>
    <t>@fruitloops412 
Here is another example of the liberal ideology of entitlement based on "white privilege" https://t.co/toXgw2Krym</t>
  </si>
  <si>
    <t>@fruitloops412 
Exactly! 👍</t>
  </si>
  <si>
    <t>@fruitloops412 
No, just someone sick of being blamed by libs for something I personally didn't do and couldn't stop.</t>
  </si>
  <si>
    <t>RT @rdsanchezjr: Trump insulted John McCain &amp;amp; Hispanic judge, Clinton insulted all Republicans and half of Trump's supporters, she got what…</t>
  </si>
  <si>
    <t>@fruitloops412 
Good one! 😊 Each person should be judged for their own actions, not the deeds of prior generations they had no control over</t>
  </si>
  <si>
    <t>RT @marklevinshow: You try to ram through an irresponsible bill then insist if it fails the GOP &amp;amp; Trump will pay a devastating... https://t…</t>
  </si>
  <si>
    <t>RT @ProtestantIcon: Anyone still claiming outrage over this is an idiot or, more likely, just lying. #fakenews https://t.co/zdj4yWCk5W</t>
  </si>
  <si>
    <t>@fruitloops412 @hollybear34 @mitchellvii 
Why so-called "feminists" support this is mind-blowing!</t>
  </si>
  <si>
    <t>@fruitloops412 @hollybear34 @mitchellvii 
That's the way we are in the US now, but if Sharia law gets a foothold women will be property.</t>
  </si>
  <si>
    <t>@fruitloops412 @hollybear34 @mitchellvii 
Exactly. No true independent-minded woman would ever support the subjugation of women.</t>
  </si>
  <si>
    <t>@fruitloops412 @hollybear34 @mitchellvii 
Yes, it's offensive and a symbol of the women who are treated like possessions under Islam. 😠</t>
  </si>
  <si>
    <t>RT @sean_spicier: Secret Service released a sketch of the WH intruder. If you see this person don't attempt contact, possible mental proble…</t>
  </si>
  <si>
    <t>RT @PrisonPlanet: https://t.co/mgrNBZsHW5</t>
  </si>
  <si>
    <t>@fruitloops412 @WithoutaTRACE @Mizzourah_Cuck 
Just checked out her timeline, and she definitely has Trump derangement syndrome 😷</t>
  </si>
  <si>
    <t>@dunn_martin @ThomasWictor 
Love in action! 😉</t>
  </si>
  <si>
    <t>RT @AzWatchman01: https://t.co/LpcAojK5Hh</t>
  </si>
  <si>
    <t>RT @BlissTabitha: Report: Paul Ryan’s Plan Could Force 15 Million to Lose Health Coverage https://t.co/8lPhuYChHm</t>
  </si>
  <si>
    <t>@SouthLoneStar 
Hilarious! 😂</t>
  </si>
  <si>
    <t>RT @davidmweissman: Did any of you liberals #Resist @BarackObama when he sent billions of dollars to an Iranian regime who calls for death…</t>
  </si>
  <si>
    <t>@RomeBurnsShow @mr_scientism 
Liberal derangement can be entertaining at times 😆</t>
  </si>
  <si>
    <t>Wonder if this is why Lynch had her recent tirade? 🤔 https://t.co/mvdL8FMPEx</t>
  </si>
  <si>
    <t>RT @SandraTXAS: No Israeli Jews EVER allowed in Muslim countries, but yeah, Trump is the racist 🙄
#TravelBan
#MuslimBan
#MAGA
#immigration…</t>
  </si>
  <si>
    <t>RT @dbongino: Intruder with backpack arrested after breaching White House grounds | Washington Examiner https://t.co/v5YwJALsih</t>
  </si>
  <si>
    <t>@Mizzourah_Cuck 
I'm sorry, but her father shouldn't have broken the law. We need to close the anchor baby loopholes to avoid this.</t>
  </si>
  <si>
    <t>RT @jojoh888: .Don't forget to set your clocks one hour forward 😉 #daylightsavings #MAGA https://t.co/5oLgLDhpq5</t>
  </si>
  <si>
    <t>RT @ConstanceQueen8: If I Lived In France
She Would Get My Vote
For This Very Reason
Say No 2 #Islam
Say No 2 #Hajib 
Make France Great Aga…</t>
  </si>
  <si>
    <t>@Daily_Tomahawk @fruitloops412 @Mizzourah_Cuck @Germantownrunne @hollybear34 
Sad and it's been building for some time now</t>
  </si>
  <si>
    <t>@Lance2002 @costareports 
Now they need to do it in the State Dept, CIA, etc.</t>
  </si>
  <si>
    <t>@Lance2002 @dbongino 
Saccharine sweet with a bad aftertaste 😝</t>
  </si>
  <si>
    <t>RT @JamesDoss50: If a government is telling us that it is legal for all of them to spy on us, then clearly this government has abandoned th…</t>
  </si>
  <si>
    <t>RT @dbongino: Obama worshippers are incredible. They blame the poor Obama economy on Bush, as they simultaneously take credit for the Trump…</t>
  </si>
  <si>
    <t>RT @RabidMemes: @baalter @GeorgiaDirtRoad @BreitbartNews https://t.co/rG8CWwXYsd</t>
  </si>
  <si>
    <t>RT @baalter: Ousting Speaker Paul Ryan Long Overdue: Targets His Own Republicans, Not Democrats, with Ads on Health Care https://t.co/injwx…</t>
  </si>
  <si>
    <t>RT @nedryun: 7 reasons by #RyanCare/#SwampCare is just flat out a bad idea: https://t.co/nbAjNXzCIl #MAGA #p2</t>
  </si>
  <si>
    <t>RT @_that_kyle: MY OFFICIAL STATEMENT: https://t.co/dpn3KSvubl</t>
  </si>
  <si>
    <t>RT @marklevinshow: Two steps forward, one step back https://t.co/xxYOQq3Z6a</t>
  </si>
  <si>
    <t>RT @horowitz39: Right on Jeff. https://t.co/253ABy4wR0</t>
  </si>
  <si>
    <t>RT @DineshDSouza: Oh now she's curious https://t.co/ajo5waYrpb</t>
  </si>
  <si>
    <t>RT @costareports: Breaking: All U.S. attorneys have been asked to submit resignation letters, per a senior W.H. official</t>
  </si>
  <si>
    <t>RT @mitchellvii: If you are unhappy with the healthcare bill so far, nothing wrong with loudly protesting.  That input is part of the negot…</t>
  </si>
  <si>
    <t>RT @GrrrGraphics: Updated https://t.co/DQIPxVzrJ8  #SJW #University #Inclusion #PoliticalCorrectness #Cartoons #TrigglyPuff #triggerwarning…</t>
  </si>
  <si>
    <t>With the exception of Manchin these swamp creatures need to go - especially McCaskill https://t.co/GODcaCeEdf</t>
  </si>
  <si>
    <t>@BlueStaterDemoc @The_Trump_Train 
She is Hillary's evil twin - will celebrate when she loses in 2018</t>
  </si>
  <si>
    <t>RT @lsmith4680: @The_Trump_Train I actually like Manchin. He's at least reasonable &amp;amp; willing to work with GOP for the betterment of his sta…</t>
  </si>
  <si>
    <t>@mka43017 @DineshDSouza @POTUS 
Trump is off to a great start, but he needs to get rid of the Obama holdovers that want to stop his agenda</t>
  </si>
  <si>
    <t>@mka43017 @DineshDSouza 
Agreed - and it's status quo in D.C.</t>
  </si>
  <si>
    <t>RT @ace2blue: @ThomasWictor @ACLU I figured it was posturing. Dems better pace themselves on the unhinged hate. They have 7yrs &amp;amp; 9mos to go</t>
  </si>
  <si>
    <t>RT @JackPosobiec: Funny how the best journalism from Sweden comes from @PeterSweden7 but he isn't verified and gets constantly locked out b…</t>
  </si>
  <si>
    <t>RT @williamcraddick: What a shocker!
"Day Without a Woman" got $246 million from George Soros
https://t.co/SjgJq6We9b</t>
  </si>
  <si>
    <t>RT @DineshDSouza: We have reached a strange point in American history where our intelligence agencies have become a danger to our security</t>
  </si>
  <si>
    <t>RT @wikileaks: How Democrats learned to stop worrying and love the CIA (meanwhile, Republican support has declined 56 points). https://t.co…</t>
  </si>
  <si>
    <t>@VP to prosecute Wikileaks #Vault7 
Pence: US will 'use the full force of the law' on WikiLeaks if CIA leak legit https://t.co/pXgnpzit5r</t>
  </si>
  <si>
    <t>RT @Don_Vito_08: .@POTUS #Trump 's first economic report card: A strong 235,000 jobs added https://t.co/iem0rvMnip via @realDonaldTrump #wi…</t>
  </si>
  <si>
    <t>RT @piersmorgan: **NEW COLUMN**
The halo-smashing truth about drone-bombing, press-attacking, deporter-in-chief, 
'Saint' Obama.  https://t…</t>
  </si>
  <si>
    <t>RT @RealMrsPJNET: MT @DrMartyFox: If #Democrats Want To Defeat #Republicans They Should Help Them Pass #RinoCare  
https://t.co/MSGXk0FU6Z…</t>
  </si>
  <si>
    <t>RT @StockMonsterUSA: Russia's Largest Bank Confirms Hiring Podesta Group To Lobby For Ending Sanctions https://t.co/ZkUOzJ2mR4… #ThursdayTh…</t>
  </si>
  <si>
    <t>@fruitloops412 @Mizzourah_Cuck 
Blocked. Another pathetic anti-Semite. 🙁</t>
  </si>
  <si>
    <t>@fruitloops412 
Most find the idea that they would be privileged as completely laughable when they struggle to put food on the table.</t>
  </si>
  <si>
    <t>@fruitloops412 
Exactly, there are poor Americans of all colors who are definitely NOT privileged regardless of what libs think.</t>
  </si>
  <si>
    <t>RT @foxandfriends: Sen. Al Franken blasted Sec. DeVos over school choice, but it looks like he's a fan of school choice for his own kids ht…</t>
  </si>
  <si>
    <t>RT @CollinRugg: This is a graph that Liberals don't like referring to
Of course the unemployment rate will be low if no one's in the work…</t>
  </si>
  <si>
    <t>@TheSafestSpace 
So being an intelligent, educated and employed adult who is not a redhead makes you privileged? 🤔</t>
  </si>
  <si>
    <t>RT @TheSafestSpace: Not being a red-head is now a privilege 🙉
This was actually circulated by a college professor: https://t.co/ubhfGDE6dR…</t>
  </si>
  <si>
    <t>RT @BizNetSC: @bfraser747 @jojoh888 @newtgingrich HOW DO YOU DESTROY A MEGA-CONSPIRACY?  6 CORPORATIONS OWN 90% OF THE MSM!  YOU HAVE TO BR…</t>
  </si>
  <si>
    <t>@hollybear34 @fruitloops412 
I want one! ☺</t>
  </si>
  <si>
    <t>RT @peteraskush: I thought prayers weren't allowed in schools. What gives? https://t.co/EMzXRnpRqP</t>
  </si>
  <si>
    <t>@peteraskush @wifelopedia 
They must only have a problem with Christian prayers.</t>
  </si>
  <si>
    <t>@Mizzourah_Cuck @mizzourah2002 
Crazy weather! Really hoping we don't get snow Saturday - it might kill everything growing now.</t>
  </si>
  <si>
    <t>If this is true the MSM might be learning they need Trump more than he needs them. He is taking his message directly to the people. https://t.co/kp0ouTQEGM</t>
  </si>
  <si>
    <t>@Cernovich 
No and worked at home to be there for my kids</t>
  </si>
  <si>
    <t>RT @Rick_Envy: @pg_rant @judith_dite @RealJack @JT_BLACKWELL Got reservations too! https://t.co/9Kmqc2NhhG</t>
  </si>
  <si>
    <t>@Germantownrunne @fruitloops412 @Terri101092 @1shawnster @hollybear34 
Maybe he will read "Yertle the Turtle" this time. 😆</t>
  </si>
  <si>
    <t>RT @sean_spicier: To find the source of the leaks, the FBI is searching for a mole within its ranks. Those wearing "Yes we can" pins will b…</t>
  </si>
  <si>
    <t>RT @StefanMolyneux: In an amazing coincidence, as soon as Obama leaves office, the IRS finds 6,924 documents on Tea Party targeting. https:…</t>
  </si>
  <si>
    <t>RT @jerome_corsi: From what Assange said today, CIA rogue, VIOLATED CHARTER, targeted thousands of USA IP addresses - proof in CIA document…</t>
  </si>
  <si>
    <t>RT @TweetingYarnie: Here's a better story about Alexa and CIA. @diamondsnjeans https://t.co/Sj8nP7N8kT</t>
  </si>
  <si>
    <t>RT @Germantownrunne: @fruitloops412 @hollybear34 @Terri22997972 @Mizzourah_Mom Any device that you have that is connected to the Internet c…</t>
  </si>
  <si>
    <t>RT @Mizzourah_Cuck: Friendliness and kindness absolutely free and yet absolutely invaluable. @fruitloops412 @Mizzourah_Mom @Germantownrunne…</t>
  </si>
  <si>
    <t>@Germantownrunne @fruitloops412 @hollybear34 @Mizzourah_Cuck 
Hope they run someone better against Claire McCaskill - she needs to go</t>
  </si>
  <si>
    <t>@fruitloops412 @Terri22997972 @Germantownrunne @hollybear34 @georgesoros 
Pathetic, but money talks</t>
  </si>
  <si>
    <t>RT @sean_spicier: Middle East countries are taking part in #daywithoutawoman protest. Wait, never mind. Women can't leave the house in some…</t>
  </si>
  <si>
    <t>@fruitloops412 @Terri22997972 @Germantownrunne @hollybear34 https://t.co/J6RAHhs2DZ</t>
  </si>
  <si>
    <t>@fruitloops412 @Terri22997972 @Germantownrunne @hollybear34 
Very convenient plane crash - maybe we can add more #s to Clinton's body count</t>
  </si>
  <si>
    <t>This would be good if the chickens inside the henhouse weren't colluding with the fox (CIA). https://t.co/GfDg9rveDq</t>
  </si>
  <si>
    <t>RT @JackPosobiec: Just remembered when JFK Jr died in a plane crash and then Hillary won the NY Senate race</t>
  </si>
  <si>
    <t>RT @wikileaks: Crowd-sourced find in #Vault7 discovers CIA tool to make Android phones  bulk-spy on WiFi networks around them https://t.co/…</t>
  </si>
  <si>
    <t>RT @KimDotcom: Still wonder where the White House leaks are coming from? No point in collecting staff phones. It's the CIA. Watch out @real…</t>
  </si>
  <si>
    <t>@VP_pencil @fruitloops412 @Jnorvell11 
Creepy, isn't it? Spooks can use just about any device and also make it look like the Russians did it</t>
  </si>
  <si>
    <t>@fruitloops412 @Germantownrunne @hollybear34 @Mizzourah_Cuck @Terri22997972 
That's really weird! 😨</t>
  </si>
  <si>
    <t>@fruitloops412 @Mizzourah_Cuck @Germantownrunne @hollybear34 @Terri22997972 
"And he plans to undo my great LEGACY with his own EOs..."</t>
  </si>
  <si>
    <t>@fruitloops412 @Jnorvell11 
Of course not - or at least that's what the lame stream media wants us to believe 😎</t>
  </si>
  <si>
    <t>RT @wikileaks: WSJ also confirms authenticity of #Vault7 https://t.co/lsDqQ5kjnd</t>
  </si>
  <si>
    <t>RT @EricSpracklen: If you can see this, RETWEET IT so Twitter cant suppress and censor it! Very important!!! #Vault7 #WIKILEAKS https://t.c…</t>
  </si>
  <si>
    <t>RT @wikileaks: #Vault7: Secret CIA table reveals Google Android &amp;amp; Chrome vulnerabilities/zero days https://t.co/MCMqrhhEP6 https://t.co/mEW…</t>
  </si>
  <si>
    <t>RT @wikileaks: Don't want to pay for Wndows? The CIA's hackers have a pirate guide to skip product key activation https://t.co/ogJJWUZ2Hg h…</t>
  </si>
  <si>
    <t>RT @wikileaks: How the CIA built a vast cyberweapons arsenal--and then lost control of it https://t.co/K7wFTdlC82 #Vault7 https://t.co/06BK…</t>
  </si>
  <si>
    <t>RT @wikileaks: #CIA hid ability to #hack smart phones and TVs worldwide from makers, despite #Obama pledge to reveal https://t.co/K7wFTdlC8…</t>
  </si>
  <si>
    <t>RT @wikileaks: CIA negligence sees it losing control of all cyber weapons arsenal sparking serious proliferation concerns #Vault7 https://t…</t>
  </si>
  <si>
    <t>RT @wikileaks: #Vault7 reveals that the CIA hacks its own double agents ("liaison asset") so often, they're on a check box 'menu' of popula…</t>
  </si>
  <si>
    <t>RT @SharrDonald: @Virginialynn_ @seanhannity Yep. https://t.co/GTCwt79Jwg</t>
  </si>
  <si>
    <t>@Mizzourah_Cuck @19PHIL51 @Germantownrunne @hollybear34 
That's true. Wonder if it shrank from inactivity? 🤔</t>
  </si>
  <si>
    <t>@Mizzourah_Cuck @19PHIL51 @Germantownrunne @hollybear34
Wow! I didn't think he had one to lend out! 😁</t>
  </si>
  <si>
    <t>RT @jllgraham: @chuckwoolery @WhoWolfe #ObamaGate https://t.co/LeNWTSyFPh</t>
  </si>
  <si>
    <t>@PMayham 
True! Trump is trying re-start it. 😊</t>
  </si>
  <si>
    <t>RT @sean_spicier: "How do you know Trump colluded with Russia?"
Media: There are wiretaps 
"Obama wiretapped Trump Towers"
Media: Liar! Th…</t>
  </si>
  <si>
    <t>@VP_pencil @Mizzourah_Cuck @Germantownrunne @hollybear34 @fruitloops412 
Getting impatient, huh? 🤔</t>
  </si>
  <si>
    <t>RT @DRUDGE_REPORT: Half Of America Can't Write A $500 Check... https://t.co/QNzSgElSMa</t>
  </si>
  <si>
    <t>RT @dbongino: Is the @nytimes refuting its own reporting? Asking for a friend. https://t.co/4jxbdLUFMW</t>
  </si>
  <si>
    <t>RT @JBurtonXP: The biggest giveaway that Trump isn't a True Republican™ like Ryan or McConnell is that he actually hits back when the left…</t>
  </si>
  <si>
    <t>RT @mtracey: Greatly looking forward to another full week of Serious Pundits denying that the Deep State exists 🙄</t>
  </si>
  <si>
    <t>RT @GovMikeHuckabee: Where was press outrage when Obama ppl tapped AP, James Rosen &amp;amp; Rosen's parents? But they say @realDonaldTrump should…</t>
  </si>
  <si>
    <t>RT @mikandynothem: If your IQ is 75 but you believe it's 220, and you want to pause this Presidency because Trump's winning, you might be a…</t>
  </si>
  <si>
    <t>RT @HensleywkAo: Congressman Jason Chaffetz tells @FoxNews that Obama admin wire tapped him also.   #IfIWereWireTapped #ObamaGate #mondaymo…</t>
  </si>
  <si>
    <t>RT @cheaptrickone: Remember when Chuck Schumer basically threatened the president the intelligence Community has six ways from Sunday to ge…</t>
  </si>
  <si>
    <t>RT @faded50: Here's the List: More Than a Dozen Proven Victims of Obama's Many Wiretaps https://t.co/kBazV6viqA</t>
  </si>
  <si>
    <t>RT @sean_spicier: Russia's influence on our election is so serious the previous administration sat back and let it happen.</t>
  </si>
  <si>
    <t>RT @wikileaks: Did Obama spy on @realDonaldTrump's campaign? Here is proof the Obama administration spied on our journalists https://t.co/R…</t>
  </si>
  <si>
    <t>@Germantownrunne @JohnFromCranber @Terri101092 @TrumpPence2020 @BigMuscleBabe @DemonisMedia @amrightnow @JoeTurner212 @TrumpsMyHomeboy 
😂</t>
  </si>
  <si>
    <t>RT @Mizzourah_Cuck: @Trump__Girl People sick of years and years of lying politicians doing nothing</t>
  </si>
  <si>
    <t>RT @Mizzourah_Cuck: @fruitloops412 @Mizzourah_Mom @19PHIL51 @1shawnster @hollybear34 dems spin on colonial America https://t.co/PQTW1E48NA</t>
  </si>
  <si>
    <t>RT @Mizzourah_Cuck: @fruitloops412 @Mizzourah_Mom @Germantownrunne @hollybear34 @OliviaAllenC @realDonaldTjump more than public restrooms??…</t>
  </si>
  <si>
    <t>RT @Mizzourah_Cuck: Changed my user name to @Mizzourah_cuck</t>
  </si>
  <si>
    <t>RT @ThePolitiStick: House Intel Committee Announces Investigation Into #ObamaGate Scandal https://t.co/GmV6zGDljQ #SundayMorning</t>
  </si>
  <si>
    <t>RT @GrrrGraphics: The Domestic Terrorist in Chief... #obama #ObamaSedition #traitor #TrumpTower #Democrats party of Treason &amp;amp; Hate  https:/…</t>
  </si>
  <si>
    <t>RT @wikileaks: Obama has a history of tapping &amp;amp; hacking his friends and rivals https://t.co/XbwyNSwTXg  #NSA #PRISM #Merkel #Sarkozy #BanKi…</t>
  </si>
  <si>
    <t>RT @AnnCoulter: NYT: Trump gives no evidence Obama tapped phone. You know, like the NYT has given no evidence Trump colluded with Russians.</t>
  </si>
  <si>
    <t>RT @sean_spicier: I'm not saying they're lying, but a member of the Obama administration was just spotted with a shopping cart full of Blea…</t>
  </si>
  <si>
    <t>RT @bocavista2016: 🚨 MUST READ 🚨
👉 Summary of #ObamaGate so far....
https://t.co/9WukYEXTUF
@realDonaldTrump #Trump #MAGA
Trump Tower #FI…</t>
  </si>
  <si>
    <t>RT @GartrellLinda: FLASHBACK: Obama Administration Secretly Wiretaps Journalists
WHY wasn't obama admin ever sued for illegal taps? https:/…</t>
  </si>
  <si>
    <t>RT @2Twitte39301335: @lgmaterna Now MSM is working hard today trying to tell us Obama did NOT ask FISA court for wiretapping approval. he a…</t>
  </si>
  <si>
    <t>RT @jerome_corsi: Timeline of Obama wiretapping Trump. https://t.co/REgwCKph6u Obama denial just another Dem lie.</t>
  </si>
  <si>
    <t>RT @mtracey: Dems are in a bind because the broader public doesn't care about Russia, but the most activated core of their base is now obse…</t>
  </si>
  <si>
    <t>RT @sweetatertot2: #AMJoy thinks her audience are so dumb &amp;amp; says no evidence of Trump Tower #wiretapping when there are 2 documented #FISA…</t>
  </si>
  <si>
    <t>RT @sweetatertot2: Obama got #FISA #wiretapping 2 spy on Trump Tower, they found no Russia connection but #fakeMedia ran w/ it. #AMJOY 
Now…</t>
  </si>
  <si>
    <t>RT @JayS2629: Leading Conservatives Predicted This Last Week: Obama Is Behind Illegal Leaks on Trump and Russia https://t.co/SK0gZzJinm</t>
  </si>
  <si>
    <t>RT @sean_spicier: Obama: Climate change is our #1 threat
Media: Must be true. He has access to more info than us
Trump: Obama tapped my ph…</t>
  </si>
  <si>
    <t>RT @M14EBRUS: @GrrrGraphics @POTUS https://t.co/CdFcqqprtP</t>
  </si>
  <si>
    <t>RT @GrrrGraphics: What about #Obama? New #BenGarrison #Cartoon #obamaforprison Trump Tower #obama #ShadowGovernment @POTUS https://t.co/Oj9…</t>
  </si>
  <si>
    <t>RT @_Makada_: Congress needs to immediately investigate Obama's illegal wiretapping of Trump Tower.</t>
  </si>
  <si>
    <t>RT @_Makada_: Fake news media calls Trump a Russian agent while Obama uses Soviet tactics, wiretapping Trump Tower to spy on his political…</t>
  </si>
  <si>
    <t>RT @mcgilh: March4Trump is on a Saturday so hard working people can attend! 3-4-17 #March4Trump https://t.co/fM8hUyeBEn</t>
  </si>
  <si>
    <t>@fruitloops412 @hollybear34 @ZiOrim @mitchellvii @bfraser747 
Epic! I'm pretty sure I know the ending, but want to see this one! 😀</t>
  </si>
  <si>
    <t>@fruitloops412 @hollybear34 @ZiOrim @mitchellvii @bfraser747 
Funny! 😁</t>
  </si>
  <si>
    <t>@fruitloops412 @hollybear34 @ZiOrim @mitchellvii @bfraser747 @ClaraLKatzenmai @CollinRugg 
Sounds like a must see! 😂</t>
  </si>
  <si>
    <t>@fruitloops412 @hollybear34 @ZiOrim @mitchellvii @bfraser747 @ClaraLKatzenmai @CollinRugg 
Interesting. Does he sing "Espionage River"? ☺</t>
  </si>
  <si>
    <t>@fruitloops412 @hollybear34 @mitchellvii @ClaraLKatzenmai @ZiOrim
Ironic! 😁</t>
  </si>
  <si>
    <t>@AnnCoulter 
I'm not a Republican, but I'll vote for a chimpanzee over @clairecmc in 2018.</t>
  </si>
  <si>
    <t>RT @piersmorgan: So, should we also ban the word 'woman' because it has 'man' in it? https://t.co/3UQzdUcB18 https://t.co/uu6T1BjPoo</t>
  </si>
  <si>
    <t>RT @SheriffClarke: When the swamp is drained in Washington D.C. we'll find swamp creatures from BOTH political parties. Sessions attacks ar…</t>
  </si>
  <si>
    <t>RT @newsmax: Trump has ‘secret plan’ to destroy Democrats, NY Times bestseller ‘Big Agenda’ claims.
 https://t.co/ZiuePEOUds</t>
  </si>
  <si>
    <t>@fruitloops412 @bfraser747 They will do it to Trump soon</t>
  </si>
  <si>
    <t>RT @realDonaldTrump: Weekly Address
Join me here: https://t.co/SEavQK5zy5 https://t.co/EnyXYeqgcp</t>
  </si>
  <si>
    <t>@Chris_arnade 
They won't because they might begin to see them as human beings with legimite concerns like you did.</t>
  </si>
  <si>
    <t>RT @PrisonPlanet: NY Times Runs With Claire McCaskill Lie to Slander Jeff Sessions, Stealth Deletes It Without Correction https://t.co/uhmR…</t>
  </si>
  <si>
    <t>@countryboyexec @seanmdav @clairecmc 
If she keeps this up she will kill her re-election bid all by herself.</t>
  </si>
  <si>
    <t>@zelmoziggy @THEHermanCain 
I'm an independent so I can spot hypocrisy on both sides and this is a beauty! 😁</t>
  </si>
  <si>
    <t>RT @sjpshannonland: https://t.co/CKFWRTKHO8</t>
  </si>
  <si>
    <t>RT @KtMartin17: Dear @CNN - I fixed your headline for you. "Sen. Claire McCaskill LIED about meetings with Russian ambassador" #YouAreWelco…</t>
  </si>
  <si>
    <t>@THEHermanCain 
It seems selective memory is a real problem among the Democrats 🤔</t>
  </si>
  <si>
    <t>RT @X1Titan: @JBurtonXP @AnnCoulter Call to Missourians to vote McCaskill out in 2018.</t>
  </si>
  <si>
    <t>RT @JBurtonXP: Senator Claire McCaskill "met with the Russians" and—unlike Sessions—blatantly lied about it. She must step down IMMEDIATELY…</t>
  </si>
  <si>
    <t>@fruitloops412 @hollybear34 @Germantownrunne 
Democrats love their white uniforms! 😆</t>
  </si>
  <si>
    <t>RT @AnnCoulter: A good day to remind everyone that AG Eric Holder ran guns to Mexico, lied to Congress about it, was found in contempt &amp;amp; ne…</t>
  </si>
  <si>
    <t>@fruitloops412 
True - anti-semitism was on the rise during Obama. The fake MSM is just now reporting it to use it against Trump. 😠</t>
  </si>
  <si>
    <t>RT @joelpollak: More #FakeNews: Media, Dems Distort Remarks to Target Jeff Sessions https://t.co/YZofcTLoOJ via @BreitbartNews &amp;lt;--- Session…</t>
  </si>
  <si>
    <t>RT @wikileaks: New Yorker whips up 'Russian threat' hysteria over WikiLeaks--when Russia's economy is smaller than South Korea. https://t.c…</t>
  </si>
  <si>
    <t>RT @Mediaite: Sorry But Jeff Sessions Absolutely Did NOT Perjure Himself Under Oath When Asked About Russia https://t.co/tEx8EREuYg via @Ba…</t>
  </si>
  <si>
    <t>RT @sean_spicier: So I guess they're going to continue to accuse everyone of being a Russian spy until they run out of people</t>
  </si>
  <si>
    <t>RT @Mike_Pence_il: See i was at last nights speech 😁 @fruitloops412 @Mizzourah_Mom @Germantownrunne @hollybear34 @bfraser747 @VP https://t.…</t>
  </si>
  <si>
    <t>RT @sean_spicier: "Paul Ryan has GOP healthcare plan locked in the basement and only GOP can see it!"
These people don't even know how cra…</t>
  </si>
  <si>
    <t>RT @sean_spicier: We can force American taxpayers to pay for insurance whether they want it or not, but we can't ask NATO members to pay wh…</t>
  </si>
  <si>
    <t>@hollybear34 @Germantownrunne @1shawnster @nboo1014 @Nonabot77 @admirathoria @pixiebaby1972 @uptnhrlmb @thephilosopurr  So adorable! 😊</t>
  </si>
  <si>
    <t>RT @TheRalphRetort: Something weird about the Dems tonight. I can't put my finger on it, though. 
#JointSession https://t.co/3N8eZZlrYy</t>
  </si>
  <si>
    <t>RT @GovMikeHuckabee: Found out why Dems bolted for exits after @POTUS speech. Headed for Russian bath house to sweat out next 4 years.</t>
  </si>
  <si>
    <t>RT @CassandraRules: Hold up. Did Democrats just boo families of murder victims? https://t.co/CClAqIeqSB</t>
  </si>
  <si>
    <t>RT @seanhannity: Here's the full context behind the incredibly dumb 'Kellyanne on the Couch’ controversy https://t.co/U6CacDr0B5</t>
  </si>
  <si>
    <t>RT @JohnFromCranber: Soros = Subversive Globalist Working to Bring Down Western Democracies. Tools = Globalism, Islamization, Soaring Debt,…</t>
  </si>
  <si>
    <t>RT @AmyMek: #NeverForget SIX days after the 9/11 MUSLIM Terror Attacks, Saudi-Puppet, George W. Bush, stood with Islamic Terrorists while P…</t>
  </si>
  <si>
    <t>RT @tapperdon: @jennajameson but yet " a president with shoes on table is presidential https://t.co/VXgSGnZTJy</t>
  </si>
  <si>
    <t>RT @sweetatertot2: Trump has forced the media to expose themselves as the propagandist they are. Now many of us Americans are awake to the…</t>
  </si>
  <si>
    <t>RT @davidmweissman: Read and and share my article on who the real #Antisemitic President was, give you a hint not Pres #Trump   https://t.c…</t>
  </si>
  <si>
    <t>RT @jllgraham: @CBSNews can't imagine why people would doubt the press https://t.co/FSwbOptrz6</t>
  </si>
  <si>
    <t>RT @sean_spicier: Candidate Trump only said he'd increase military spending about 187 times, not sure why you're hyperventilating over him…</t>
  </si>
  <si>
    <t>RT @JBurtonXP: I'd be fine never hearing from another Bush or another Clinton as long as I live.</t>
  </si>
  <si>
    <t>RT @GovMikeHuckabee: Celebs applauded lecture on human rights from Iranian whose country oppresses women, kill gays and want to have genoci…</t>
  </si>
  <si>
    <t>RT @TheMarkRomano: Remember that big push for "Comprehensive Immigration Reform" and massive Amnesty for illegal aliens?
Yup... that was G…</t>
  </si>
  <si>
    <t>RT @mitchellvii: Trump's wall will only block those seeking to break our laws, yet the Left opposes it.  Tells you everything you need to k…</t>
  </si>
  <si>
    <t>@Cernovich 
What is mind-blowing are the people on Twitter surprised Bush was not the paragon of virtue they thought he was for years. 😆</t>
  </si>
  <si>
    <t>RT @wikileaks: Close Hillary Clinton friend Lynn Forester de Rothschild (Economist publisher) is a trustee of the Saudi funded John McCain…</t>
  </si>
  <si>
    <t>RT @KngFish: @brithume there are subatomic particles that spin less than our media these days</t>
  </si>
  <si>
    <t>RT @TheMarkRomano: Bush daughter helping raise money to murder babies.
Source: https://t.co/p5tNnDBB3n</t>
  </si>
  <si>
    <t>RT @Mike_Pence_il: Rephrase when i say @POTUS i mean when i am POTUS 😁  @Germantownrunne @Mizzourah_Mom @fruitloops412 @hollybear34 #Sunday…</t>
  </si>
  <si>
    <t>@gatewaypundit @StacyBrewer18 
Pathetic when #NeverTrumpers are put in charge of organizing a Pro-Trump rally. #oxymoron</t>
  </si>
  <si>
    <t>RT @gatewaypundit: #NeverTrumpers Boot Gateway Pundit from Pro-Trump Rally... Because I'm Too Pro-Trump https://t.co/6sdesRYwxi</t>
  </si>
  <si>
    <t>@Mike_Pence_il @fruitloops412 @Germantownrunne @1shawnster @hollybear34 @CarrieFrazer01 @VP 
Clueless as ever! 😆</t>
  </si>
  <si>
    <t>RT @horowitz39: The press needs Trump far more than he does them. He IS the news. So no surprise he'll not be attending the WH corresponden…</t>
  </si>
  <si>
    <t>RT @sean_spicier: As his first official act as DNC Chair, Tom Perez emailed Senator Warren the questions for the first 2020 primary debate.</t>
  </si>
  <si>
    <t>RT @JudicialWatch: Right now, our borders are being used as gateways for drug cartels, terrorists, and human smugglers.
https://t.co/rtGCw…</t>
  </si>
  <si>
    <t>RT @Mike_Pence_il: @fruitloops412 @Mizzourah_Mom @1shawnster @Germantownrunne @hollybear34 @VP @Kek_Magician @AnnabelleBakerF https://t.co/…</t>
  </si>
  <si>
    <t>RT @Metalbones59: #ICantRespectAnyoneWho refuses to empty
the Garbage. https://t.co/olIXuwNhyG</t>
  </si>
  <si>
    <t>@wikileaks</t>
  </si>
  <si>
    <t>RT @_Basil_C: @AnnCoulter Trump defeated the Bush &amp;amp; Clinton political dynasties in one election cycle. Add that to the accomplishments!</t>
  </si>
  <si>
    <t>RT @AnnCoulter: God bless Trump for ending the Bush menace!  Bush daughter to headline Planned Parenthood fundraiser - https://t.co/Ub89Pqh…</t>
  </si>
  <si>
    <t>@fruitloops412 @vetmar4 @hale4jesus @hollybear34 @Germantownrunne 
True! Never trust the MSM because they are all owned by globalists. 😠</t>
  </si>
  <si>
    <t>RT @GovMikeHuckabee: Know why Dems won't stop crying over losing election? They never got a Participation Trophy! Let's all chip in to buy…</t>
  </si>
  <si>
    <t>RT @JackPosobiec: Who at CPAC allowed Bob Creamer's birddoggers to bring Anti-Trump flags into a presidential security event? 
Curiouser a…</t>
  </si>
  <si>
    <t>@fruitloops412 @mitchellvii @Germantownrunne @hollybear34 @Mike_Pence_il @jojoh888 @bfraser747 
YES!!!!!</t>
  </si>
  <si>
    <t>@StockMonsterUSA @JohnKasich 
Perfectly applied adjectives! 😆</t>
  </si>
  <si>
    <t>RT @wikileaks: Anonymous sourcing
High quality source: official document
Low quality source: claimed quote from anonymous official
Why?…</t>
  </si>
  <si>
    <t>RT @jmset315: @nvrggivup @CNN @ABC @CBSNews @NBCNews @donlemon @jaketapper @brianstelter @wolfblitzer https://t.co/gMdnjlVROD</t>
  </si>
  <si>
    <t>RT @RealNaturalNews: Google has removed the ENTIRE #NaturalNews.com website from its index. https://t.co/P7eFq1xDD3 #health</t>
  </si>
  <si>
    <t>RT @RealNaturalNews: #WhiteHouse petition launched to end #Google’s #censorship of independent journalism: https://t.co/BHrHy7haKD https://…</t>
  </si>
  <si>
    <t>RT @JBurtonXP: Trump is trying to drag America back to the brutal primitivity of the mid 2010s when men couldn't use the same bathrooms as…</t>
  </si>
  <si>
    <t>RT @AnnCoulter: 7 earth-like planets that could sustain alien life discovered. And today California granted them drivers licenses.</t>
  </si>
  <si>
    <t>RT @bcwilliams92: A Presidential Library Thru Obamas Eyes Would Look Something Like This  😉 @GemMar333 @GeorgiaDirtRoad https://t.co/yGle33…</t>
  </si>
  <si>
    <t>RT @horowitz39: Our fascist universities: https://t.co/cJmNxVCQpr</t>
  </si>
  <si>
    <t>RT @Mike_Pence_il: Witch would you save from a 🔥 building? @Mizzourah_Mom @CarrieFrazer01 @eREM1600 @fruitloops412 @Germantownrunne @fernac…</t>
  </si>
  <si>
    <t>RT @Mike_Pence_il: @Mizzourah_Mom @fruitloops412 @mitchellvii @Kek_Magician @Germantownrunne @hollybear34 #Joke #NotMyPencil https://t.co/y…</t>
  </si>
  <si>
    <t>RT @Mike_Pence_il: @VP @WhiteHouse and the 46th ME 😁 @Kek_Magician @Mizzourah_Mom @Germantownrunne @1shawnster @VP @AnnabelleBakerF @hollyb…</t>
  </si>
  <si>
    <t>@fruitloops412 @Mike_Pence_il @mitchellvii @Kek_Magician @Germantownrunne@hollybear34 
Maybe 20? 😆</t>
  </si>
  <si>
    <t>@Mike_Pence_il @fruitloops412 @mitchellvii @Kek_Magician @Germantownrunne @hollybear34 
Nope! 😁</t>
  </si>
  <si>
    <t>@JackPosobiec 
It wasn't before?</t>
  </si>
  <si>
    <t>RT @Mike_Pence_il: #SundayMorning #MeetThePress #CNNSOTU #GiveEmFrootLoops https://t.co/nw3dx1linQ</t>
  </si>
  <si>
    <t>RT @Mike_Pence_il: #NationalLoveYourPetDay @1shawnster @Mizzourah_Mom https://t.co/V11g0s6NWS</t>
  </si>
  <si>
    <t>RT @GrrrGraphics: Who wears it better? oops! #HillaryClinton @MLP_officiel #LePen #frenchelection #Brexit cartoons at https://t.co/Oj98iIxE…</t>
  </si>
  <si>
    <t>RT @PrisonPlanet: https://t.co/ly0019bSmR</t>
  </si>
  <si>
    <t>RT @Thomas1774Paine: .@Wikileaks Exposes John McCain’s Illegal Request for Campaign Cash From Russian Ambassador Who Suddenly Died Monday h…</t>
  </si>
  <si>
    <t>@MOVEFORWARDHUGE 
Amazing one of the #FakeNews peddlers actually admitted it</t>
  </si>
  <si>
    <t>RT @BigStick2013: 200+ Violent Rioters INDICTED on FELONY Rioting Charges from Inauguration Day https://t.co/gQ2bHkB86o
Great News</t>
  </si>
  <si>
    <t>RT @ScottMGreer: To remember all the brave journalists murdered on Twitter by anonymous frog accounts https://t.co/1Z1ZLMpLoH</t>
  </si>
  <si>
    <t>RT @Stevenwhirsch99: Rioting breaks out in Sweden? Hmm
Trump is right AGAIN. MSM is truly the enemy of the American people.</t>
  </si>
  <si>
    <t>@Mike_Pence_il @mitchellvii @Kek_Magician @fruitloops412 @Germantownrunne @hollybear34 
You're not as creepy as the clown king https://t.co/47amll4AbQ</t>
  </si>
  <si>
    <t>@hecate5points @JudicialWatch 
This is NOT fake news. Google Robert Rosebrock and you will see this is correct. Our vets deserve better!</t>
  </si>
  <si>
    <t>RT @JudicialWatch: U.S. Govt. Prosecuting Elderly Army Vet for “Posting” American Flags in VA Facility https://t.co/uOGYVTNj4D</t>
  </si>
  <si>
    <t>RT @sean_spicier: The President's new executive order on immigration will completely comply with the law, so naturally Democrats will hate…</t>
  </si>
  <si>
    <t>RT @GrrrGraphics: John McCain, the Mad Bomber https://t.co/GsbcY8j28d https://t.co/yQNNKC9ckc</t>
  </si>
  <si>
    <t>RT @PrisonPlanet: All the lefties who mocked Trump are strangely silent about LAST NIGHT IN SWEDEN. Come on, where are you now? 😄 https://t…</t>
  </si>
  <si>
    <t>RT @RealJack: BREAKING: CNN unveils new logo. Very fake news!! LOL. https://t.co/HpRPjcPRIg</t>
  </si>
  <si>
    <t>UN Ambassador Nikki Haley Rips Security Council's 'Breathtaking' Anti-Israel Bias - Breitbart https://t.co/p9pueTXAXr</t>
  </si>
  <si>
    <t>RT @Mike_Pence_il: #SundayMorning @Mizzourah_Mom @CarrieFrazer01 @Germantownrunne @ClaraLKatzenmai @fruitloops412 @hollybear34 https://t.co…</t>
  </si>
  <si>
    <t>RT @Mike_Pence_il: ⚡ John McCain defends the press: 'That's how dictators get started' @fruitloops412 @Mizzourah_Mom @CarrieFrazer01 
http…</t>
  </si>
  <si>
    <t>RT @JeffLee2020: @snaggot @PrisonPlanet https://t.co/lv7sXYRyxd</t>
  </si>
  <si>
    <t>RT @PrisonPlanet: Leftists savaged Melania Trump for reciting Lord's Prayer, but "Allahu Akbar" is to be respected. Let that sink in. https…</t>
  </si>
  <si>
    <t>RT @Mike_Pence_il: @hectormorenco jobs is not apart of the new world order poor people mean disparate people witch makes a crisis "Never wa…</t>
  </si>
  <si>
    <t>RT @BarbMuenchen: We know the #VeryFakeNews is against the people when they colluded with the #DNC💁Spewing one lie after another. #Propagan…</t>
  </si>
  <si>
    <t>RT @joelpollak: (I don't recall McCain slamming President Obama abroad) "Video: McCain attacks Trumpism at Ger. security conference" https:…</t>
  </si>
  <si>
    <t>@Mike_Pence_il @fruitloops412 @CarrieFrazer01 
With Republicans like this, who needs Democrats? 🤔</t>
  </si>
  <si>
    <t>RT @RaheemKassam: Actually @HuffPostPol I just got back from Malmo and Stockholm suburbs and what is happening there *IS* unbelievable http…</t>
  </si>
  <si>
    <t>RT @mtracey: They're helping him by pretending to have a systemic critique when they're largely driven by election-based sour grapes and pe…</t>
  </si>
  <si>
    <t>RT @AnnCoulter: Media deny they are the enemy of the American People. There they go again-- more fake news.</t>
  </si>
  <si>
    <t>@Mike_Pence_il @fruitloops412 @CarrieFrazer01 @ClaraLKatzenmai @Germantownrunne 
None of the above! 😁</t>
  </si>
  <si>
    <t>RT @Mike_Pence_il: @Mizzourah_Mom @jojoh888 @1shawnster @fruitloops412 @ClaraLKatzenmai @eREM1600 @Germantownrunne @hollybear34 @CarrieFraz…</t>
  </si>
  <si>
    <t>RT @JulianAssange: Here's Ecuador's opposition leader (elections Sunday) saying he'll revoke my asylum after I revealed CIA penetration of…</t>
  </si>
  <si>
    <t>RT @wikileaks: Chinese ambassador "private, off the record" set up for meeting with Clinton campaign during run up to US election https://t…</t>
  </si>
  <si>
    <t>@DANCINGDOTS @EricSpracklen @realDonaldTrump 
And they wonder why we label them #fakenews</t>
  </si>
  <si>
    <t>RT @TheLastRefuge2: *Yesterday Trump said media were our enemy.
*Today Journalists on twitter are belittling this Trump supporter.
*Preside…</t>
  </si>
  <si>
    <t>RT @Lrihendry: The election of Trump did not create the left's hate. It REVEALED it! #LoveTrumpsHate #MAGA</t>
  </si>
  <si>
    <t>RT @EricSpracklen: President @realDonaldTrump this evening in Melbourne, Florida! Share this right now because the media will never show th…</t>
  </si>
  <si>
    <t>RT @sean_spicier: Melania starts with a prayer and liberals have already had enough</t>
  </si>
  <si>
    <t>RT @charliekirk11: The media never ever asked Obama questions like they do of Trump. Ever. 
The double standard is out of control 
The fi…</t>
  </si>
  <si>
    <t>RT @mtracey: Some journalists are courageous and face real risk. Most never do. Oddly, the latter tend to be the most self-righteous about…</t>
  </si>
  <si>
    <t>RT @DevyDegaimer: True journalists are #NotTheEnemy. Corporatist propaganda machines masquerading as journalists are the enemy. Learn to te…</t>
  </si>
  <si>
    <t>RT @FightNowAmerica: When biased media becomes the propaganda service of one party it becomes the enemy of freedom.
#NotTheEnemy Bill Mahe…</t>
  </si>
  <si>
    <t>RT @KazeSkyz: Journalists aren't "the enemy"? Then why do they make death threats against our President?
#NotTheEnemy https://t.co/9Y9wNzV…</t>
  </si>
  <si>
    <t>RT @sean_spicier: Super selfish of the media to boycott the White House Correspondents Dinner. The staff worked very hard on your special d…</t>
  </si>
  <si>
    <t>@atheistic_1 
I'm not in favor of criminals of any color or collar. ☺</t>
  </si>
  <si>
    <t>RT @PARISDENNARD: There are just too many #fakenews stories to recount on the spot but here are a few for you trolls https://t.co/4ylz8kGk8U</t>
  </si>
  <si>
    <t>@atheistic_1 
It is the criminal undocumented immigrants (drug cartels, etc.) middle America does not want.</t>
  </si>
  <si>
    <t>@atheistic_1 
Legal immigrants - yes. Anyone who loves our country and wants a better life for them &amp;amp; their family is definitely welcome.</t>
  </si>
  <si>
    <t>@atheistic_1 
America is a melting pot and anyone who is here legally and wants to make America great again is definitely welcome.</t>
  </si>
  <si>
    <t>@atheistic_1 There are also many fake so-called attacks, but you probably believe the MSM.</t>
  </si>
  <si>
    <t>RT @sean_spicier: Fake news: "Trump's going to use the National Guard"
Correction: "Trump would use the National Guard so it's still true"</t>
  </si>
  <si>
    <t>RT @sean_spicier: All night Dem protests:
25 pizzas--$250
50 pillows--$2000
50 sleeping bags--$3000
Knowing they haven't stopped anything-…</t>
  </si>
  <si>
    <t>RT @sean_spicier: The Senate has confirmed Scott Pruitt as EPA head. As of this tweet, he has NOT given the go ahead to poison all the drin…</t>
  </si>
  <si>
    <t>@fruitloops412 @mike_pence @mitchellvii @hollybear34 @jojoh888 @Germantownrunne @OliviaAllenC  
With a little help from @Reince?</t>
  </si>
  <si>
    <t>@fruitloops412 
I am a Christian, but my mother was half Jewish and I've seen anti-semitism first hand. Trump is not anti-semitic!</t>
  </si>
  <si>
    <t>@fruitloops412 
Yes, and the MSM focuses on them.</t>
  </si>
  <si>
    <t>@fruitloops412 
#MAGA is definitely not racist and all are welcome - Christians, Jews, atheists, etc. Trump needs our support!</t>
  </si>
  <si>
    <t>@fruitloops412 @scwhiterabbit @Kek_Magician @Germantownrunne 
I was wondering what he meant too. Oh well, God will take care of it.</t>
  </si>
  <si>
    <t>RT @TomFitton: NPR: Transcripts of Flynn's calls don't show any criminal wrongdoing https://t.co/kvwz5pWMFl</t>
  </si>
  <si>
    <t>RT @SandraTXAS: Attn #VeryFakeNews reason for free press is to report TRUTH. You are no longer press but propaganda for liberal agenda
#MAG…</t>
  </si>
  <si>
    <t>RT @mitchellvii: One way to out leakers is tell the biggest suspects an outrageous story and see if the press reports it.</t>
  </si>
  <si>
    <t>RT @ScottAdamsSays: You're half right, Sarah. He also just found his leaker. Welcome to the 3rd Dimension. https://t.co/vKubuIkU94</t>
  </si>
  <si>
    <t>RT @foxnewsalert: PRUITT THROUGH IT: Trump's pick for EPA confirmed https://t.co/ZCwe3oy1mG</t>
  </si>
  <si>
    <t>RT @JulianAssange: Media on our CIA scoop:
French? Front page news for top three papers
Russian? "Nuclear bomb shell" 
US? "standard intell…</t>
  </si>
  <si>
    <t>RT @GrrrGraphics: The Shadow Government https://t.co/nByxDQ5XXB https://t.co/dvreVZaW5G</t>
  </si>
  <si>
    <t>@jason_howerton 
A free press is objective &amp;amp; free from partisan spin - something sadly lacking today. They are delegitimizing themselves.</t>
  </si>
  <si>
    <t>This is long, but a great explanation of the "deep state" and what @POTUS is battling. https://t.co/QRQJuD9kS5</t>
  </si>
  <si>
    <t>@kytv  More #fakenews from anonymous sources. Already debunked.</t>
  </si>
  <si>
    <t>RT @julianassange: Here's @ggreenwald putting it exactly right on the US deep state vs Trump war https://t.co/cjB0c4Nlc1</t>
  </si>
  <si>
    <t>RT @julianassange: My new story: CIA conducted a 10 month espionage operation targetting the last French presidential election
 https://t.c…</t>
  </si>
  <si>
    <t>RT @AnnCoulter: To give you an idea how Trump's press conference went, afterwards, the press corps demanded a safe space.</t>
  </si>
  <si>
    <t>RT @PrisonPlanet: Conspiring to fabricate a conspiracy theory about Russia to help the deep state overthrow a democratically elected presid…</t>
  </si>
  <si>
    <t>RT @wikileaks: UK, Australia, Canada &amp;amp; NZ tasked by CIA to use human spies (HUMINT) to penetrate last French presidential election https://…</t>
  </si>
  <si>
    <t>@MZHemingway 
Could they at least cover him objectively without partisan spin?</t>
  </si>
  <si>
    <t>RT @corinnec: Trump did not delegitimize the press. The press delegitimized the press. https://t.co/RprVL61Uue</t>
  </si>
  <si>
    <t>RT @asamjulian: Trying to delegitimize the sitting president 24/7 is unAmerican, you whiny crybaby. https://t.co/g3m6dNAK2B</t>
  </si>
  <si>
    <t>RT @bennyjohnson: Look at Spicer and Kellyanne when Trump tells CNN that they are not just 'Fake News' they are 'Very Fake News' https://t.…</t>
  </si>
  <si>
    <t>RT @LindaSuhler: Middle America is cheering and throwing a party because POTUS is taking #FakeNews to the woodshed today!
You, GO, POTUS!!!…</t>
  </si>
  <si>
    <t>RT @JudicialWatch: Fed Appeals Court: Immigrant Who Voted Illegally Can be Deported https://t.co/8ThfveMSCs</t>
  </si>
  <si>
    <t>@schestowitz @wikileaks @washingtonpost 
It should not be desirable anywhere/anytime. Talk about people living in glass houses!</t>
  </si>
  <si>
    <t>This is true - if you post a positive reply to Trump's tweets it will lose the link as a reply. Twitter promotes negatives at the top. https://t.co/x9iNpW8AJ8</t>
  </si>
  <si>
    <t>RT @AnnCoulter: I warned you GOP would try to impeach Trump to get Pence! ("he will back off Trump’s positions on trade &amp;amp; immign") https://…</t>
  </si>
  <si>
    <t>RT @JackPosobiec: Roger Stone: "There will be more revelations about things @Reince has done in this job that don't serve the president. Ma…</t>
  </si>
  <si>
    <t>RT @piersmorgan: Quite extraordinary to watch US media colluding with US intelligence agencies in an effort to destroy the US President.</t>
  </si>
  <si>
    <t>RT @sean_spicier: The President is firm that Iran will never have nukes. It's the same stance as the last admin, only we won't give them bi…</t>
  </si>
  <si>
    <t>RT @julianassange: Michael Flynn: With a phone call &amp;amp; sanctions as bait he stopped dozens of US spies &amp;amp; their kids from being expelled. A d…</t>
  </si>
  <si>
    <t>RT @TheLastRefuge2: Dear @realDonaldTrump Please declassify all of the Iran Deal documents and leave Kerry/Obama naked to their enemies. Th…</t>
  </si>
  <si>
    <t>RT @Cacadura753: @PamelaGeller This is what we can expect here in #USA unless we heed the warnings Today https://t.co/fSHaHaVkiT #BanSharia…</t>
  </si>
  <si>
    <t>RT @mflynnJR: "Flynn pushed out of office partly due 2 his intention 2 release these sensitive documents 2 the American public." https://t.…</t>
  </si>
  <si>
    <t>RT @mitchellvii: NSA Whistleblower Confirms Intelligence Community Is 'Absolutely' Tapping Trump's Calls https://t.co/NtyZtejIRz</t>
  </si>
  <si>
    <t>@hectormorenco 
The fake MSM will not show anything that doesn't agree with their narrative.</t>
  </si>
  <si>
    <t>RT @wikileaks: WSJ says US intelligence says it is intentionally concealing information from US president @realDonaldTrump https://t.co/1tY…</t>
  </si>
  <si>
    <t>RT @mtracey: These were the "smoking gun" reports that Very Serious people just spent the last 24 hours screaming about https://t.co/8K8QVa…</t>
  </si>
  <si>
    <t>RT @benshapiro: The more we hear about the intel community targeting Flynn, the more I keep asking: why did Trump fire the guy? https://t.c…</t>
  </si>
  <si>
    <t>@ZKPIII @wikileaks @realDonaldTrump @FoxNews @CNN @MSNBC 
They see it and are actively participating by reporting unsubstantiated sources.</t>
  </si>
  <si>
    <t>RT @julianassange: Amazing battle for dominance is playing out between the elected US govt &amp;amp; the IC who consider themselves to be the 'perm…</t>
  </si>
  <si>
    <t>RT @mtracey: Instead of leaking salacious excerpts, why don't these noble Deep Staters put out the full Flynn transcripts so we can assess…</t>
  </si>
  <si>
    <t>@RoyBlunt 
If you want to investigate, why don't you find out who in the unelected deep state (CIA/FBI/?) is leaking info to the press.</t>
  </si>
  <si>
    <t>@AnnCoulter @CarmineZozzora 
If he wants to investigate something, he should investigate who in the deep state gave the leaks.</t>
  </si>
  <si>
    <t>RT @mikandynothem: 🔥RETWEET🔥if you AGREE President Trump should FIRE Former Obama Officials who are leaking classified information! TREASON…</t>
  </si>
  <si>
    <t>RT @vdare: Will never be able to get over how the same people demanding force against Russia absolutely refuse to defend America's own bord…</t>
  </si>
  <si>
    <t>RT @Patriot_Drew: Gen Michael Flynn Talked About Lifting Obamas Russian Sanctions.
REAL ISSUE:
Why Is Gov't Spying On @transition2017 ⁉️…</t>
  </si>
  <si>
    <t>RT @GrrrGraphics: Soros #Globalist -it's a big corrupt club and Bill Kristol proud member https://t.co/d34dH4cGYy</t>
  </si>
  <si>
    <t>RT @Kredo0: BIG BREAKING: Obama Admin Loyalists, Former Offls Waged Secret Campaign To Ouster Flynn From White House, Boost Iran https://t.…</t>
  </si>
  <si>
    <t>RT @sean_spicier: WH press briefings have turned into 12 journalists all asking the same question.</t>
  </si>
  <si>
    <t>RT @mitchellvii: Odd that Democrats were so upset over the email hacks but seem perfectly content with illegal wiretaps inside the White Ho…</t>
  </si>
  <si>
    <t>@iyqAmerica @delanemassey @DrLee4America @GaetaSusan 
That's true - really hope @POTUS will be a good exterminator and pass term limits.</t>
  </si>
  <si>
    <t>RT @mitchellvii: The real story of Flynn is not that he made comments about bogus sanctions, but that fired AG Yates was involved in politi…</t>
  </si>
  <si>
    <t>RT @wikileaks: Trump's National Security Advisor Michael Flynn resigns after destabilization campaign by US spies, Democrats, press https:/…</t>
  </si>
  <si>
    <t>@Allisofthe1 @DrLee4America @GaetaSusan 
Agreed!</t>
  </si>
  <si>
    <t>@DrLee4America @GaetaSusan 
Democrats &amp;amp; Republicans are 2 sides of the same globalist coin. The swamp dwellers are resisting being drained.</t>
  </si>
  <si>
    <t>@ColumbiaBugle 
Sad news...😔</t>
  </si>
  <si>
    <t>RT @JackPosobiec: Notice they are all saying "Mike Flynn" now instead of "General Flynn" - subtle manipulation by linguistics. 
Can't atta…</t>
  </si>
  <si>
    <t>RT @StevenTDennis: Just spoke to House Intel Chairman Devin Nunes about Mike Flynn.
He expects Flynn to keep his job, blames "swamp" deniz…</t>
  </si>
  <si>
    <t>@ElectionLawCtr 
They are all from different legs of the same corrupt establishment and take their orders from the same dark state.</t>
  </si>
  <si>
    <t>RT @danibrackett: Call for an investigation regarding riots. Political violence in unacceptable. #CongressDoYourJob</t>
  </si>
  <si>
    <t>RT @Hope4ChgNow: #CongressDoYourJob
We can and will make this happen.  It's time to work for the American people. https://t.co/YA68mHEbA8</t>
  </si>
  <si>
    <t>RT @FakesMsm: #CongressDoYourJob or you won't be reelected.</t>
  </si>
  <si>
    <t>RT @carrieksada: #CongressDoYourJob 
Time for you guys to get busy and get @RealBenCarson confirmed! #MAGA https://t.co/tnSI6DEubB</t>
  </si>
  <si>
    <t>RT @ProudlyWeHail: #CongressDoYourJob Defund sanctuary cities!</t>
  </si>
  <si>
    <t>RT @TucsonTrumpGirl: It's time to stop being Republicans and Democrats. We are all Americans. Confirm Trump's cabinet and Neil Gorsuch.
 #…</t>
  </si>
  <si>
    <t>RT @LL07CJSANFRAN: #CongressDoYourJob https://t.co/mLipEk8zbP</t>
  </si>
  <si>
    <t>RT @ProudlyWeHail: #CongressDoYourJob Defund Planned Parenthood!</t>
  </si>
  <si>
    <t>RT @ICEgov: ICE immigration enforcement actions target specific individuals according to the laws passed by Congress. https://t.co/iSUTgJRN…</t>
  </si>
  <si>
    <t>RT @PJStrikeForce: #Congress 
#Elections Have Consequences
TIME TO WORK FOR #AMERICA 
#CongressDoYourJOB 🇺🇸🇺🇸
CONFIRM #Trump Appointees
#A…</t>
  </si>
  <si>
    <t>RT @TickerTapeVote: @SenGillibrand #NewYork
#CongressDoYourJob 👈🏻
✋🏻STOP THE DELAYS
CONFIRM #Trump APPOINTEES https://t.co/1rEkkVD6UW</t>
  </si>
  <si>
    <t>RT @ConstanceQueen8: We Gave U 
✅WH
✅Senate
✅House 
Give Us
💥Confirmations 
💥HealthCare
💥Immigration 
💥🚫Illegals
💥💪🏻Military
💥Build The Wal…</t>
  </si>
  <si>
    <t>RT @sean_spicier: UN Security Council will meet in response to North Korea's missile launch. Expect a strong statement denouncing Trump vot…</t>
  </si>
  <si>
    <t>@alisonnorris 
At least you have "hope" that will happen... 😉</t>
  </si>
  <si>
    <t>@alisonnorris 
We'll see! 😊</t>
  </si>
  <si>
    <t>RT @Uncle_Jimbo: This is what happens when 
Saudi $$$ at Georgetown
&amp;amp; Leftist Idiocy 
Combine and metastasize
#EnemyIsHere https://t.co/Af…</t>
  </si>
  <si>
    <t>@alisonnorris 
Maybe, but if that's true we're the winning minority! 😁</t>
  </si>
  <si>
    <t>RT @ARmastrangelo: .@charliekirk11 @nyuniversity @nyunews “Whoever overthrows the liberty of a nation must begin by subduing free speech.”…</t>
  </si>
  <si>
    <t>@TEN_GOP 
Same people who said do not legislate morality want to push their brand of  "morality" on the U.S.</t>
  </si>
  <si>
    <t>RT @sean_spicier: So glad the media's bringing back their popular series, "The High Cost of Presidential Travel &amp;amp; Protection". Missed it th…</t>
  </si>
  <si>
    <t>RT @PoseidonNooYawk: @NolteNC https://t.co/GyqTTtmERp</t>
  </si>
  <si>
    <t>RT @TheLastRefuge2: Ninth Circuit Court Now Demands It Be Protected From Itself… https://t.co/quW2RwB0OK https://t.co/T34qiug0Rh</t>
  </si>
  <si>
    <t>@fruitloops412 
I know and it is scary. I used to laugh at liberalism being a mental disorder, but I'm really starting to believe it's true.</t>
  </si>
  <si>
    <t>RT @GovMikeHuckabee: 9th Circuit spends 3 days looking for copy of Constitution, can't find one anywhere in CA, and rules on immigration an…</t>
  </si>
  <si>
    <t>@mitchellvii 
Now there's a great idea! Also, have their kids go to the failing public schools.</t>
  </si>
  <si>
    <t>RT @frenchfortrump: 8 Yrs under Obama @SenJohnMcCain
never opened his mouth!
Now all he does is attack @POTUS
Another @GOP Soros-Globalist…</t>
  </si>
  <si>
    <t>RT @steph93065: Dear Terrorists,
you have a few weeks more to rush into the country.
Yours Truly,
The Ninth circuit court</t>
  </si>
  <si>
    <t>RT @realDonaldTrump: SEE YOU IN COURT, THE SECURITY OF OUR NATION IS AT STAKE!</t>
  </si>
  <si>
    <t>RT @WayneDupreeShow: OOPS! Coretta Scott King Thanks Jeff Sessions For Work on Rosa Parks Library #LetHerSpeak #ElizabethWarren 😂 https://t…</t>
  </si>
  <si>
    <t>@Michael1776er @ChristieC733 
True, but sad many better candidates never make it past primaries due to big money donors.</t>
  </si>
  <si>
    <t>@JoeFreedomLove @BreitbartNews 
Sounds like it's time someone needs to retire! ☺</t>
  </si>
  <si>
    <t>RT @ChristieC733: Statesman Vs Subversives - Sessions Must Target, Prosecute Soros, Treasonous Left 
#ArrestSoros
#ImmigrationBan 
✅https…</t>
  </si>
  <si>
    <t>RT @JohnFromCranber: Recipe For Becoming a Third World Nation: https://t.co/mflI6A0YKM</t>
  </si>
  <si>
    <t>RT @sean_spicier: Jill Stein filed paperwork in federal court requesting a replay of the Super Bowl. Please make donation checks payable to…</t>
  </si>
  <si>
    <t>RT @mitchellvii: Ryan Works With Pelosi &amp;amp; Schumer To Stall Trump Economic Recovery - https://t.co/ZYRg9FZRHB https://t.co/pKHxmspcE3</t>
  </si>
  <si>
    <t>RT @Serendipiterry: #Outnumbered @MeghanMcCain Your father looks pretty chummy with evil George Soros. Is this why he's fighting @POTUS eve…</t>
  </si>
  <si>
    <t>RT @LindaSuhler: Dem strategy... 😂😂😂
#MAGA https://t.co/5rdYQMleKZ</t>
  </si>
  <si>
    <t>@KurtSchlichter @townhallcom 
Great article - really nails what I've seen on Twitter and in the media.</t>
  </si>
  <si>
    <t>RT @nickwaye: A worrying piece. The Right is finally Angry. 
RT @KurtSchlichter: The Left Hates You. Act Accordingly.
https://t.co/2iJBFja…</t>
  </si>
  <si>
    <t>RT @JayS2629: New Report EXPOSES 6 Top REPUBLICANS on GEORGE SOROS’ PAYROLL! Guess Who’s Being Paid to Stop Trump? - https://t.co/ZrMBLYpAMH</t>
  </si>
  <si>
    <t>RT @VoteTrumpPics: RT💥 If You are Praying for President Trump🙏
@POTUS @realDonaldTrump
#Pray4DJT 🙏 #SuperBowl https://t.co/XPSOYOUkxD</t>
  </si>
  <si>
    <t>@fruitloops412 @ladygagaloo 
I'll watch the game, but GagGag is going off at half time.</t>
  </si>
  <si>
    <t>@fruitloops412 
No problem! I'll probably get reported too. Something new! ☺</t>
  </si>
  <si>
    <t>@fruitloops412 @georgesoros @Kek_Magician  @Germantownrunne @mitchellvii
I was agreeing Soros needs a hug around the neck - with a rope! 😊</t>
  </si>
  <si>
    <t>@fruitloops412 @georgesoros @Kek_Magician @hollybear34 @Germantownrunne @mitchellvii @Great_Wall2018 
Too true!</t>
  </si>
  <si>
    <t>@fruitloops412 @georgesoros @Kek_Magician @hollybear34 @Germantownrunne 
Too true!</t>
  </si>
  <si>
    <t>RT @VoteTrumpPics: Trump Twitter Rally🚨
RT💥 and show your support for DJT this Sunday, Feb 5th during Super Bowl Half Time Show at #Pray4D…</t>
  </si>
  <si>
    <t>RT @twita_pater: @mtracey @Medium https://t.co/COwhY4S1Sr</t>
  </si>
  <si>
    <t>RT @FiveRights: #saturdaymorning
Trump: every American's right to life supersedes every foreigner's "right" to enter USA and that's why...…</t>
  </si>
  <si>
    <t>RT @_Makada_: Why did this so-called judge do nothing when Obama temporarily banned Iraqi refugees from entering USA? It's only illegal if…</t>
  </si>
  <si>
    <t>RT @ARmastrangelo: I want our @POTUS to find &amp;amp; arrest @georgesoros, who is actively trying to divide &amp;amp; conquer the United States by funding…</t>
  </si>
  <si>
    <t>RT @JayS2629: FBI Quietly Release More Clinton Docs https://t.co/OAEAVQxlQD</t>
  </si>
  <si>
    <t>RT @mcgilh: George Soros Funding Violent Leftist Demonstrations Nationwide https://t.co/i36YSyBcpX</t>
  </si>
  <si>
    <t>RT @PrisonPlanet: Columnist who called for a military coup to oust Trump had dinner with John Podesta &amp;amp; George Soros. Imagine my shock http…</t>
  </si>
  <si>
    <t>RT @TheLastRefuge2: I guess no-one in the U.S. media thought to ask Turnbull why it's safe for America to take Australia's refugees, but no…</t>
  </si>
  <si>
    <t>RT @nevadatjthu: The Trump nominee that liberals fear the most. If they lose their stranglehold on education, they lose the future. Confirm…</t>
  </si>
  <si>
    <t>RT @Tony19542: White House Vows ‘Emergency Stay’ of Judicial Order Thwarting President's Immigration Order - Breitbart./I KNEW HE WOULD RES…</t>
  </si>
  <si>
    <t>RT @charliekirk11: Love Trumping Hate involves a lot more arson and assault than I thought it would.</t>
  </si>
  <si>
    <t>RT @sean_spicier: The President announced new sanctions on Iran today. None include sending them pallets of cash.</t>
  </si>
  <si>
    <t>RT @sean_spicier: Lost in all the great news was Mayor de Blasio making it thru Groundhog Day without killing one. America's already becomi…</t>
  </si>
  <si>
    <t>RT @StefanMolyneux: The Death of Free Speech
Artwork by @GrrrGraphics https://t.co/PtRVDoObxB</t>
  </si>
  <si>
    <t>RT @docdhj: This is a VIOLATION OF THE ESPIONAGE ACT!#ProsecuteAllOfThem @Lrihendry @JrcheneyJohn @SpecialKMB1969 @Westxgal @baalter @wineg…</t>
  </si>
  <si>
    <t>RT @bad_spelur: Islamic States of America   #Starbucks https://t.co/RoFoTAAgxB</t>
  </si>
  <si>
    <t>RT @docdhj: Shocking! Not!U.N. Official Admits Global Warming Agenda Is Really About Destroying Capitalism | Zero Hedge https://t.co/88YbU2…</t>
  </si>
  <si>
    <t>RT @CasinoRex: @JesseArreguin https://t.co/mgVdZW7uPb</t>
  </si>
  <si>
    <t>RT @PrisonPlanet: Officially declare Antifa a terrorist organization. https://t.co/7YN1ccHTrg</t>
  </si>
  <si>
    <t>RT @ConstanceQueen8: Thx @SmurfBoobs 4 Pic
Countries Have Wall/Fence
Right 2 Protect It
Right 2 Stop Illegals 
⁉️Do U Protect 
Your House⁉️…</t>
  </si>
  <si>
    <t>RT @DineshDSouza: The same media that deplored violence at Trump rallies has gone strangely silent about leftist violence at UC-Berkeley #M…</t>
  </si>
  <si>
    <t>RT @cabot_phillips: Conservatives pass out constitutions on campus: 3 students arrested
Liberals burn UC Berkley: 0 students arrested
Let…</t>
  </si>
  <si>
    <t>RT @RubinReport: Don't like Milo? Don't go to his event and use your free speech to counter his free speech. Look I solved the issue in a t…</t>
  </si>
  <si>
    <t>RT @GrrrGraphics: the Hard left #UCBerkleyRiot or as we like to call them "Fascism Forever" club brought to you by #Soros #RiotsRUs  https:…</t>
  </si>
  <si>
    <t>RT @Right_Wing_Scot: @wikileaks Finally a @POTUS who really believes in free speech. Hate speech is just free speech that the left don't li…</t>
  </si>
  <si>
    <t>RT @JBurtonXP: Our university system is a moral obscenity. So many middle American parents spending thousands so their kids can be taught t…</t>
  </si>
  <si>
    <t>RT @JxhnBinder: BREAKING: 'Antifa' rioters at UC Berkeley are INSIDE a Chase Bank, have smashed every window and ATM in the building.... un…</t>
  </si>
  <si>
    <t>RT @MrAyeDee: There is NO #MuslimBan just arrived LAX,  no one asked me about my religious faith even though my passport has my Muslim name…</t>
  </si>
  <si>
    <t>RT @wikileaks: Full context for Kissinger quote "The illegal we do immediately; the unconstitutional takes a little longer" https://t.co/w9…</t>
  </si>
  <si>
    <t>RT @sean_spicier: Going to be hilarious watching Democrat Senators that voted for Gorsuch in 2006, tell us what a monster he is now.</t>
  </si>
  <si>
    <t>@realDonaldTrump 
Wonderful choice, Mr. President! Thank you for actually keeping your campaign promises. ☺</t>
  </si>
  <si>
    <t>RT @JohnFeliz2: @LifeNewsHQ @michellemalkin God Bless Justice Gorsuch and God Bless PRESIDENT Trump. https://t.co/UXiIbJAS25</t>
  </si>
  <si>
    <t>RT @KassyDillon: In 2006 Schumer (and Hillary!) voted for Gorsuch alongside a unanimous Senate. I wonder what changed their minds in the pa…</t>
  </si>
  <si>
    <t>RT @SandraTXAS: Being Christian Doesn’t Mean Being for Open Borders 
https://t.co/WI2YsqgGHI 
#MAGA
#Trump
#Refugees
#ResistTrumpTuesday…</t>
  </si>
  <si>
    <t>RT @AnnCoulter: I look at that lovely couple, Judge Gorsuch &amp;amp; his wife, and think about how they are about to be viciously slandered by the…</t>
  </si>
  <si>
    <t>RT @sean_spicier: REMINDER:
Everything Democrats will say about Judge Gorsuch, they would've said about Rubio or Cruz's nominees also.</t>
  </si>
  <si>
    <t>RT @sean_spicier: We forgive President Obama for his misguided comments. We understand he's just frustrated he's not able to play taxpayer…</t>
  </si>
  <si>
    <t>RT @Franklin_Graham: We have to realize that the president’s job is not the same as the job of the church. https://t.co/3hDRdCCdrm</t>
  </si>
  <si>
    <t>RT @mitchellvii: What does America need?
Trump: "More jobs."
Democrats: "More terrorists."
Oh yeah, come on 2018!</t>
  </si>
  <si>
    <t>RT @sean_spicier: The President announces his SCOTUS pick today. Also today, Democrats decide a 4-4 split isn't a threat to our democracy a…</t>
  </si>
  <si>
    <t>RT @GovMikeHuckabee: If Federal employees can't work for @POTUS then "don't let the door hit you where the Good Lord split you!"  #drainthe…</t>
  </si>
  <si>
    <t>RT @dbongino: More liberal hypocrisy: "These 73 sitting Dems voted to ban visas from some Muslim countries.That law still exists." https://…</t>
  </si>
  <si>
    <t>RT @michellemalkin: #SJW judge alert ==&amp;gt; https://t.co/XTI5vLeLK9</t>
  </si>
  <si>
    <t>RT @PrisonPlanet: When one of his leftist jihad army commits a terror attack, which is inevitable, George Soros needs to be prosecuted and…</t>
  </si>
  <si>
    <t>RT @PrisonPlanet: #SorosForPrison get it trending.</t>
  </si>
  <si>
    <t>RT @StefanMolyneux: President Trump just blocked Cuban refugees from seeking safe haven in United States. What a monster! Wait. That was Pr…</t>
  </si>
  <si>
    <t>RT @RMConservative: Bottom line from Justice Robert Jackson, the champion of due process rights https://t.co/kAT5BCYSNM https://t.co/2MbvOx…</t>
  </si>
  <si>
    <t>RT @ChristieC733: PETITION To President Donald J. Trump, Attorney General Jeff Sessions To Investigate/Prosecute George Soros, Et. Al. http…</t>
  </si>
  <si>
    <t>RT @RealVinnieJames: 🚨Please ReTweet this 🚨 until EVERY American citizen has seen it. The @ACLU, the MSM and the Protestors are DEAD WRONG.…</t>
  </si>
  <si>
    <t>RT @PrisonPlanet: Chuck Schumer's crying over Muslim refugees.
After supporting the attack on Libya that led to the deaths of thousands of…</t>
  </si>
  <si>
    <t>RT @sean_spicier: We must stop our new Preaident from spreading rationalism!
https://t.co/UGkWrPbNM5</t>
  </si>
  <si>
    <t>RT @sean_spicier: The President appreciates all the airport protesters getting our 2020 re-election campaign off to a great start!</t>
  </si>
  <si>
    <t>RT @christinebarnum: @Cernovich Even though Obama did a 6 month ban (no outrage) and this is a 3 month ban. But hey! None of our business..…</t>
  </si>
  <si>
    <t>RT @IngrahamAngle: Another revealing headline. Yes, criminals and those who shield them shd be worried. https://t.co/D4t5cY8sZ9</t>
  </si>
  <si>
    <t>RT @ClareMLopez: CAIR Leader Calls for Overthrow of U.S. Government https://t.co/Rmo9DDTKBb This is called sedition - it's against US law</t>
  </si>
  <si>
    <t>RT @DenaldJTrumpJr: Obama banned all Iraqi refugees for six months in 2011. Even those who aided our military. Media said nothing. #MAGA #M…</t>
  </si>
  <si>
    <t>RT @TimJGraham: Media: "Trump is a racist, Hitlerian bully."
Bannon: "The media is an opposition party."
Media: "That kind of talk is highl…</t>
  </si>
  <si>
    <t>RT @Irish_Infidel: Full version. Watch the tactical head turn at the beginning 😂 https://t.co/kgHVQQj96P</t>
  </si>
  <si>
    <t>RT @PissTachio1: Liberal logic:  "Let's #BoycottUber b/c the CEO is working with President Trump to bring jobs back to the US for its citiz…</t>
  </si>
  <si>
    <t>RT @USSMAGA: ‘Strange’: People are noticing what ISN’T happening at the  https://t.co/q5gfUvgDuj</t>
  </si>
  <si>
    <t>RT @Ostrov_A: If there was minute silence for each of the 6,000,000 Jews murdered in the Shoah, we would be silent for 11 years. #Holocaust…</t>
  </si>
  <si>
    <t>RT @JohnEkdahl: Media schedule for Friday, January 27th, 2017:
Hair-on-fire knee-jerk Twitter hissy fits - 8AM - 12PM
Walkbacks and correct…</t>
  </si>
  <si>
    <t>RT @BrittPettibone: Arrest George Soros and extradite him to Russia. 
#MyExecutiveOrder</t>
  </si>
  <si>
    <t>RT @steph93065: I'm old enough to remember when treating the media as an opponent was perfectly acceptable...🙄 https://t.co/sqv6PvBJnL</t>
  </si>
  <si>
    <t>RT @sean_spicier: Man, you guys act like you've never seen a President enforce immigration law before. Oh wait, some of you haven't.</t>
  </si>
  <si>
    <t>RT @JamesOKeefeIII: Things are changing... https://t.co/NsIUsLhhiY</t>
  </si>
  <si>
    <t>RT @mitchellvii: What is amazing is that we find the fact Trump is merely enforcing existing laws so amazing.</t>
  </si>
  <si>
    <t>RT @THEHermanCain: AP sets up secure web site so Trump-hating federal employees can run to the media and not get caught https://t.co/sLyYrW…</t>
  </si>
  <si>
    <t>RT @LindaSuhler: Money or difficulty in construction never stopped the Wall.
Our leaders lacked political WILL.
President Trump has COURAGE…</t>
  </si>
  <si>
    <t>RT @WayneDupreeShow: THIS IS WHY WE ELECTED DJT! Trump Puts Freeze On $221M Obama Approved For Palestine!  https://t.co/IJ0sKolEYg</t>
  </si>
  <si>
    <t>RT @tteegar: 500 refugees brought in in past 24hrs?!😳
Today's executive order on immigration... Send em back!
#BuildTheWall 
#ThankYouTrump…</t>
  </si>
  <si>
    <t>RT @sean_spicier: President Trump spoke to Mexico &amp;amp; Canada's leaders yesterday. He did not apologize for something America might've done to…</t>
  </si>
  <si>
    <t>RT @wikileaks: Why Trump won: Clinton used media contacts to elevate Trump during primary in "Pied Piper" strategy https://t.co/DAmWNq9K0f…</t>
  </si>
  <si>
    <t>RT @JohnFromCranber: The Real #WarOnWomen....Despite What Dems Would Have You Believe #tcot https://t.co/J1lcfEEid6</t>
  </si>
  <si>
    <t>RT @Lrihendry: I was part of the 30 million woman march! Marching into the voting booths across the country &amp;amp; elected #PresidentTrump #Wome…</t>
  </si>
  <si>
    <t>RT @DrLee4America: .@seanspicer KUDOS‼️ 
"There is a point at which we have a right to correct the record"
BRAVO! #WeThePeople FED UP with…</t>
  </si>
  <si>
    <t>RT @KazmierskiR: "President Trump has made it clear that he is pro-life, he wants to stand up for all Americans, including the unborn." -Se…</t>
  </si>
  <si>
    <t>RT @Sailingflyingd: @brithume @slone @nytpolitics how come MSM didn't show this picture which was the crowd at time of inauguration? MSM ar…</t>
  </si>
  <si>
    <t>RT @MyPlace4U: @brithume This photo shows Trump speaking at Inauguration with crowd going down to Washington Monument. @seanspicer https://…</t>
  </si>
  <si>
    <t>RT @sweetatertot2: #FakeNewsMedia caught in their lies. Thank God we have a president who has the guts to call them out &amp;amp; expose them #alte…</t>
  </si>
  <si>
    <t>RT @LeahR77: This Is The NAZI That Organized &amp;amp; Funded The #WomensMarch @AshleyJudd @pattonoswalt 👍#Madonna https://t.co/AsSN0Qludy</t>
  </si>
  <si>
    <t>RT @steph93065: CNN threatens to portray a negative image of Trump in their worldwide market if he doesn't play nice with them.
https://t.c…</t>
  </si>
  <si>
    <t>RT @gatewaypundit: CNN Analyst Says 'Women's March Isn't About Women, It's About Liberalism' (Video) https://t.co/nBwLnp3dcF</t>
  </si>
  <si>
    <t>RT @PrisonPlanet: Trump derangement syndrome can be contagious.
Approach these individuals with extreme caution. 😄 https://t.co/TFViaagn5n</t>
  </si>
  <si>
    <t>@TweetingYarnie 
Obama's WH site was moved to the archives like Bush's. Trump's site took the domain name, but it is new.</t>
  </si>
  <si>
    <t>RT @Dbargen: How did they organize quickly? What are they really marching for? Via @witranslator #MAGA #KAG #TCOT #LNYHBT #DrainTheSwamp #B…</t>
  </si>
  <si>
    <t>RT @FiveRights: Leftist #WomensMarch
And if they hate Trump this much now, wait till he actually does
something they have a reason to oppos…</t>
  </si>
  <si>
    <t>RT @almostjingo: That awkward moment when you realize the organizer of the #WomensMarch is pro Sharia Law, the very opposite of women's rig…</t>
  </si>
  <si>
    <t>RT @LindaSuhler: Do not pray for an easy life.
Pray for strength to endure a difficult one.
Pray for President Donald Trump, to help him h…</t>
  </si>
  <si>
    <t>RT @AppSame: Today OUR Police have a President who loves and respects them 
#GodBlessOurBlue 
@POTUS @realDonaldTrump https://t.co/CTB807Et…</t>
  </si>
  <si>
    <t>RT @WalshFreedom: The people smashing windows, destroying businesses &amp;amp; attacking Cops on K Street aren't protestors, they're criminals.
Th…</t>
  </si>
  <si>
    <t>RT @cvpayne: DC Protest not grass root at all- professional anarchists from tactics and clothing - it would be boring if not so disrespectf…</t>
  </si>
  <si>
    <t>RT @wikileaks: There is a significant build up of UK police forces around the embassy + city block where Assange has asylum.</t>
  </si>
  <si>
    <t>@realDonaldTrump 
Congratulations, Mr. President! May God bless you and guide you in your service to our country.</t>
  </si>
  <si>
    <t>RT @IsraeliPM: Congrats to my friend President Trump. Look fwd to working closely with you to make the alliance between Israel&amp;amp;USA stronger…</t>
  </si>
  <si>
    <t>@JonBowzerBauman 
I will be watching and will hold him accountable for it.</t>
  </si>
  <si>
    <t>@JonBowzerBauman 
I am concerned about that too. One thing I liked about Trump is that Ryan didn't really like him - not conservative enough</t>
  </si>
  <si>
    <t>@JonBowzerBauman @Hafbromaishor 
I agree I hope he keeps his word!</t>
  </si>
  <si>
    <t>@JonBowzerBauman @Hafbromaishor 
I really hope he will, but I don't trust Ryan. I wish there was a different Speaker.</t>
  </si>
  <si>
    <t>@JonBowzerBauman @Hafbromaishor 
Trump said he would not touch SS &amp;amp; Medicaid, but if he goes back on that &amp;amp; other pledges then yes I would.</t>
  </si>
  <si>
    <t>@JonBowzerBauman @Hafbromaishor 
I personally believe in the social safety nets (SS, medicaid,etc.) but the SOCTUS decides more issues...</t>
  </si>
  <si>
    <t>@JonBowzerBauman @Hafbromaishor 
And conservative Justices would not?</t>
  </si>
  <si>
    <t>@JonBowzerBauman @Hafbromaishor 
Abortion on demand and a liberal SOCTUS nominee are 2 major policies/reasons Hillary lost Christians.</t>
  </si>
  <si>
    <t>@JonBowzerBauman @Hafbromaishor 
So, if we did not vote for Hillary that makes us a hypocrite even though she touted policies we oppose?</t>
  </si>
  <si>
    <t>It's about time certain members of Congress grew up and acted like adults. https://t.co/zwXSiluT0Z</t>
  </si>
  <si>
    <t>RT @IngrahamAngle: Absurd. Obama refers to barriers to vote? How is ID a "barrier"? Is it a barrier to flying? Using a health club?</t>
  </si>
  <si>
    <t>RT @dcexaminer: BREAKING: Senate panel approves James Mattis to be Donald Trump's defense secretary https://t.co/2GhA8JLw9N https://t.co/Ho…</t>
  </si>
  <si>
    <t>RT @LindaSuhler: Want to be respected #JohnLewis?
Then show some...
#FakeNews
#MAGA #PresidentTrump https://t.co/0KTFJagtKR</t>
  </si>
  <si>
    <t>RT @PrisonPlanet: Capitalism has been the biggest liberator of people from poverty in human history. 
Communism = labor gulags &amp;amp; abject mi…</t>
  </si>
  <si>
    <t>RT @JohnFromCranber: WARNING: If Replacement to OCare Doesn't Cover at Least as Many People as OCare, Dems Will Bludgeon Reps W/That Issue…</t>
  </si>
  <si>
    <t>@C57Wife 
He is one of the reasons we need term limits.</t>
  </si>
  <si>
    <t>RT @asamjulian: Notice HuffPo's "senior polling editor" also predicted Democrats would control the Senate as well. 100% #FakeNews. https://…</t>
  </si>
  <si>
    <t>RT @Vedmak00: Anti-Trump protesters did a "cough-in" at one of his restaurants. They love to behave like children. https://t.co/Bh73HynVm3</t>
  </si>
  <si>
    <t>RT @JoeFreedomLove: 'Queen of Clean' comedian Chonda Pierce stands up against backlash over her Trump inauguration gig - Fox News https://t…</t>
  </si>
  <si>
    <t>Trump to take handful of executive actions on Day One: transition https://t.co/aBltOjKgWr via @YahooNews</t>
  </si>
  <si>
    <t>RT @JoeFreedomLove: Professional Activists Are Behind ‘Chaos’ Plot Targeting Trump Inauguration   https://t.co/Y2vDLLKBum</t>
  </si>
  <si>
    <t>RT @JamesOKeefeIII: Wow: several of the operatives in the video. purchased tickets to the Deploraball. More evidence they were not just jok…</t>
  </si>
  <si>
    <t>RT @GovMikeHuckabee: 53 Dem Congress members refuse to attend Inaugural; they could also skip showing up in Congress-that wouldn't make any…</t>
  </si>
  <si>
    <t>RT @wikileaks: Judge orders Justice Dept. to preserve official's private-account emails after WikiLeaks revelations https://t.co/gyROxGysiV</t>
  </si>
  <si>
    <t>RT @AnnCoulter: Left offering ppl $2500 to protest Trump's inaugural. So liberals are resorting to capitalism to protest capitalism.</t>
  </si>
  <si>
    <t>RT @JoeFreedomLove: Sad! Group scales back plan to block traffic into DC after Project Veritas releases undercover videos https://t.co/x2bD…</t>
  </si>
  <si>
    <t>RT @PatriotByGod: #USAToday and #CNN just put out more #fakepolls &amp;amp; #fakenews - Guess the sample size of Republicans asked... ...? 24% -Lyi…</t>
  </si>
  <si>
    <t>RT @IsraelNewsNow: https://t.co/M33oNB3dVZ</t>
  </si>
  <si>
    <t>@mtracey 
Wikileaks should be commended for their leaks - truth shouldn't have a "side".</t>
  </si>
  <si>
    <t>RT @Varneyco: A new report reveals that Ukraine was working with the Democrats to sabotage the Trump campaign. https://t.co/96QVIJ3NoV</t>
  </si>
  <si>
    <t>RT @mitchellvii: BREAKING: O'Keefe Drops 2nd Undercover Video Exposing Leftist Groups Plan To Stop D.C. Metro Using Chains! https://t.co/Po…</t>
  </si>
  <si>
    <t>RT @MoskowitzEva: .@BetsyDeVos has the talent, commitment, and leadership capacity to revitalize our public schools and deliver the promise…</t>
  </si>
  <si>
    <t>RT @THEHermanCain: North Dakota may eliminate penalties for running down protesters who block the freeway https://t.co/NAcfPtp6OZ https://t…</t>
  </si>
  <si>
    <t>RT @wikileaks: Hillary Clinton met to discuss "so clever" plan to "ditch Taiwan" in swap for US debt
https://t.co/K5LahdgAeA https://t.co/6…</t>
  </si>
  <si>
    <t>RT @thisjed: 40 Democrats boycotting the inauguration - but wait, we're all about inclusion / unity - unless we lose, then we use kindergar…</t>
  </si>
  <si>
    <t>RT @C57Wife: It doesn't matter if 40 Democrats boycott! That changes nothing on Friday AND only makes it worse for those Democrats in the n…</t>
  </si>
  <si>
    <t>RT @DabneyPorte: The internal plans &amp;amp; memos of #Disruptj20 have been leaked 
Come on over to @midnightride20's timeline. Be prepared for #…</t>
  </si>
  <si>
    <t>RT @CassandraRules: Anti-Trump Goons Plotting to Attack Inaugural DeploraBall With Butyric Acid https://t.co/TPJBjSDOrO big thanks to @Jame…</t>
  </si>
  <si>
    <t>RT @gatewaypundit: FIGURES. John Lewis Lied About This Being the First Inauguration He Will Miss (VIDEO) https://t.co/d80kNJO8WE</t>
  </si>
  <si>
    <t>RT @DrMartyFox: Anti #Israel Nations At The FINAL SOLUTION SUMMIT
AKA #ParisPeaceSummit 
Back Off Fearing #Trump
#StandWithIsrael
https:…</t>
  </si>
  <si>
    <t>RT @asamjulian: Imagine my shock, John Lewis lied about this being his first inauguration he skipped since being in Congress. #MLKDAY https…</t>
  </si>
  <si>
    <t>RT @BrittPettibone: If nothing else, all of these Inauguration-related threats legitimize our claims that the Cultural Marxist Left has spi…</t>
  </si>
  <si>
    <t>RT @BreitbartNews: Thought crime!!!!!! https://t.co/KEZ4GDEvaf</t>
  </si>
  <si>
    <t>RT @WalshFreedom: .@NolteNC Is spot on. The Left will go after &amp;amp; blacklist anyone from the Left who works with Trump.
Cowards. https://t.c…</t>
  </si>
  <si>
    <t>RT @wikileaks: In honor of #MLKDAY, here's the 17,000 page FBI file and the assassination trial transcript: https://t.co/5z2ZeY5IEI
https:/…</t>
  </si>
  <si>
    <t>@JoeFreedomLover
"The first independent President..." is why he won independents and even some Dems because he isn't a cookie cutter R.</t>
  </si>
  <si>
    <t>RT @benshapiro: Sycophantic Obama Press Announces They’ll Start Journalisming Again! https://t.co/eAi80qoe12 https://t.co/HbuDg0FDou</t>
  </si>
  <si>
    <t>RT @Rockprincess818: The embarrassment of  Democrats continues...Clinton Global Initiative donors are asking that their names be scrubbed f…</t>
  </si>
  <si>
    <t>RT @mcgilh: https://t.co/GD0iu7PxHI</t>
  </si>
  <si>
    <t>RT @RealJamesWoods: The one tactic that undermines all the  #SaulAlinsky playbook shenanigans is to IGNORE the #liberal #agitators utterly…</t>
  </si>
  <si>
    <t>RT @InEgo_: @mtracey @DowdEdward Deep State seriously overplaying its hand.</t>
  </si>
  <si>
    <t>RT @wikileaks: Watergate reporter Bob Woodward calls ex-MI6 Trump dossier a "Garbage document."
https://t.co/5WvQEBK2Jc</t>
  </si>
  <si>
    <t>RT @Stevenwhirsch99: Attacks on Trump from the left will intensify as we near the Inauguration. Don't let it bother you. It only confirms w…</t>
  </si>
  <si>
    <t>RT @TheLastRefuge2: *Updated* CIA Director John Brennan Attempts To Justify His Agency Leaks To Media - "Duping Del… https://t.co/7wfazTbVU…</t>
  </si>
  <si>
    <t>RT @wikileaks: Is CIA head John Brennan's emotional behavior the result of a grudge over WikiLeaks publishing his emails?
https://t.co/GC…</t>
  </si>
  <si>
    <t>RT @wikileaks: Police say CIA head Brennan couldn't even keep his emails safe from a 16 year old child https://t.co/WhvyoUOzcf @realDonaldT…</t>
  </si>
  <si>
    <t>RT @brithume: BHO got Nobel prize at start of presidency before accomplishing anything. Biden got medal of freedom at end after accomplishi…</t>
  </si>
  <si>
    <t>RT @JamesOKeefeIII: We'll expose tomorrow what you guys actually intend to do, and that may well be commit multiple felonies. https://t.co/…</t>
  </si>
  <si>
    <t>RT @WEdwarda: https://t.co/sS9mwWhxX6</t>
  </si>
  <si>
    <t>RT @LindaSuhler: .@realtrumphead  If you support the destruction of property &amp;amp; limiting the rights of people to speak freely, YOU are the p…</t>
  </si>
  <si>
    <t>RT @COLRICHARDKEMP: The conference, like the UNSCR, is futile but also dangerous, appeasing, rewarding &amp;amp; emboldening terrorists in both Isr…</t>
  </si>
  <si>
    <t>RT @Ostrov_A: Note to #ParisPeaceConference, not only has Abbas not condemned #Jerusalem terror attack, his party praised it! https://t.co/…</t>
  </si>
  <si>
    <t>RT @AssangeFreedom: #Women4Wikileaks Because they tell us the truth about corruption,  causing poverty, pollution &amp;amp; war. We have to start w…</t>
  </si>
  <si>
    <t>RT @AnnCoulter: Now I'm totally confused. Was it Comey or Putin who caused Hillary to lose?</t>
  </si>
  <si>
    <t>@JonBowzerBauman 
I don't believe Trump is a fascist so no "pass" is needed whether or not you are a Christian.</t>
  </si>
  <si>
    <t>RT @wikileaks: Obama to judiciary: Torture report for me and not for thee https://t.co/0cZM8pQxMM</t>
  </si>
  <si>
    <t>@JonBowzerBauman 
I definitely don't agree with many of their policies, but that is not judging their heart condition before God.</t>
  </si>
  <si>
    <t>@JonBowzerBauman 
Yes, and He also said, "Judge not, that ye be not judged." (Matthew 7:1) The only heart I have a right to judge is my own.</t>
  </si>
  <si>
    <t>RT @piersmorgan: John Lewis trashes Trump as illegitimate president, so Trump has a pop back... but only Trump is the villain? 
Am I missin…</t>
  </si>
  <si>
    <t>@laurenveach  
I thank Him for it too - His grace and mercy are the only reason I have the ability to be forgiven.</t>
  </si>
  <si>
    <t>RT @thenation: "Why are so many of us now perfectly willing to believe a compromised spook who is also a criminal?" https://t.co/4Czc4XPFk4</t>
  </si>
  <si>
    <t>RT @PrisonPlanet: #BlackLivesMatter https://t.co/CODxvlExbW</t>
  </si>
  <si>
    <t>@JonBowzerBauman Jesus did say, "Let him who is without sin cast the first stone." Are you perfect? I am not and neither is the PEOTUS.</t>
  </si>
  <si>
    <t>@JonBowzerBauman  I can't point you to something Jesus did not say. However, "All have sinned and fall short of the glory of God."</t>
  </si>
  <si>
    <t>RT @KurtSchlichter: So, because ~50 years ago some Democrats beat up John Lewis means we that have to ignore how he lies about Republicans…</t>
  </si>
  <si>
    <t>@TwitterMoments @realDonaldTrump @repjohnlewis  This is #FakeNews - John Lewis insulted Trump first and he was responding. Get it right!</t>
  </si>
  <si>
    <t>@Lindabowman45L @GaetaSusan 
But not for long! 😄</t>
  </si>
  <si>
    <t>RT @goptraci: @thehill So take your toys &amp;amp; get out of the sandbox. Let the adults handle this. https://t.co/VxRIISGhpO</t>
  </si>
  <si>
    <t>RT @Ostrov_A: An (un)Holy alliance. https://t.co/QlE8vjXMNU</t>
  </si>
  <si>
    <t>RT @seanhannity: Now this is funny https://t.co/jZ9Y6xPTcp</t>
  </si>
  <si>
    <t>RT @mtracey: Reasonable take. https://t.co/VXfOc1n7oq</t>
  </si>
  <si>
    <t>RT @StefanMolyneux: Mainstream Mediasaurus 
Artwork by @GrrrGraphics https://t.co/K1PWUJgyIi</t>
  </si>
  <si>
    <t>RT @mitchellvii: For sake of argument, lets say there was a conspiracy by the Russians.  Their evil plan was to REPORT THE TRUTH!!!</t>
  </si>
  <si>
    <t>RT @wikileaks: Glenn Greenwald on Washington Post claim that Trump National Security Advisor @GenFlynn was talking to Russian diplomats on…</t>
  </si>
  <si>
    <t>RT @wikileaks: Democrats hoping intelligence agencies will 'undermine and subvert' Trump presidency #CIA https://t.co/JhMtSwSff6</t>
  </si>
  <si>
    <t>RT @mom13k: MT @THETXEMBASSY: America, @HillaryClinton, The Most Nationally Known Unindicted Criminal #LockHerUp https://t.co/8hGQ41ShEq #P…</t>
  </si>
  <si>
    <t>RT @IngrahamAngle: The Left will be at perpetual, vicious war w/ @realDonaldTrump, seeking to control narrative thru compliant press.</t>
  </si>
  <si>
    <t>RT @wikileaks: Operation Mass Appeal. How MI6 spies planted false reports in the press https://t.co/KtDtJQHHKh https://t.co/jKN6xd40Bn</t>
  </si>
  <si>
    <t>RT @wikileaks: Intel war against Trump continues with story funneled to Washington Post possibly from US monitoring of Russian diplomats' p…</t>
  </si>
  <si>
    <t>RT @wikileaks: US intelligence head James Clapper lied to Congress again last Thursday https://t.co/UQlQSsMXuy</t>
  </si>
  <si>
    <t>RT @wikileaks: US "liberal" TV figure Rosie O'Donnell
pushes for martial law to stop Trump https://t.co/WxmSb2k9Fh</t>
  </si>
  <si>
    <t>RT @wikileaks: Is UK intervening in the US election?
Former UK spy Steele wrote Trump "dossier".
BBC launched "2nd dossier" story via MoD…</t>
  </si>
  <si>
    <t>RT @wikileaks: CIA covertly undermines Jewish support for @RealDonaldTrump in Israel's largest newspaper with new Russian claims https://t.…</t>
  </si>
  <si>
    <t>@realDonaldTrump 
All in favor of repealing Obamacare, but please release some details on what replace will be - people are afraid.</t>
  </si>
  <si>
    <t>RT @_Makada_: War criminals McCain, Graham &amp;amp; Rubio constantly blame Putin for the mess THEY themselves created in Syria by arming ISIS terr…</t>
  </si>
  <si>
    <t>RT @BigStick2013: George Soros Lost $1 Billion After Trump Won  https://t.co/2WbYA9Z4Mp
Puppet Master loses big - Plan on 8 more years of…</t>
  </si>
  <si>
    <t>RT @carolinagirl63: The Deep State goes to war with president-elect, using unverified claims, as Democrats cheer https://t.co/coV147HhSV by…</t>
  </si>
  <si>
    <t>RT @HispanicsTrump: I wonder if @CoryBooker remembers saying this? Today Booker proved he's just another leftist, political hack. #Sessions…</t>
  </si>
  <si>
    <t>RT @iptuttle: A huge relief for everyone in . . .
Boston
Chattanooga
Columbus
Fort Hood
Garland
Little Rock
NYC
Orlando
San Bernardino
Walt…</t>
  </si>
  <si>
    <t>RT @wikileaks: Publication of Trump dossier allowed others to do what Buzzfeed should have done and expose the poor sourcing of last Friday…</t>
  </si>
  <si>
    <t>RT @TheLastRefuge2: Well @jaketapper , @jimsciutto , @evanperez , @carlbernstein this NBC report entirely deconstructs your "exclusive CNN"…</t>
  </si>
  <si>
    <t>RT @mtracey: Everyone complains about partisan polarization in Congress but both Dem &amp;amp; GOP Senators are hellbent on forcing nominees to ant…</t>
  </si>
  <si>
    <t>RT @WayneDupreeShow: #RickWilson #EvanMcMullen #JohnMcCain 
These three really dislike Trump with a passion and now they're in this scanda…</t>
  </si>
  <si>
    <t>RT @bdc63: @RT_com It's going to be a LONG, LONG 4+ years for @CNN . And I am going to be loving EVERY minute of it.</t>
  </si>
  <si>
    <t>RT @mtracey: This is the single most crucial detail for interpreting the salacious Trump/Russia "report," but most news consumers will neve…</t>
  </si>
  <si>
    <t>RT @mtracey: Rumors from this "report" have been going around for months. It couldn't be more sketchy. But many will believe it because the…</t>
  </si>
  <si>
    <t>RT @realDonaldTrump: 'BuzzFeed Runs Unverifiable Trump-Russia Claims' #FakeNews 
https://t.co/d6daCFZHNh</t>
  </si>
  <si>
    <t>RT @wikileaks: Evidence mounts as to the lack of credible sourcing for the CIA's report on Russia &amp;amp; Trump https://t.co/QcbnA8Rdjr</t>
  </si>
  <si>
    <t>RT @steph93065: The Obama admin approved the transfer 130 tons of uranium from Russia to Iran. Connect THOSE dots!!
#HillaryUranium</t>
  </si>
  <si>
    <t>RT @IsraeliPM: SHARE THIS: These attacks are part of the same battle against the same global scourge of terrorism. We will fight it and def…</t>
  </si>
  <si>
    <t>RT @BrittPettibone: When your propaganda backfires and you're trying to abort. https://t.co/dYRzxKOcu1</t>
  </si>
  <si>
    <t>RT @justanavywife: #Patriots, do you feel it?
11 more days until #Inauguration2017 &amp;amp; #Trump begins to undo the #ObamaLegacy, just as it was…</t>
  </si>
  <si>
    <t>RT @TheRebelTV: Hillary and Obama are hoping one of these excuses will eventually stick! #tcot #MAGA #Trump #blameHillary @realDonaldTrump…</t>
  </si>
  <si>
    <t>RT @Rockprincess818: Make America Sick Again; that's what Democrats are doing when they open the flood gates to 3rd worlders carrying all t…</t>
  </si>
  <si>
    <t>RT @EladRatson: 28 users reported this Palestinian hate post. #Facebook's reply: "it doesn't go against Community Standards". 𝗙𝗔𝗖𝗘𝗕𝗢𝗢𝗞 𝗠𝗨𝗦𝗧…</t>
  </si>
  <si>
    <t>RT @wikileaks: Our Podesta &amp;amp; DNC leaks now authenticated by WikiLeaks, CIA, FBI, NSA and ODNI (aka Hillary's "17 intel agencies"). Now that…</t>
  </si>
  <si>
    <t>RT @wikileaks: Nothing in today's declassified ODNI report alters our conclusion that WikiLeaks' US election related sources are not state…</t>
  </si>
  <si>
    <t>RT @realDonaldTrump: I am asking the chairs of the House and Senate committees to investigate top secret intelligence shared with NBC prior…</t>
  </si>
  <si>
    <t>RT @WLTaskForce: #PseudoLeak (n): Where the White House authorizes officials to funnel anonymous claims to pet 'journalists' for political…</t>
  </si>
  <si>
    <t>RT @wikileaks: Assange: If Obama is confident in his report he should submit it to WikiLeaks so the public can read it, not send "anon offi…</t>
  </si>
  <si>
    <t>RT @wikileaks: Result of CIA officials secretly feeding press to harm Trump:
NBC poll: CIA net favorability Trump voters: +2
Clinton voter…</t>
  </si>
  <si>
    <t>RT @wikileaks: The Obama admin/CIA is illegally funneling TOP SECRET//COMINT information to NBC for political reasons before PEOTUS even ge…</t>
  </si>
  <si>
    <t>RT @wikileaks: New Assange interview: Governments are incompetent. The more secret, the more incompetent. https://t.co/jAp2yHOq92</t>
  </si>
  <si>
    <t>RT @wikileaks: CIA's John Brennan (TAC) found to be incompetent and misleading by CIA--so not long after Obama made him head of CIA https:/…</t>
  </si>
  <si>
    <t>RT @SpeakerRyan: BREAKING NEWS → The House just voted to condemn the UN's anti-Israel resolution. America stands with #Israel. 🇮🇱🇺🇸</t>
  </si>
  <si>
    <t>RT @tedcruz: We should cut funding to the UN unless &amp;amp; until they repeal this disgraceful anti-Israel resolution https://t.co/TH0TECVY1a #St…</t>
  </si>
  <si>
    <t>RT @redsteeze: If Planned Parenthood has money to throw celebrity galas and award shows, they have money to survive without public funding.</t>
  </si>
  <si>
    <t>RT @freedomanddogs: @nia4_trump @bakedalaska @donlemon @CNN "Bad home training" is chewing with your mouth open. Kidnapping and torturing i…</t>
  </si>
  <si>
    <t>RT @wikileaks: Video: @ggreenwald on Democracy Now today about WikiLeaks publications and Russian allegations https://t.co/dfccw099Wv</t>
  </si>
  <si>
    <t>RT @wikileaks: CNN apologizes to Julian Assange after former CIA Dep. Dir calls him ‘a pedophile’ https://t.co/fEBkbDIhKU
More: https://t.…</t>
  </si>
  <si>
    <t>RT @wikileaks: Clapper just lied to Congress again, claiming that WikiLeaks put US lives at risk: https://t.co/qaSriACD75
Earlier: 
https:/…</t>
  </si>
  <si>
    <t>RT @wikileaks: Just now: DNI James Clapper lies to Congress for 3rd time claiming Assange is 'indicted for a sex-crime'. He is not: https:/…</t>
  </si>
  <si>
    <t>RT @WLTaskForce: Tracey: Assange Is Vastly More Reliable Than The Elite U.S. Media https://t.co/OaXUSWSq99</t>
  </si>
  <si>
    <t>@wikileaks @realDonaldTrump @BillMoyersHQ 
Agree - he would bring a lot of insight to the Trump team.</t>
  </si>
  <si>
    <t>RT @wikileaks: Who is the one @RealDonaldTrump must hire? Mike Lofgren https://t.co/sCWt5GZwCq</t>
  </si>
  <si>
    <t>RT @PrisonPlanet: Faux outrage over Trump giving Assange more cred than US intel community.
Wikileaks has a history of accuracy, US intel…</t>
  </si>
  <si>
    <t>RT @Darren32895836: Sure wish Broken Obama was as concerned with USA's border as he is with Lithuania's &amp;amp; everyone else's !! #WednesdayWisd…</t>
  </si>
  <si>
    <t>RT @wikileaks: Video: US Congressional Intelligence Committee leader Adam Schiff falls appart over WikiLeaks questions https://t.co/dmyqTVs…</t>
  </si>
  <si>
    <t>RT @wikileaks: Intelligence graph for Clinton-linked plot to frame Assange as a Russian spy + paedophile. Discussion: https://t.co/tJ21B87o…</t>
  </si>
  <si>
    <t>RT @theintercept: WashPost is richly rewarded for false news about Russia threat while public is deceived https://t.co/1bQ7uCvsXB by @ggree…</t>
  </si>
  <si>
    <t>RT @THEHermanCain: The members of the UN's 2017 Human Rights Council is a murderers' row of the world's worst nations https://t.co/GIVNbk65…</t>
  </si>
  <si>
    <t>RT @wikileaks: How the UN &amp;amp; a fake dating site were used in a Clinton-linked plot to frame Assange as a Russian agent + pedophile https://t…</t>
  </si>
  <si>
    <t>RT @elderofziyon: Let's take a closer look at these "ever expanding settlements" that are an "obstacle to peace" https://t.co/qp6iYVmtVf ht…</t>
  </si>
  <si>
    <t>RT @philipaklein: Israeli political cartoon portrays Kerry extinguishing a Menorah as fires burn in the Middle East. https://t.co/lwZwNiSlUS</t>
  </si>
  <si>
    <t>RT @PVeritas_Action: Which is NOT #FakeNews? 
@washingtonpost: Russia hacking pwr grid
@katiecouric: gun documentary
@JamesOKeefeIII: viol…</t>
  </si>
  <si>
    <t>RT @wikileaks: 371 new Hillary Clinton emails released as a result of litigation https://t.co/m1xTH2LPJh</t>
  </si>
  <si>
    <t>RT @wikileaks: We have issued instructions to sue CNN for defamation:
https://t.co/YLfyQ9ROCy
Unless within 48h they air a one hour expos…</t>
  </si>
  <si>
    <t>RT @seanhannity: Question of the Day: Who do you believe? Julian Assange or President Obama and Hillary Clinton #Hannity</t>
  </si>
  <si>
    <t>RT @SarahPalinUSA: To Julian Assange: I apologize. 
Please watch Sean Hannity's interview with Julian Assange (Wikileaks).... https://t.co…</t>
  </si>
  <si>
    <t>RT @WLTaskForce: US 'media' claiming today that Assange wants to 'destroy government' based on his 2006 anti-corruption essay. Read: https:…</t>
  </si>
  <si>
    <t>RT @wikileaks: An emotional CIA Dir John Brennan: Assange is "not exactly a bastion of truth and integrity".
Brennan emails: https://t.co/…</t>
  </si>
  <si>
    <t>RT @bibi4Trump: @wikileaks Breaking news!!!!
CIA found the evidence  of Russian hacking!!!! https://t.co/d4ZwVcgk0b</t>
  </si>
  <si>
    <t>RT @wikileaks: We are issuing a US$20,000 reward for information leading to the arrest or exposure of any Obama admin agent destroying sign…</t>
  </si>
  <si>
    <t>RT @mtracey: "THE RUSSIANS ARE COMING! THE RUSSIANS ARE — OOPS! NO RUSSIANS!" https://t.co/UxHvIXoFpA</t>
  </si>
  <si>
    <t>RT @steph93065: The PEOPLE love Trump's twitter. I DO understand why the media &amp;amp; politicians don't like it; we are often on the opposite si…</t>
  </si>
  <si>
    <t>RT @wikileaks: 'WikiLeaks' disappears from US govt statements. Compare 7 Oct  2016, vs 16 December, 2016 &amp;amp; December 29, 2016 JAR https://t.…</t>
  </si>
  <si>
    <t>RT @3lectric5heep: BREAKING: Deal Between Kerry, Obama, And McCain To Arm And Fund ISIS Exposed (Photos) https://t.co/TMX2u1dABt @3lectric5…</t>
  </si>
  <si>
    <t>RT @DavidKeyesPMO: Abbas won't:
Meet with PM Netanyahu
Recognize a Jewish state
Condemn hate speech
Kerry:
Lectures Israel about peace htt…</t>
  </si>
  <si>
    <t>RT @AdamMilstein: #Obama spending last days to antagonize #Israel, its closest ME ally, while #Syria, #Iraq and #Yemen all on fire https://…</t>
  </si>
  <si>
    <t>RT @JGGammon: @Cernovich @Mediaite Breaking big media stranglehold on information was perhaps the most important element of @realDonaldTrum…</t>
  </si>
  <si>
    <t>RT @WLTaskForce: Technical analysis: Malware "Russian hacking" sample provided by US government is common malware. https://t.co/wG4AbS7kNG…</t>
  </si>
  <si>
    <t>RT @SenTomCotton: Higher wages, better benefits and more security for U.S. workers are features, not bugs, of sound immigration reform http…</t>
  </si>
  <si>
    <t>RT @WarpedMirrorPMB: If Israel continues "gobbling up" West Bank land like the past 15 years, it would take another 2000 years to take over…</t>
  </si>
  <si>
    <t>RT @_Makada_: There is absolutely no proof V. Putin influenced the election, however, the Democrats did by rigging primaries against crazy…</t>
  </si>
  <si>
    <t>RT @MikePenceVP: Good and True Cartoon. https://t.co/jQXQozQeom</t>
  </si>
  <si>
    <t>RT @GabRosenberg: The UN's anti-#Israel bias: #Syria, that has murdered 500,000 of its own people has been condemned almost 30 times less t…</t>
  </si>
  <si>
    <t>RT @mtracey: If Putin really is responsible for "hacking" Podesta/the DNC, maybe we should thank him for the service he provided https://t.…</t>
  </si>
  <si>
    <t>RT @AdamMilstein: Satellite pictures suggest #Iran and #NorthKorea are cooperating on #nuclear research https://t.co/oCykm2nM0d https://t.c…</t>
  </si>
  <si>
    <t>RT @AniesiODaniels: @Nigel_Farage If Russia actually hacked anything, I think they hacked Obama's brains, found nothing, and moved on. @rea…</t>
  </si>
  <si>
    <t>RT @realDonaldTrump: Russians are playing @CNN and @NBCNews for such fools - funny to watch, they don't have a clue! @FoxNews totally gets…</t>
  </si>
  <si>
    <t>RT @steph93065: Pundits say "Obama put Trump in a pickle b/c if Trump rescinds acts against Russia, it will look like..."
They still don't…</t>
  </si>
  <si>
    <t>RT @elderofziyon: Nothing to see there, @JohnKerry https://t.co/d3vCtZDOUF</t>
  </si>
  <si>
    <t>RT @elderofziyon: EoZ #Israel News: Theresa May's rebuke of Kerry may mark the beginning of an era https://t.co/xEV7v7ARNk</t>
  </si>
  <si>
    <t>RT @wikileaks: US DoS at odds with White House line: calls the two 'banned' Russian 'spy' properties 'recreational compounds' https://t.co/…</t>
  </si>
  <si>
    <t>RT @elderofziyon: Fatah spokesman proudly holds cartoon showing Hamas and Fatah shaking hands to  become a gun to kill Israel https://t.co/…</t>
  </si>
  <si>
    <t>RT @pd_8888: @Stealthy_Marine Obama can't just ban embassy personnel from their own embassy. He can only expect they leave in reasonable ti…</t>
  </si>
  <si>
    <t>RT @wikileaks: Russia's UK embassy trolls Obama's expulsion of 35 Russian diplomats https://t.co/dRpQD54R5H</t>
  </si>
  <si>
    <t>RT @schestowitz: .@wikileaks Good timing for one to highlight the #us cracking Russian systems, as the US exhibits great #hypocrisy https:/…</t>
  </si>
  <si>
    <t>Looks like Obama wants to start WW3 - hope Putin is smart enough to wait until after Jan. 20th... https://t.co/PKTz0XtTMn</t>
  </si>
  <si>
    <t>RT @_Makada_: Globalist George Soros, who brags about helping Nazis round up Jews, calls Trump a "would be dictator" #DeportSoros! https://…</t>
  </si>
  <si>
    <t>RT @netanyahu: How Mahmoud Abbas' political faction shows its appreciation for those that supported the anti-Israel UNSC res. More: https:/…</t>
  </si>
  <si>
    <t>RT @MargaretMcgui16: @AlexanderEmmons @wikileaks https://t.co/yRf0QNS7PX</t>
  </si>
  <si>
    <t>RT @AlexanderEmmons: A false report on an Assange interview went viral because liberal journalists wanted to believe he praised Russia.  ht…</t>
  </si>
  <si>
    <t>RT @JGalt09: #JohnKerryAMovie Divide and Conquer 
Kerry: "Israel can either be Jewish or democratic, but it cannot be both.” https://t.co/k…</t>
  </si>
  <si>
    <t>RT @pink_lady56: #JohnKerryAMovie
Dumb and Dumber https://t.co/4pcWE2LUs5</t>
  </si>
  <si>
    <t>RT @mitchellvii: Sen. Tom Cotton Urges Trump to Push Wage-Raising Immigration Reform Through Congress - Breitbart https://t.co/Iq1Ij9wlgg</t>
  </si>
  <si>
    <t>RT @mitchellvii: REVENGE OF THE LEFT! Politico &amp;amp; HuffPost BLAST Obama's Failed Leadership! https://t.co/KFOf6UZVxN</t>
  </si>
  <si>
    <t>RT @KhaledAbuToameh: Palestinian FM Riad Malki: Kerry did not bring anything new. No to recognition of Israel as Jewish state. https://t.co…</t>
  </si>
  <si>
    <t>RT @IsraeliPM: Prime Minister Benjamin Netanyahu's statement this evening in Response to US Secretary of State John Kerry's Speech
https://…</t>
  </si>
  <si>
    <t>How can #Israel negotiate with terrorists who do not think you have a right to exist? https://t.co/pcmPsUhoBp</t>
  </si>
  <si>
    <t>RT @LVNancy: Lame Duck Presidents don't usually create havoc b4 departure #israel 
#ObamasLastDay can't come soon enough
#TRUMP
https://t…</t>
  </si>
  <si>
    <t>RT @AdamMilstein: Report: Kerry and Erekat orchestrated @UN anti-settlement resolution https://t.co/eT51ZTiRN6 https://t.co/kwhkZZ1fX0</t>
  </si>
  <si>
    <t>RT @EVKontorovich: .#Kerry dead wrong on UN Sec. Council Res. 242. It clearly allows Israel to keep territories, no swaps required. https:/…</t>
  </si>
  <si>
    <t>RT @joelpollak: Interesting how @JohnKerry recited a long list of things Obama has done for Israel and left out the wonderful Iran nuclear…</t>
  </si>
  <si>
    <t>RT @StandWithUs: We wish the Palestinians didn't want a 1 state solution...but their whole "from the river to the sea" thing indicates othe…</t>
  </si>
  <si>
    <t>RT @_Drew_McCoy_: Kerry's formulation is basically:  Palestinians support &amp;amp; celebrate terrorism. Israelis build houses near Jerusalem. Both…</t>
  </si>
  <si>
    <t>RT @elderofziyon: Why would Hamas applaud a UN resolution that Kerry says is against terrorism?</t>
  </si>
  <si>
    <t>RT @mitchellvii: Obama is doing the political equivalent of Saddam setting the oil fields on fire as he retreated.</t>
  </si>
  <si>
    <t>RT @DaysOfTrump: 23 Days to #Trump : Counting down to Inauguration Day and @DaysOfTrump in the White House! #MakeAmericaGreatAgain https://…</t>
  </si>
  <si>
    <t>RT @realDonaldTrump: not anymore. The beginning of the end was the horrible Iran deal, and now this (U.N.)! Stay strong Israel, January 20t…</t>
  </si>
  <si>
    <t>RT @realDonaldTrump: We cannot continue to let Israel be treated with such total disdain and disrespect. They used to have a great friend i…</t>
  </si>
  <si>
    <t>RT @AdamMilsteinIAC: In 1982, Sen. Joe Biden confronted #Israeli Prime Minister Menachem Begin threatening to cut off aid to #Israel. Begin…</t>
  </si>
  <si>
    <t>RT @yaakovkatz: Minister Ze'ev Elkin member of security cabinet tells @Jerusalem_Post Biden told Ukraine to vote against #Israel.  https://…</t>
  </si>
  <si>
    <t>RT @LindaSuhler: Amen...
Huckabee: We Ought to Jackhammer the UN Into the East River
#DefundTheUN #AmericaFirst #MAGA
https://t.co/zxZLK4uk…</t>
  </si>
  <si>
    <t>RT @LindaSuhler: Get used to it...and, by the way -- nobody CARES what you think!
#MSMFail 
#MAGA #PresidentTrump https://t.co/ivzGoZx0Hi</t>
  </si>
  <si>
    <t>@MorganMerridrew 
Way too many - January 20th just can't come soon enough!</t>
  </si>
  <si>
    <t>RT @COLRICHARDKEMP: We knew Obama’s intent to lash out at Israel in this precise way &amp;amp; at this precise time for 1 year. Op-ed, today. https…</t>
  </si>
  <si>
    <t>RT @JudicialWatch: Koskinen has aided and abetted the Obama administration in covering up a scandal of monstrous proportion.
https://t.co/q…</t>
  </si>
  <si>
    <t>RT @Lrihendry: If you think kids are dumb for believing in Santa Claus, just remember people still believe in Obama. #MAGA</t>
  </si>
  <si>
    <t>RT @horowitz39: Why Obama and Biden and their UN Resolution are so disgusting: https://t.co/utZ07UJH3b</t>
  </si>
  <si>
    <t>RT @DrMartyFox: Mission Accomplished #Obama 
#Palestinian #Terrorists Step Up Attacks After #UN Vote
#DefundTheUN #StandWithIsrael
https:…</t>
  </si>
  <si>
    <t>RT @riki7s: @misterdish69 @MiceeMouse https://t.co/V8ySsg5wMP</t>
  </si>
  <si>
    <t>RT @CassandraRules: Democratic Party Leader (and CAIR Exec) Wishes More People Died on Russian Plane https://t.co/e40aHnvrMP</t>
  </si>
  <si>
    <t>RT @realDonaldTrump: .@NBCNews purposely left out this part of my nuclear qoute: "until such time as the world comes to its senses regardin…</t>
  </si>
  <si>
    <t>RT @larryelder: "The Obama [WH] has not only failed to protect Israel against this gang up at the U.N., it colluded with it behind the scen…</t>
  </si>
  <si>
    <t>"Just like that, the US Ministry of Truth is officially born."
 https://t.co/RFaPRcIz1m</t>
  </si>
  <si>
    <t>RT @THEHermanCain: Turns out Obama's team is doing anything but helping with the transition https://t.co/s0f3DXyLKM https://t.co/QeD0NEeBQY</t>
  </si>
  <si>
    <t>RT @DrMartyFox: #Obama Joins OTHER #Dictators &amp;amp; #Tyrants 
To Stab #Israel In The Back 
And Pass The Anti #Israel UN Resolution 
https://…</t>
  </si>
  <si>
    <t>RT @DykstraDame: @Cernovich It never ceases to amaze me how many members of the #ImWithStupid cult are as hypocritical as their Lying Queen…</t>
  </si>
  <si>
    <t>RT @Nate_Cohn: Trump became first Republican to do better among low-income whites than high-income whites, per exits and polls  https://t.c…</t>
  </si>
  <si>
    <t>RT @wikileaks: Assange on the US election: "Clinton tried to destroy us and was herself destroyed." https://t.co/ZzwL0Bq02a</t>
  </si>
  <si>
    <t>RT @THEHermanCain: AP helpfully explains: Obama economic policies were a huge success, but voters didn't understand and elected Trump https…</t>
  </si>
  <si>
    <t>RT @SheriffClarke: This is why @nytimes @washingtonpost @CNN @MSNBC @HuffingtonPost use and place fake news stories about Pres-elect @realD…</t>
  </si>
  <si>
    <t>RT @PVeritas_Action: NEW UNDERCOVER VIDEO: Chicago Democratic Election Judges Pretend to be Republican Judges https://t.co/Zp4vJzWMGp</t>
  </si>
  <si>
    <t>RT @JBurtonXP: In Trump's America, Republican politicians must live in constant fear of negative feedback from Republican voters. Nightmari…</t>
  </si>
  <si>
    <t>@ChristiChat 
Congratulations!</t>
  </si>
  <si>
    <t>RT @mike_pence: Congratulations to @RealDonaldTrump; officially elected President of the United States today by the Electoral College!</t>
  </si>
  <si>
    <t>RT @AnnCoulter: Michele Obama says America is in a time of hopelessness.  Apparently, America being great again makes liberals hopeless.</t>
  </si>
  <si>
    <t>Now there's relief available to all liberals who are feeling the pain of #MAGA https://t.co/VDLOFGv3Fg</t>
  </si>
  <si>
    <t>RT @ChrisMZiegler: PHOTO: My daughter Reagan helping me take a bin of liberal letters begging me to not cast my Electoral Vote 4 @realDonal…</t>
  </si>
  <si>
    <t>RT @wikileaks: Today:
-Truck drives into Berlin Christmas crowd replaying Nice
-Russian envoy shot over Allepo in Turkey
-3 shot at Zurich…</t>
  </si>
  <si>
    <t>RT @wikileaks: https://t.co/NF9Eyii274</t>
  </si>
  <si>
    <t>RT @AngeloJohnGage: The amount of mysterious deaths surrounding the Clintons #ThingsYouCantIgnore https://t.co/4i3nDUrgKc</t>
  </si>
  <si>
    <t>RT @wikileaks: The single biggest reason Trump won? Clinton's "Pied Piper" strategy back-fired https://t.co/DAmWNq9K0f (see attachments) ht…</t>
  </si>
  <si>
    <t>RT @YoungDems4Trump: We need a Nationalist and Globalist party. That way these Rhinos and Corporate Shills don't have to masquerade as Repu…</t>
  </si>
  <si>
    <t>RT @VoteTrumpPics: Please RETWEET 💥
Send this image to our #EsteemedElectors in support of DJT
List of electors: https://t.co/79gEgHWOtT…</t>
  </si>
  <si>
    <t>RT @DanScavino: We face many challenges, but this is truly an exciting time to be alive. The script is not yet written. We do not...https:/…</t>
  </si>
  <si>
    <t>RT @GovMikeHuckabee: Remember after 08 and 12, the GOP rioted, death threatened electors, burned cities, and tried to stop inauguration?  Y…</t>
  </si>
  <si>
    <t>RT @abnheel: @Cernovich @BreitbartNews https://t.co/LYZ0JcSoze</t>
  </si>
  <si>
    <t>RT @hale_razor: Obama won and visited S Arabia, Egypt, Turkey, &amp;amp; France to confess America's sins. Trump won and visited PA, FL, NC, OH &amp;amp; W…</t>
  </si>
  <si>
    <t>RT @joe_nuzz: Video of Destruction of Cathedral at Hands of Islamists https://t.co/ycubEkvW4U via @clarionproject</t>
  </si>
  <si>
    <t>RT @zerohedge: What Is The Real Purpose Behind "Fake News" Propaganda? https://t.co/dADijxHuVK</t>
  </si>
  <si>
    <t>RT @mtracey: Idea: let the CIA give a full accounting of their years-long jihadi-arming program in Syria before we take their Russia bluste…</t>
  </si>
  <si>
    <t>RT @chuckwoolery: Of course any rational person knows this #election #Hacking allegation is anything but real. So I'll say it to Democrats.…</t>
  </si>
  <si>
    <t>RT @Trumponly: @Mizzourah_Mom @hectormorenco https://t.co/XguWYcwgfu</t>
  </si>
  <si>
    <t>RT @deYook: 'Clinton mega donor George Soros leads line-up of liberal billionaires funding Facebook's fake news fact checker' https://t.co/…</t>
  </si>
  <si>
    <t>RT @wikileaks: The new 'liberal' wonderful
* The CIA
* Prosecuting publishers
* Launching a cyber-war
* Lockeed Martin
* TPP/TTIP neolibera…</t>
  </si>
  <si>
    <t>RT @timothy_stanley: Full credit to the Financial Times for printing this. Letter of the year. https://t.co/uPm0Xq45YC</t>
  </si>
  <si>
    <t>RT @PrisonPlanet: Snopes is run by a couple of far-left liberals in California. 
These are the people who will be deciding what's "fake ne…</t>
  </si>
  <si>
    <t>RT @mtracey: There's a lot of $$$ to be raised by swindling people in a frenzy over Trump. First it was the Stein "recount," now Electoral…</t>
  </si>
  <si>
    <t>RT @PrisonPlanet: Congratulations to the Syrian Army for defeating the jihadists who were  supported by the Obama White House &amp;amp; the mainstr…</t>
  </si>
  <si>
    <t>RT @Braveheart_USA: Let me get this clear, the @CIA &amp;amp; @NSAGov won't meet with Congressional Over Site, but will respond to @ABC? America we…</t>
  </si>
  <si>
    <t>@hectormorenco 
No real surprise there - remember 2008?</t>
  </si>
  <si>
    <t>RT @wikileaks: WikiLeaks has been subject to different types of DDoS attacks the last few days. Latest is 31 million attacks using: https:/…</t>
  </si>
  <si>
    <t>RT @foxandfriends: JULIAN ASSANGE: Our source is not the Russian government (via #Hannity) https://t.co/ySTEg8HBqa</t>
  </si>
  <si>
    <t>RT @wikileaks: Obama should submit any Putin documents to WikiLeaks to be authenticated to our standards if he wants them to be seen as cre…</t>
  </si>
  <si>
    <t>RT @wikileaks: Full Julian Assange radio interview with @SeanHannity from this afternoon (US EST) on US election, CIA https://t.co/29gsH9BX…</t>
  </si>
  <si>
    <t>RT @DailyCaller: EXCLUSIVE: FBI New York Field Office Told To Continue Clinton Foundation Probe https://t.co/h8Cn71yNLs https://t.co/GupzQg…</t>
  </si>
  <si>
    <t>RT @carolinagirl63: Russia wasn't hacking. DHS was!
BREAKING: 3 State Election Agencies Confirm Suspected Cyber-Attacks Sourced To DHS http…</t>
  </si>
  <si>
    <t>RT @JustNWashington: @THEHermanCain https://t.co/aO8SdDZqGT</t>
  </si>
  <si>
    <t>RT @PrisonPlanet: The fact that intel agencies have REFUSED to brief Congress on evidence of "Russian hacking" proves there is no evidence.…</t>
  </si>
  <si>
    <t>RT @wikileaks: NBC's Chuck Todd upset after it is revealed that NBC 'reporter' behind Putin claims is "CIA mop up man" Ken Dilanian https:/…</t>
  </si>
  <si>
    <t>RT @THEHermanCain: CIA can't be bothered to brief House committee on 'Russian hacking of election' https://t.co/imCn9p06DK https://t.co/DDx…</t>
  </si>
  <si>
    <t>RT @wikileaks: Six top US intelligence vets from NSA and CIA dispute anonymous CIA claims about election hacking https://t.co/cz81p2r7Sr</t>
  </si>
  <si>
    <t>RT @KamVTV: #TheTaintedElection UK Ambassador, “I’ve met the person who leaked  [Podesta emails]…not Russian &amp;amp; it’s an insider https://t.co…</t>
  </si>
  <si>
    <t>RT @DBHnBuckhead: @wikileaks
#FakeNews &amp;amp; Russia didn't call half the country Deplorable or make Hillary stay home &amp;amp; not campaign🙄 #RussianH…</t>
  </si>
  <si>
    <t>RT @Barnes_Law: @wesearchr @TheChrisSuprun risks jail https://t.co/be9Yc5gicZ</t>
  </si>
  <si>
    <t>RT @BrittPettibone: #InformTheElectors it's not rigged. Hillary lost fair and square. Put on your big-girl pants because this is what accou…</t>
  </si>
  <si>
    <t>RT @mitchellvii: So the Democrats are claiming that the Russians rigged the election by exposing what Democrats really think?
You can't ma…</t>
  </si>
  <si>
    <t>RT @AmyMek: EXPOSED! #Wikileaks: PROVES Hillary &amp;amp; John Podesta were planning the FAKE "Trump's working with Russia" LIES since April! #Russ…</t>
  </si>
  <si>
    <t>RT @LindaSuhler: Dems Cry #RussianHack, but... FLASHBACK: Obama Admin Funds Group That Tries to Influence Israeli Election #hypocrisy
https…</t>
  </si>
  <si>
    <t>RT @steph93065: The same people that gave Hillary the debate questions &amp;amp; got their "news" approved by Podesta are telling you Russia interf…</t>
  </si>
  <si>
    <t>RT @peddoc63: Why am I not 50 points ahead?!? https://t.co/CfFh9bzUSy</t>
  </si>
  <si>
    <t>RT @JustinRaimondo: "Borders on the irrational" understates the insanity of the left. https://t.co/rsW4hJ4z9B</t>
  </si>
  <si>
    <t>RT @GrrrGraphics: New #BenGarrison #Cartoon #NewBroom #Trump #Maga Sweep away the dirt/ #FakeNews ! more cartoons at https://t.co/Oj98iIxEA…</t>
  </si>
  <si>
    <t>RT @DRUDGE_REPORT: Govt spends $100 million ferrying illegal immigrant children around country... https://t.co/cIsOVchoUP</t>
  </si>
  <si>
    <t>RT @wikileaks: Former UK Ambassador Craig Murray on recent anonymous CIA claims about alleged US election related sources https://t.co/LcTD…</t>
  </si>
  <si>
    <t>RT @ggreenwald: Anonymous Leaks to the WashPost About the CIA’s Russia Beliefs Are No Substitute for Evidence https://t.co/OB33Xbb49V</t>
  </si>
  <si>
    <t>RT @PrisonPlanet: Russia interfered in the election! (no evidence).
LEFT FREAKS OUT.
Saudi Arabia provably bankrolled Clinton's campaign.…</t>
  </si>
  <si>
    <t>RT @LeahRBoss: Riot over results.
Spend millions on recount.
Blame Russia.
Threaten to interrupt inauguration.
Who's the REAL threat to de…</t>
  </si>
  <si>
    <t>RT @mtracey: Yes, stake your opposition to Trump on CIA hearsay, treason accusations, and Russia paranoia. More sound strategic thinking fr…</t>
  </si>
  <si>
    <t>RT @SheriffClarke: The people @washingtonpost have destroyed what little credibility they had left. They are the newsletter of the DNC. htt…</t>
  </si>
  <si>
    <t>RT @CalFreedomMom: #Snowflake melting moment
Peer-Reviewed Survey Finds Majority Of Scientists Skeptical Of Global Warming Crisis
 https:…</t>
  </si>
  <si>
    <t>RT @TuckerCarlson: President-elect @realDonaldTrump to protester: “The election ended 3 weeks ago, darling” –TCT #Tucker @FoxNews https://t…</t>
  </si>
  <si>
    <t>RT @wikileaks: Congressman behind WikiLeaks-Russia claims destroyed in interview #PodestaEmails https://t.co/DboNvUtfg0
https://t.co/pjX9t…</t>
  </si>
  <si>
    <t>RT @wikileaks: #FakeNews debate: Having a perfect record any objective metric is going rank WikiLeaks at #1 for hard news.</t>
  </si>
  <si>
    <t>RT @wikileaks: Clinton 'Supporter' Manufactured Fake News That MSNBC Personalities Spread In Attempt To Discredit WikiLeaks Docs 
https://t…</t>
  </si>
  <si>
    <t>RT @wikileaks: The Washington Post now admits it spread #FakeNews about WikiLeaks in its splash article on #FakeNews https://t.co/ulwpIhj6ac</t>
  </si>
  <si>
    <t>RT @charliekirk11: DOJ concluded "hands up don't shoot" was a lie peddled by the media with false info. Wasn't that fake news? #FakeNews</t>
  </si>
  <si>
    <t>RT @JrcheneyJohn: 😂 #Karma 👉 #FakeNews CNN has been calling Trump &amp;amp; his supporters Racist but they are actually being sued for RACISM
http…</t>
  </si>
  <si>
    <t>RT @WLTaskForce: Reminder: "dangerous" #FakeNews "epidemic" started with Clinton campaign pretending @wikileaks emails were fake. https://t…</t>
  </si>
  <si>
    <t>RT @mtracey: Jill Stein's ridiculous "recount" effort has harmed the credibility of genuine advocates for voting policy reform https://t.co…</t>
  </si>
  <si>
    <t>RT @realDailyWire: How times have changed. https://t.co/GOilbJIpxt</t>
  </si>
  <si>
    <t>RT @mitchellvii: REVEALED: Michigan Recount Uncovers Serious Voter Fraud in Detroit- VOTES COUNTED UP TO 6 TIMES https://t.co/bq1rHe2WbV</t>
  </si>
  <si>
    <t>RT @Keasmom: @TIME baltimore, ferguson, trayvon-ALL prior to trump even announcing, therefore the division is on OBAMA https://t.co/kZGybZk…</t>
  </si>
  <si>
    <t>RT @GregAbbott_TX: RT to tell Congress To Say No To Obama's $3.9 Billion Refugee Slush Fund. #tcot #txlege  https://t.co/Y5ruutCZH1</t>
  </si>
  <si>
    <t>RT @WalshFreedom: Trump's picks:
EPA for small business
AG for Cops
Ed for parents &amp;amp; kids
HUD for self reliance...
Sounds good to me Ari. h…</t>
  </si>
  <si>
    <t>RT @PrisonPlanet: The collapse of mainstream (fake news) media in 3 images. https://t.co/TMtLUosjFJ</t>
  </si>
  <si>
    <t>RT @WISEUpAction: 'It was the police who made up the charges" - SMS from woman in #Assange case,… https://t.co/myOfyefl8L…#6YearsTooLong</t>
  </si>
  <si>
    <t>RT @peddoc63: Those who would disrespect our Flag🇺🇸have never been handed a folded one🙏🏽#PearlHarborRemembranceDay #Veterans #Military http…</t>
  </si>
  <si>
    <t>RT @mtracey: Why is the Texas elector who has declared he won't vote for Trump being represented by a PR firm? https://t.co/2S9QTsYm1Q</t>
  </si>
  <si>
    <t>RT @peddoc63: That meteor💥is still Orbiting🌗It won't go away quietly😡Wish it would disintegrate already! #Recount2016 #MAGA #PersonOfTheYea…</t>
  </si>
  <si>
    <t>RT @MilitaryEarth: We remember and honor those who lost their lives 75 years ago today in the Attack on Pearl Harbor. #PearlHarborRemembran…</t>
  </si>
  <si>
    <t>RT @avilarenata: Swedish prosecutor dennied access to #Assange lawyers to evidence exonerating him for 6 years, including the following tex…</t>
  </si>
  <si>
    <t>RT @wikileaks: Police admit sex complaint against Assange was fabricated in elaborate plot https://t.co/OPCFRveUqM More: https://t.co/Mb6gX…</t>
  </si>
  <si>
    <t>RT @observer: Pressure Builds for UK and Sweden to Release WikiLeaks’ Julian Assange https://t.co/KHKFcWwKqX</t>
  </si>
  <si>
    <t>RT @KenRoth: UK &amp;amp; Sweden ordinarily respect UN rights mechanisms--but not now as applied to them: Assange https://t.co/DxAvuNW4Vv https://t…</t>
  </si>
  <si>
    <t>RT @kellie_scott: 'Entirely innocent': Assange goes public on rape allegations https://t.co/vs9JoTkNb3 via @ABCNews</t>
  </si>
  <si>
    <t>Texas Governor: Remove Chris Suprun from the North Texas Electoral College. - Sign the Petition! https://t.co/kxp3FP2QGq via @Change</t>
  </si>
  <si>
    <t>RT @ConstanceQueen8: Senator Rand Paul Throws in the Towel on CNN "I Can't Watch Anymore. It's too Biased" https://t.co/1DKiRNZm8E</t>
  </si>
  <si>
    <t>RT @THEHermanCain: Half of Detroit's votes may be ineligible for recount, because 'problems with ballots' https://t.co/Br2cJI2WOT https://t…</t>
  </si>
  <si>
    <t>@DeAnnSmithkc  I do not have a problem if it is a true medical emergency, but a shame if it could survive outside of the womb w/med assist.</t>
  </si>
  <si>
    <t>@DeAnnSmithkc 
I saw it, but do not agree that most late-term abortions are medically necessary. Your choice on pronunciation of MO!</t>
  </si>
  <si>
    <t>RT @mtracey: There was plenty of "fake news" on the internet during the 2012 campaign, but the outcome didn't spur the media class into act…</t>
  </si>
  <si>
    <t>RT @HispanicsTrump: The media has given Obama a pass on every illegal/unethical thing he's done as president, but if Trump even sneezes the…</t>
  </si>
  <si>
    <t>RT @mitchellvii: .@TexasGOP needs to strip this arrogant publicity hound @TheChrisSuprun of his Elector status now.  RT if you agree.</t>
  </si>
  <si>
    <t>RT @PrisonPlanet: Florida elector gets 4,000 emails a DAY from Hillary freaks. Wall to wall harassment. https://t.co/WRvedzk1LW</t>
  </si>
  <si>
    <t>RT @paulsperry_: BREAKING: SPLC Admits Leaving 2,000 Anti-Trump Incidents Against White Kids Out Of 'Hate Crimes' Report
https://t.co/1dctO…</t>
  </si>
  <si>
    <t>RT @DiamondandSilk: How can @CNN @AC360 educate us on fake news when they kept reporting that Hillary was up in the Polls and Trump wouldn'…</t>
  </si>
  <si>
    <t>RT @WLTaskForce: Dangerous to view the world through a Neo McCarthyist lens. US spreads influence globally but anyone who exposes it is pro…</t>
  </si>
  <si>
    <t>RT @SheriffClarke: Dr. Ben Carson is a neurosurgeon. Nancy Pelosi is a two-bit political hack. Who is she to stand in judgement of Dr. Cars…</t>
  </si>
  <si>
    <t>RT @GovMikeHuckabee: Ben Carson is first HUD Sec to have actually lived in gov't housing. Fancy Nancy Pelosi says he's not qualified; is sh…</t>
  </si>
  <si>
    <t>RT @GovMikeHuckabee: Why Algore went to Trump Tower? To announce Jill Stein was now asking for $$ to get recount of 2000 election and decla…</t>
  </si>
  <si>
    <t>RT @mflynnJR: For all those not aware....@jaketapper trolling the family of a highly decorated retired military officer thru DM. 4 the last…</t>
  </si>
  <si>
    <t>RT @famousquotenet: Where the people fear the government you have tyranny. Where the government fears the people you have liberty. - John B…</t>
  </si>
  <si>
    <t>RT @EricTrump: The Sad Truth: The Cost Of Stein/Clinton's #Wisconsin Vote Recount Could Have Saved At Least 5,000 Children's Lives https://…</t>
  </si>
  <si>
    <t>RT @PrisonPlanet: Yes, this was your intention all along. https://t.co/k1CA2LiwkO</t>
  </si>
  <si>
    <t>RT @Lrihendry: Proud to be an American= Racist 
#PresidentElectTrump #MAGA https://t.co/4lzo38HDY8</t>
  </si>
  <si>
    <t>RT @Braveheart_USA: The Cold Hard Fact is Democrats don't believe America is exceptional. Conservatives Know America is Exceptional! 
@rea…</t>
  </si>
  <si>
    <t>RT @LibertySon76: @vfx_dude @AndrewKH85 @mitchellvii @Cernovich @ThomasWictor @cbslocal where is the DNC &amp;amp; Green Party outcry for voter ID?…</t>
  </si>
  <si>
    <t>RT @_Makada_: Hoaxing media says Trump isn't allowed to talk to Taiwan, but Obama can sell them $1.83 billion worth of weapons?
https://t.…</t>
  </si>
  <si>
    <t>RT @LynnePatton: A visual recap of the 2016 election. 🇺🇸 #MAGA #DrainTheSwamp #AmericaFirst #HesYourPresident https://t.co/EGNt5QWicV</t>
  </si>
  <si>
    <t>RT @peddoc63: The same media that is critical of Trump accepting a call from #Taiwan President #Tsai had no problem with Obama hobnobbing w…</t>
  </si>
  <si>
    <t>RT @peddoc63: Obama paid 1.6 billion ransom to Iran, crickets from Communist Media😠Trump accepts congratulatory call☎️ #Taiwan  #Tsai Scand…</t>
  </si>
  <si>
    <t>RT @FiveRights: #TrumpFirsts
Trump found a way to keep Carrier in USA.
He'll do same w Ford.
He's saving 1000s of American jobs BEFORE bein…</t>
  </si>
  <si>
    <t>RT @FiveRights: #TrumpFirsts
Trump-Taiwan call
Whatever upsets US enemies also upsets US lefties.
Trump actions clarify that the Left is th…</t>
  </si>
  <si>
    <t>RT @Stevenwhirsch99: This is an actual cover of the  New York Times. #MSM is already trying to normalize pedophilia. #Pizzagate https://t.c…</t>
  </si>
  <si>
    <t>RT @GovMikeHuckabee: Press bleeds from self-inflicted wounds from xtreme bias against Trump;becoming more irrelevant and less trusted-they…</t>
  </si>
  <si>
    <t>RT @GrrrGraphics: Does #Obama Love #America? If he does, he has a funny way of showing it!   #cartoons at https://t.co/Oj98iIxEAZ https://t…</t>
  </si>
  <si>
    <t>RT @PrisonPlanet: "What do you have against a recount?"
What do you have against a fairly conducted election with zero evidence of fraud?</t>
  </si>
  <si>
    <t>RT @DarrellIssa: The House just passed a bill to fix the National Guard Bonus Scandal. Refunds soldiers every penny they paid back. https:/…</t>
  </si>
  <si>
    <t>RT @ElectionLawCtr: The #Obama @TheJusticeDept "only protects voters who vote the right way." https://t.co/JGpvTUGk0p #CivilRights #Obama #…</t>
  </si>
  <si>
    <t>RT @VRWCTexan: "We now live in a world where the media has zero leverage. They can't blackmail Trump into behaving a certain way"
https://t…</t>
  </si>
  <si>
    <t>RT @seanhannity: HOT MIC: CNN crew jokes about @realDonaldTrump's plane crashing  https://t.co/qsznsTrM0B</t>
  </si>
  <si>
    <t>RT @Stonewall_77: Wisdom From The Simple Elegance of Nature https://t.co/m1nZcWDauP</t>
  </si>
  <si>
    <t>RT @EWErickson: “Christians around the world take this to be truth. “ https://t.co/ZFZmXZQzso</t>
  </si>
  <si>
    <t>RT @PrisonPlanet: "This is the first generation that has been brought up not to tolerate opinions that they dislike." https://t.co/NmfTBT58…</t>
  </si>
  <si>
    <t>RT @DonaldJTrumpJr: Ha @realDonaldTrump on tv in front of thousands  "we are going to announce Maddog Mattis on Monday... don't tell anyone…</t>
  </si>
  <si>
    <t>RT @geo7272: Just think lib whackos: Obama became Pres &amp;amp; went on World apology tour Trump went on Thank you tour to thank Americans who vot…</t>
  </si>
  <si>
    <t>RT @ResistTyranny: #CorruptMedia, #FakeNews and REAL media don’t understand: @realDonaldTrump isn’t a politician.
And he doesn't act like…</t>
  </si>
  <si>
    <t>@catwahler @100PercFEDUP 
I know - whoever did this nailed it! :-)</t>
  </si>
  <si>
    <t>RT @100PercFEDUP: New post: HILARIOUS TRUMP CHRISTMAS PARODY: “It’s The Most Wonderful Time In 8 Years” [Video] https://t.co/kxwuKS3zne</t>
  </si>
  <si>
    <t>RT @GrrrGraphics: New #BenGarrison #Cartoon #BigClub #Trump @Nigel_Farage #Obama #HillaryClinton #Soros #JohnPodesta tip it over https://t.…</t>
  </si>
  <si>
    <t>RT @JackPosobiec: The media attacking Trump for helping Carrier get tax breaks to keep jobs in the country shows how upside-down their worl…</t>
  </si>
  <si>
    <t>RT @catwahler: Trump's America vs. Clinton's America . . .
#AnyQuestions? https://t.co/VzG0BOrV1K</t>
  </si>
  <si>
    <t>RT @TeamTrump: .@Carrier employee says #PEOTUS @realDonaldTrump 'has done more in three weeks than Obama did for me in eight years'
https:/…</t>
  </si>
  <si>
    <t>RT @Rockprincess818: No outrage when Obama made political statements on friendly shows like Kimmel, Jon Stewart &amp;amp; the View. Trump tweets an…</t>
  </si>
  <si>
    <t>RT @DanScavino: Shhh🤐they aren't involved, remember?😂
Clinton’s campaign wants “all hands on deck” to help w/ recount in Michigan. https:/…</t>
  </si>
  <si>
    <t>RT @PrisonPlanet: There are 3,141 counties in the United States. Trump won 3,084 of them. Clinton won 57. https://t.co/Psx3jtUbaL</t>
  </si>
  <si>
    <t>RT @chadw24_: #DumpKelloggs gave Obama their full support on the illegal executive order he signed on immigration. See Their statement on w…</t>
  </si>
  <si>
    <t>RT @carlislecockato: #DumpKelloggs: Far-Left Cereal Giant Kellogg’s Warns of ‘Racial Privilege’ https://t.co/BWUjp289h1</t>
  </si>
  <si>
    <t>RT @DJT4POTUS: Yuk! Reminder to #DumpKelloggs
with a win-win for better nutrition and Breitbart support. https://t.co/wA4LLdV1De</t>
  </si>
  <si>
    <t>RT @MamaReg2: 🚨Kelloggs Pulls Ads From Breitbart -It does not align w/co values
In Other News
Kelloggs profiteering from child&amp;amp;forced labo…</t>
  </si>
  <si>
    <t>RT @law_newz: Judge Shuts Down Jill Stein’s Demand for Hand Recount https://t.co/goh8NsXvcu https://t.co/cYXkzXSNX2</t>
  </si>
  <si>
    <t>RT @LindaSuhler: Trump Derangement Syndrome 😂
#MAGA #AmericaFirst #PresidentTrump
https://t.co/MjP50EQrQv https://t.co/iZYCpSYjbp</t>
  </si>
  <si>
    <t>RT @Liz_Wheeler: You'll never guess who is behind @DrJillStein's recount! I'll give you a hint. His name starts with an "S" &amp;amp; ends with "or…</t>
  </si>
  <si>
    <t>RT @worldnetdaily: yet the Fake News journalist at @CNN @MSNBC pushed the "he had a book" narrative. https://t.co/AUymsrkcnI</t>
  </si>
  <si>
    <t>RT @DineshDSouza: The best jobs program is not to bargain with companies planning to leave but sound fiscal &amp;amp; economic policies that make l…</t>
  </si>
  <si>
    <t>RT @TomFitton: Threatening electors violates federal law. So why isn’t Loretta Lynch doing anything about it? https://t.co/8BxXfpKKQL</t>
  </si>
  <si>
    <t>RT @Kpdblu101: @CarmineZozzora @SheriffClarke It can't be done here? https://t.co/eRlIuK6cHk</t>
  </si>
  <si>
    <t>@TwitchyTeam  
She knows that makes less for her to pocket when it's all over.</t>
  </si>
  <si>
    <t>RT @PRpunkr: All primary weapons of corporate multinational conglomeration. So, #OccupyCNN #FoxNews #ABC #NBC #CBS #PBS #MSNBC #CNN &amp;gt;&amp;gt; #Bre…</t>
  </si>
  <si>
    <t>RT @wikileaks: Bank of America/Palintir/HBGary combined WikiLeaks attack plan. You can find more here: https://t.co/85yECxFmZu https://t.co…</t>
  </si>
  <si>
    <t>RT @wikileaks: RELEASE: Over 60,000 emails from US cyber-intelligence contractor #HBGary now searchable https://t.co/85yECxFmZu @ggreenwald…</t>
  </si>
  <si>
    <t>RT @worldnetdaily: Nails it. https://t.co/s8gEzo3ao9</t>
  </si>
  <si>
    <t>RT @FiveRights: First Amendment
Hey lefties,
Why is burning American flag free speech but burning any other nation's flag hate speech? Says…</t>
  </si>
  <si>
    <t>RT @mtracey: Stein's lawsuit in PA presents no evidence whatsoever of fraud or error -- just meritless hacking claims. Will likely be dismi…</t>
  </si>
  <si>
    <t>RT @JackPosobiec: This was so so so obviously one of #TrumpsTraps and I can't believe the media walked right into it https://t.co/JXEU5uwXpv</t>
  </si>
  <si>
    <t>RT @ScottAdamsSays: The people who have been 100% wrong about everything so far are quite sure Trump should stop tweeting. #TRUMP</t>
  </si>
  <si>
    <t>RT @iowahawkblog: Not to mention the car and cutlery show loopholes
https://t.co/neUZCy6v3s</t>
  </si>
  <si>
    <t>RT @MikePenceVP: Tim it's Called "A terrorist attack" and it was with a knife not with a Gun. https://t.co/UmNywvXS7N</t>
  </si>
  <si>
    <t>RT @GregAbbott_TX: Yes. I'm going to sign a law that bans sanctuary cities. Also I've already issued an order cutting funding to sanctuary…</t>
  </si>
  <si>
    <t>RT @pastormarkburns: Hampshire College not flying the American Flag is an INSULT to the thousands of men &amp;amp; women who fought to DEFEND that…</t>
  </si>
  <si>
    <t>RT @PrisonPlanet: A Somali Muslim "refugee" goes on an ISIS-inspired rampage.
First thing leftists worried about is "the Somali community".</t>
  </si>
  <si>
    <t>RT @JackPosobiec: Petraeus was on Team Hillary and now wants to be Trump's SecState? Sorry bro not the way that works https://t.co/BdAtbg2g…</t>
  </si>
  <si>
    <t>RT @ChristiChat: Ohio State University
Begin listening @ 6 minute mark
Ali Mohammed reported owner of 2002 Honda
https://t.co/t5aLCn2tTU…</t>
  </si>
  <si>
    <t>RT @wikileaks: RELEASE: Over 500k US diplomatic cables on the Iranian revolution &amp;amp; seige of Mecca https://t.co/u8OZDdH17v 
Guide: https://…</t>
  </si>
  <si>
    <t>RT @wikileaks: RELEASE: US diplomatic cables on the election of Thatcher, assassination of MP Neave, IRA Warrentpoint bombing https://t.co/…</t>
  </si>
  <si>
    <t>RT @wikileaks: RELEASE: US diplomatic cables on the Three Mile Island nuclear incident, SALT II treaty and placing nukes in Europe https://…</t>
  </si>
  <si>
    <t>RT @wikileaks: RELEASE: US diplomatic cables on the Sandinista revolution, the coups in El Salvador &amp;amp; Grenada &amp;amp; Ecuadorian election https:/…</t>
  </si>
  <si>
    <t>RT @wikileaks: Assange editorial on today's 500,000 cables from the "year zero" of the modern era  https://t.co/EN0PW5LWeF https://t.co/jJK…</t>
  </si>
  <si>
    <t>RT @wikileaks: RELEASE: 846 highly sensitive 'CHEROKEE' coded messages from 1979 covering the Iranian revolution, #Cuba and more https://t.…</t>
  </si>
  <si>
    <t>RT @CarmineZozzora: The Left keeps telling us there's no voter fraud while they fight like rabid pitbulls to prevent voter ID.
Nothing sus…</t>
  </si>
  <si>
    <t>RT @JackPosobiec: Best breakdown of the Recount Hoax I have seen anywhere https://t.co/0RX0Miz9KR</t>
  </si>
  <si>
    <t>RT @GovMikeHuckabee: Cubans who know celebrate Castro death;American alt-left weep and praise the murderous oppressive brutal dictator. Rea…</t>
  </si>
  <si>
    <t>RT @mitchellvii: Obama/DNC decided that it was best for them just to have Hillary fade away betting Trump would be too busy to pursue her,…</t>
  </si>
  <si>
    <t>RT @mtracey: HRC's own campaign lawyer says there is no "actionable evidence of hacking." If that doesn't settle it, what will? https://t.c…</t>
  </si>
  <si>
    <t>RT @mtracey: The crusade against "fake news" is an attempt to punish media entities that deviate from the establishment consensus https://t…</t>
  </si>
  <si>
    <t>RT @yashalevine: A few thoughts on WaPo's smears and claims that Russia's "Hacked" America's Democracy: https://t.co/IJYqQlkZQs</t>
  </si>
  <si>
    <t>RT @edri: New #TiSA leaks: The proposals on  privatised #censorship are particularly worrying. https://t.co/3Gkt8VxfBy @netzpolitik @Greenp…</t>
  </si>
  <si>
    <t>RT @wikileaks: Full audio of talk by WikiLeaks' Julian Assange at #FCM16 today https://t.co/pTJPeDwv7a</t>
  </si>
  <si>
    <t>RT @PrisonPlanet: Assange talked about Castro's death today. Conspiracy over.</t>
  </si>
  <si>
    <t>RT @LouDobbs: I Sure Hope @realDonaldTrump Changes His Mind About Prosecuting Hillary Clinton After She Changed Her Mind About Recount #MAG…</t>
  </si>
  <si>
    <t>RT @ConstanceQueen8: Trump's Response
Ridiculous Green Party
Recount Request
#GreenParty  #Recount2016 https://t.co/SQm6BrFHO9</t>
  </si>
  <si>
    <t>RT @BlissTabitha: Obama Regime Shoots Holes In Clinton, Stein Campaign Recount Effort https://t.co/OjghzDn26Q</t>
  </si>
  <si>
    <t>RT @mtracey: There is a problem with "fake news" circulating on the internet, but the main perpetrators are failed media elites https://t.c…</t>
  </si>
  <si>
    <t>RT @PrisonPlanet: As I said, the Clinton campaign was behind this from the very beginning. We need to observe this with our people. https:/…</t>
  </si>
  <si>
    <t>RT @ChristiChat: Hillary was so sure of her coronation via #VoterFraud &amp;amp; SOROS machines, she didn't even campaign. Now she wants a RECOUNT.…</t>
  </si>
  <si>
    <t>RT @mtracey: The US invaded, embargoed, and demonized Castro for decades while propping up the worst dictators in the world. The moralizing…</t>
  </si>
  <si>
    <t>RT @mtracey: How many of the people whining about "fake news" ever complained about David Brock's multifaceted pro-Clinton disinformation a…</t>
  </si>
  <si>
    <t>RT @LouDobbs: Giuliani is the smartest, toughest, most able; Patraeus part of 15 year war without victory and bad judgment #MAGA @realDonal…</t>
  </si>
  <si>
    <t>RT @AnnCoulter: Today, the media take a brief time-out from worrying about Trump being a dictator to praise Fidel Castro. #FidelCastroHaMue…</t>
  </si>
  <si>
    <t>RT @mtracey: Glance at any NYT comment section if you still doubt that "rigging" theories are throughly bipartisan: untold Dems believe Rus…</t>
  </si>
  <si>
    <t>RT @PrisonPlanet: The Green Party's @DrJillStein has raised over $5 million. For the environment? No. To try and help a corrupt hag overtur…</t>
  </si>
  <si>
    <t>RT @PrisonPlanet: Clinton campaign secretly backing recount, hope it will overturn election. I warned Trump supporters about this. Ya'll as…</t>
  </si>
  <si>
    <t>RT @PrisonPlanet: Trump supporters who keep telling me to relax about this recount need to wakey wakey. Clintonistas pushing it. https://t.…</t>
  </si>
  <si>
    <t>RT @PrisonPlanet: Even the Obama White House opposes the recount, but Hillary is so hopelessly corrupt she'll try anything. https://t.co/5a…</t>
  </si>
  <si>
    <t>RT @mitchellvii: Never before in history has there been a multistate recount paid for with mystery funds from a non competitive candidate.…</t>
  </si>
  <si>
    <t>RT @Geodan333: @PrisonPlanet RECOUNT IS FUNDRAISER SCAM - Jill Stein Now Says Money She Raised for "Recount" May Go Elsewhere https://t.co/…</t>
  </si>
  <si>
    <t>RT @wikileaks: US CRS: "Cuba after Fidel Castro: U.S. Policy Implications &amp;amp; Approaches" (2006, pdf) https://t.co/ur8FsOJt03</t>
  </si>
  <si>
    <t>RT @wikileaks: Cuban mass exodus after the death of #FidelCastro: US contingency planning to dump the refugees onto other states https://t.…</t>
  </si>
  <si>
    <t>RT @ggreenwald: This is about the anonymous, shady source the Washington Post used today to smear dozens of US news sites as Russian propag…</t>
  </si>
  <si>
    <t>RT @mtracey: People insanely advocating for the Electoral College to select HRC are calling for the abolition of the rule of law https://t.…</t>
  </si>
  <si>
    <t>RT @AssangeFreedom: This will be the 7th Xmas Julians children will spend without their father.Detained 6 yrs without charge for award winn…</t>
  </si>
  <si>
    <t>RT @Lrihendry: BREAKING!!! Trump has chosen his ambassador to Libya! Hillary!</t>
  </si>
  <si>
    <t>RT @THEHermanCain: After losing, Democrats suddenly convinced that voting machines are vulnerable, voter fraud exists https://t.co/dBFnxkiL…</t>
  </si>
  <si>
    <t>RT @RT_com: ‘Shiny new toys’: #WikiLeaks reveals US plan to give $147mn in military hardware to #Yemen
https://t.co/DtgM2s2olc  https://t.c…</t>
  </si>
  <si>
    <t>RT @jasonmn: Jill Stein campaigned hard against Hillary. She almost certainly cost Hillary the election. Why is she trying so hard to get a…</t>
  </si>
  <si>
    <t>RT @BeladonnaRogers: THE TRUE "MALICIOUS INDIFFERENCE" OF BARACK HUSSEIN OBAMA: #Israel is RENTING a super-tanker from a private company be…</t>
  </si>
  <si>
    <t>RT @GabbyInCa: This is one reason we stand when the National Anthem is played. #Veterans #NRA #BlueLivesMatter #CCOT #TCOT #BackThePolice h…</t>
  </si>
  <si>
    <t>RT @PrisonPlanet: At this point, #BlackFriday is basically just another excuse for thugs to stage mini-riots. https://t.co/47zSlwk85o</t>
  </si>
  <si>
    <t>RT @THEHermanCain: Left in complete meltdown over Trump EPA choice Myron Ebell https://t.co/nN4Hm8SMOA https://t.co/Gg4CimugFs</t>
  </si>
  <si>
    <t>RT @THEHermanCain: Racist, sexist president-elect filling out all-male, white supremacist cabinet https://t.co/Dc57DjmiC2 https://t.co/3h2C…</t>
  </si>
  <si>
    <t>RT @PrisonPlanet: Hey @DrJillStein - Hillary won Minnesota &amp;amp; Nevada by FEWER votes than Trump won Pennsylvania. Why no recount there? https…</t>
  </si>
  <si>
    <t>RT @ScottMcConnell9: Per CNN false comparison, unlike Jeremiah Wright and Obama, Richard Spencer has zero relationship with Donald Trump.</t>
  </si>
  <si>
    <t>RT @avilarenata: Tip to analyse newly released #YemenFiles by @wikileaks: go to https://t.co/EqNewhHt5Z and combine w #Cablegate https://t.…</t>
  </si>
  <si>
    <t>RT @wikileaks: RELEASE: The #Yemen Files #HillaryClinton #YemenCrisis #Saudi #Iran #ISIL #AQAP #RedSea https://t.co/kTLYWhGMBF #yemencrisis…</t>
  </si>
  <si>
    <t>RT @seanhannity: Under the @realDonaldTrump tax plan about 50% of wage earners will pay zero income tax. https://t.co/EnVyLy08aY</t>
  </si>
  <si>
    <t>RT @PrisonPlanet: Mitt Romney is a neo-con stooge.
If made Secretary of State, he will embroil America in more costly &amp;amp; disastrous wars.…</t>
  </si>
  <si>
    <t>RT @asamjulian: I agree @realDonaldTrump, don’t reward Mitt Romney. @transition2017 #NeverRomney https://t.co/GFWee5KdtM</t>
  </si>
  <si>
    <t>RT @LindaSuhler: Haha!  Yes, the election season was like THIS!
Have a wonderful Thanksgiving!
#GodBlessAmerica #MAGA https://t.co/UVUyJq…</t>
  </si>
  <si>
    <t>RT @PrisonPlanet: The "Trump betrayed us" meme is a Soros creation. Saw exact same thing after Brexit. Obvious effort to drive a wedge. Don…</t>
  </si>
  <si>
    <t>@hectormorenco @MittRomney 
So it is officially Romney? I thought Trump was draining the swamp dwellers, not promoting them.</t>
  </si>
  <si>
    <t>RT @BetsyDeVos: Many of you are asking about Common Core. To clarify, I am not a supporter—period. Read my full stance, here: https://t.co/…</t>
  </si>
  <si>
    <t>RT @wikileaks: WikiLeaks Top Ten trade deals #TPP #TiSA #TTIP https://t.co/x45ezmbGQ7 https://t.co/LZdzypqDsg</t>
  </si>
  <si>
    <t>RT @wikileaks: UN denounces disruption of Internet access as a human rights violation https://t.co/1YM1bwMI9l</t>
  </si>
  <si>
    <t>RT @mtracey: Trump just confirmed he's canceling TPP, which was among the top issues of 2016 for the left. Why am I hearing 24/7 about whit…</t>
  </si>
  <si>
    <t>RT @THEHermanCain: Actual study of real data: Nope, white cops are not more likely to shoot black suspects https://t.co/69yYi7kwbA https://…</t>
  </si>
  <si>
    <t>RT @wikileaks: True. https://t.co/k41TfJZ8py</t>
  </si>
  <si>
    <t>RT @JackPosobiec: UPDATE: Hamilton tickets are flooding Craigslist and StubHub
https://t.co/fWejAZv6pL https://t.co/nuLHiGbxN0</t>
  </si>
  <si>
    <t>RT @seanhannity: VP-Elect Pence:“The American people are about to see what it’s like to have a president... who’s going to take his case to…</t>
  </si>
  <si>
    <t>RT @GenFlynn: Humbled and honored to serve America and #POTUS45 as APNSA - I want 2 thank all who supported our team. Now let's #MAGA #Frid…</t>
  </si>
  <si>
    <t>RT @wikileaks: The original fake news source, The Washington Post, moans about internet fake news https://t.co/zrqSFcHvhf</t>
  </si>
  <si>
    <t>RT @BrittPettibone: Since #Nazi is trending, here's Soros calling his time working for Nazis in WWII the "happiest time of his life". 
http…</t>
  </si>
  <si>
    <t>RT @LindaSuhler: #DishonestMedia HYPOCRISY
#MSM #FakeNewsNetworks #MAGA 
https://t.co/8m0iYkK2TC https://t.co/XqZ2Dv0B3t</t>
  </si>
  <si>
    <t>RT @wikileaks: SWEDHR on Trump, WikiLeaks, Assange &amp;amp; Sweden https://t.co/rFZX2eitd1</t>
  </si>
  <si>
    <t>@THEHermanCain  Sincerely hope someone else gets the job. Romney is a long-term resident of the swamp I thought was going to get drained!</t>
  </si>
  <si>
    <t>RT @TheLastRefuge2: Making Media Irrelevant.  1.1 million views in one hour. https://t.co/o61gwnbiZe</t>
  </si>
  <si>
    <t>RT @mitchellvii: “Trump started with Jeff Zucker and said I hate your network, everyone at CNN is a liar and you should be ashamed…."
I LO…</t>
  </si>
  <si>
    <t>RT @mitchellvii: Trump got every news media big wig into his office and punked them all.  It was utterly epic.</t>
  </si>
  <si>
    <t>RT @KellyannePolls: #Poll: Trump's popularity soars after election. A major 24-point swing... https://t.co/fXqkhWsRb9</t>
  </si>
  <si>
    <t>RT @DBloom451: SO MUCH WINNING💃👏🎉 President-elect Trump shares update policy plans for the first 100 days. LETS US SHARE IT &amp;amp; completely by…</t>
  </si>
  <si>
    <t>RT @THEHermanCain: Left's new excuse: 'Fake news sites' cost Hillary the election https://t.co/fQ8KeHzaM6 https://t.co/WgXEcVLCyM</t>
  </si>
  <si>
    <t>Sounds like the PEOTUS gave the media elite a well-deserved lecture. Wonder if they need a safe space now?</t>
  </si>
  <si>
    <t>RT @AnnCoulter: Bannon: "some people R naturally aggressive &amp;amp; violent." SPLC: He "insinuated that African-Americans are ‘naturally aggressi…</t>
  </si>
  <si>
    <t>RT @AnnCoulter: Fake news outlets ABC/NBC/CBS/MSNBC/CNN/NYT/WAPO use America's leading hate group, the SPLC as their go-to source on "hate…</t>
  </si>
  <si>
    <t>RT @AnnCoulter: Treating the SPLC, America's leading hate group, as expert on hate groups is like when Scientologists took over a Cult Awar…</t>
  </si>
  <si>
    <t>RT @CarmineZozzora: Notice the law-abiding gun-owners the left blames for all the violence in our society are never the ones committing the…</t>
  </si>
  <si>
    <t>RT @worldnetdaily: Yes, crazy college professors are now saying Trump supporters should be SUPSENDED from school... https://t.co/v1CPqDLUW6</t>
  </si>
  <si>
    <t>RT @mitchellvii: Insane Democrats are admonishing Trump against starting internment camps.  Trump has NEVER suggested such a thing. https:/…</t>
  </si>
  <si>
    <t>RT @Harlan: @KatzOnEarth 3) agencies aren't sure "when or how" Wikileaks obtained... 
Directly contradicts what we heard from us Intel in…</t>
  </si>
  <si>
    <t>RT @2ANow: #MassAgainstHate Judge: People 'need' to leave if they don't like Trump as president https://t.co/JE1576qDAH https://t.co/JFAU5E…</t>
  </si>
  <si>
    <t>RT @PrisonPlanet: Actual fake news list. https://t.co/qq4cBlgkQ5</t>
  </si>
  <si>
    <t>RT @PrisonPlanet: If Hillary had won, there would be a huge media narrative now about how conservatives were disrespecting her. Yet they ca…</t>
  </si>
  <si>
    <t>RT @GovMikeHuckabee: @realDonaldTrump mtg with Mitt; nice to have meeting--but no admin spot; Mitt said Trump was con man; phony.That's ins…</t>
  </si>
  <si>
    <t>RT @Lrihendry: Liberals promote their "peace, love, and equality" with violence, vandalism, intolerance and rage! DON'T wonder why we are d…</t>
  </si>
  <si>
    <t>RT @steph93065: Well...THAT is a rational, sane and thoughtful statement 🙄 https://t.co/UfJoKWyE0W</t>
  </si>
  <si>
    <t>RT @healthandcents: .@seanhannity Speaking as a physician, #Starbucks employees threat to "spit" in #Trump customers food is SERIOUS #healt…</t>
  </si>
  <si>
    <t>RT @terrymendozer: The tolerant left have become what they accuse the right of being. One reason I left the Democratic Party #BoycottHamilt…</t>
  </si>
  <si>
    <t>RT @JackPosobiec: #BoycottHamilton
Bc we remember the last time a Left-wing actor lashed out at one of our leaders https://t.co/GooAOmI0M6</t>
  </si>
  <si>
    <t>RT @mtracey: #BoycottHamilton "Hamilton" should voluntarily agree to cease production altogether as an act of penance for Hillary's defeat</t>
  </si>
  <si>
    <t>RT @CarmineZozzora: Bill Clinton made $850,000 sexual harassment lawsuit settlements directly from the Oval Office and Liz Warren still has…</t>
  </si>
  <si>
    <t>RT @mitchellvii: If we removed the words racist, bigot and misogynist from the English language, @CNN #FakeNews would literally be unable t…</t>
  </si>
  <si>
    <t>RT @kerpen: Twitter CEO refused to let Trump use #CrookedHillary hashtag emojis that were paid for and approved. https://t.co/YhgJGY4gqh vi…</t>
  </si>
  <si>
    <t>RT @GaryCoby: More specific, @twitter CEO @Jack Dorsey personally made call to restrict us; our advertising @blakehounshell @parscale https…</t>
  </si>
  <si>
    <t>RT @newtgingrich: Hamilton cast hostility, Warren comments on Trump nominees, Times and Post false coverage,all reminders this will be a pe…</t>
  </si>
  <si>
    <t>RT @MarkSimoneNY: WaPo/NYT did 100's of articles on how the value of Trump's business plummeted in the race. Now they're claiming he's prof…</t>
  </si>
  <si>
    <t>RT @CLewandowski_: Obama halts immigration amnesty push in court, bows to incoming Trump administration - Washington Times  https://t.co/1x…</t>
  </si>
  <si>
    <t>RT @peddoc63: Imagine if Obama went to show &amp;amp; was called racist &amp;amp; humiliated by Cast🤔Leftists would've burned it down🔥#BoycottHamilton #Nam…</t>
  </si>
  <si>
    <t>RT @AnthonyEinzig: The play #Hamilton and its audience represent the elite takeover of our culture and the revision of our history. 
Trump…</t>
  </si>
  <si>
    <t>RT @DineshDSouza: What! An entire facility just for two people? https://t.co/PPYdPsZEze</t>
  </si>
  <si>
    <t>RT @nprpolitics: Commander-In-Tweet: Trump's Social Media Use And Presidential Media Avoidance https://t.co/IBO6TcThgU</t>
  </si>
  <si>
    <t>RT @ElectionLawCtr: Leading Critic of #Trump's Attorney General Pick Has Been Sanctioned by Courts for Exaggerated Racism Allegations https…</t>
  </si>
  <si>
    <t>RT @Breaking911: Jeff Sessions as attorney general could mean trouble for Hillary Clinton - https://t.co/uCUozb5qjG https://t.co/riboQfbwjS</t>
  </si>
  <si>
    <t>RT @weeklystandard: In Alabama, Jeff Sessions Desegregated Schools and Got the Death Penalty for KKK Head https://t.co/uluzEH8Z0f</t>
  </si>
  <si>
    <t>RT @cristinalaila1: MSM is furious that ordinary people on social media/alt media destroyed their narrative &amp;amp; exposed their lies. They have…</t>
  </si>
  <si>
    <t>RT @RichardGrenell: yep. cc: @GovMikeHuckabee https://t.co/tnvvakBl8z</t>
  </si>
  <si>
    <t>RT @JamesOKeefeIII: "People were getting news from other places [like] @Project_Veritas &amp;amp; @wikileaks &amp;amp;  seeing how corrupt Dem Party &amp;amp; @Hil…</t>
  </si>
  <si>
    <t>RT @mitchellvii: Caddell: CNN ‘Smearing’ Trump Supporters — ‘They Just Call Everybody a Racist’ https://t.co/b9BN0rWCH4 via @BreitbartNews</t>
  </si>
  <si>
    <t>RT @CarmineZozzora: Now, now, we Americans must be tolerant of the Islamist overthrow of our government and the end of our way of life.
#M…</t>
  </si>
  <si>
    <t>RT @kurtwvs: Soros Fingerprints All Over #NotMyPresident Protests https://t.co/9hIwMP6WFy</t>
  </si>
  <si>
    <t>RT @seanhannity: NYtimes fake news alert. Bloomberg says “We had planned to move the Lincoln MKC out of Louisville Assembly Plant," and mor…</t>
  </si>
  <si>
    <t>@JackPosobiec  I for one choose not to take their labels like "deplorable" - labeling makes it easier to separate and control.</t>
  </si>
  <si>
    <t>RT @mtracey: Pardon her for what? I thought she was totally blameless? I thought it was all a vast right-wing conspiracy? https://t.co/aVs3…</t>
  </si>
  <si>
    <t>RT @SheriffClarke: Dem proaganda wing @nytimes @washingtonpost continue to snipe @realDonaldTrump transition w/o telling us the history htt…</t>
  </si>
  <si>
    <t>RT @PatriotByGod: #Apple has instructed their manufacturers to look into building in America. Everyone laughed when Trump said this would h…</t>
  </si>
  <si>
    <t>RT @GovMikeHuckabee: Jeff Sessions great pick for AG.  He was a bold voice to stop TPP when other GOP figures were ready to give away the c…</t>
  </si>
  <si>
    <t>RT @Bernies4_Trump: Hillary Clinton Screaming Obscenities and Throwing Objects in Election Night Meltdown - Breitbart https://t.co/bAP2fuBf…</t>
  </si>
  <si>
    <t>RT @LeahR77: Please Please Please PLEASE #AuditTheVote #ElectionNight https://t.co/gpkNY1XIhx</t>
  </si>
  <si>
    <t>RT @JackPosobiec: You mean like that Benghazi was bc of a YouTube video and Trump is a KGB plant? https://t.co/2EN93itD1h</t>
  </si>
  <si>
    <t>RT @OnMessageForHer: Fantastic. I hope President Trump continues his habit of cutting the media out as much as possible and just addressing…</t>
  </si>
  <si>
    <t>RT @CarmineZozzora: "Fake news" networks:
@ABC @NBCNews @CBSNews @CNN @MSNBC @HLNTV @FoxNews @MSNBC @theblaze @BloombergTV @espn @CNBC 
#…</t>
  </si>
  <si>
    <t>RT @realDonaldTrump: Just got a call from my friend Bill Ford, Chairman of Ford, who advised me that he will be keeping the Lincoln plant i…</t>
  </si>
  <si>
    <t>RT @wikileaks: AP: James Clapper has resigned stating: intelligence agencies don't have good insight on when or how Wikileaks obtained the…</t>
  </si>
  <si>
    <t>RT @JxhnBinder: THIS.  https://t.co/9oL77I8QFc</t>
  </si>
  <si>
    <t>RT @BreitbartNews: “Some of the names being floated as possible Secretary of Education are troubling.” https://t.co/4mOiZyZsjq</t>
  </si>
  <si>
    <t>RT @mitchellvii: Trump is just doing "Cabinet Apprentice."  It's awesome.</t>
  </si>
  <si>
    <t>@MorganMerridrew @gatewaypundit  They can't see that so they have to blame social media - one thing they can't control.</t>
  </si>
  <si>
    <t>RT @Gundisalvus: Obama in Berlin: "I make it a rule not to meddle in other people's politics." In UK, If you vote for Brexit you'll be "at…</t>
  </si>
  <si>
    <t>RT @SarahHuckabee: .@TomCottonAR is right. Steve Bannon great friend to Israel that Harry Reid &amp;amp; many D's pretend to be
https://t.co/JLtVNM…</t>
  </si>
  <si>
    <t>RT @OnMessageForHer: The MSM's handwringing about "fake news" because social media and citizen journalism are killing them and censorship i…</t>
  </si>
  <si>
    <t>RT @pink_lady56: Merkel &amp;amp; #Obama
What part of "We DON'T want #Globalism #NewWorldOrder do you NOT understand?"
#AmericaFirst</t>
  </si>
  <si>
    <t>RT @BreitbartNews: what universe is this https://t.co/BDRMLuFICm</t>
  </si>
  <si>
    <t>RT @gatewaypundit: Obama Blames Public Rejection of His Party and Hillary’s Loss on Social Media (VIDEO) https://t.co/WTuNskD9VA via @gatew…</t>
  </si>
  <si>
    <t>RT @wikileaks: While threats against Assange are mounting he is not alone and continues to inspire us and people around the world | https:/…</t>
  </si>
  <si>
    <t>RT @MaajidNawaz: @Cmvazquez103 @hectormorenco https://t.co/IekH4quFVT</t>
  </si>
  <si>
    <t>RT @BreitbartNews: It's even worse than this headline lets on. https://t.co/BxcMWcKJku</t>
  </si>
  <si>
    <t>RT @PrisonPlanet: QuantCast Blacklists Infowars as “Fake News” Free Speech Purge Accelerates - https://t.co/PEN1wfOo2p https://t.co/QCQWecG…</t>
  </si>
  <si>
    <t>RT @LouDobbs: Soros Scrambling To Cover Up ”Evil Atheist” Video From 1998, SEE IT BEFORE IT’S DELETED! https://t.co/6rZFJKZBqn #MAGA #Ameri…</t>
  </si>
  <si>
    <t>RT @joyreaper: "Sanders to Trump" "We're going to hold you accountable."  Trump to Sanders, "Don't you mean Hillary and the DNC?"  lol http…</t>
  </si>
  <si>
    <t>RT @mitchellvii: We should change the name of the Democrat Party to the Donner Party.</t>
  </si>
  <si>
    <t>Hypocritical liberals and their tolerance... https://t.co/azVVdjg1CG</t>
  </si>
  <si>
    <t>RT @worldnetdaily: The big list of the Sanctuary City crisis in America... thanks to Obama, Democrats and spineless GOP. 
https://t.co/RECn…</t>
  </si>
  <si>
    <t>RT @DRUDGE_REPORT: OBAMA: 'CONSTANT INFO' DISRUPTING GLOBAL AGENDA https://t.co/sYnIXjaVhi</t>
  </si>
  <si>
    <t>RT @mtracey: Despite the fervid cries of conservative elites, Trump was always the GOP candidate best situated to beat Hillary https://t.co…</t>
  </si>
  <si>
    <t>RT @DanScavino: The lies &amp;amp; false reports continue. Media reports of Mr. Trumps phone/Twitter access being taken away are 100% false. Never…</t>
  </si>
  <si>
    <t>RT @mtracey: Going forward, to avoid crippling groupthink, we absolutely must develop new modes of journalism. It's crucial. https://t.co/u…</t>
  </si>
  <si>
    <t>RT @JackPosobiec: Trump put up 4 tweets today and its all the media can talk about https://t.co/oRfNUBCaEQ</t>
  </si>
  <si>
    <t>RT @TheLastRefuge2: .@mitchellreports (Andrea Mitchell) transmitting fake news: https://t.co/4s71eYRTL8</t>
  </si>
  <si>
    <t>RT @THEHermanCain: Tech company CEO who threatened to assassinate Trump . . . is no longer a CEO https://t.co/bNe82yI3qH https://t.co/HI3Vy…</t>
  </si>
  <si>
    <t>RT @mitchellvii: MEDIA WAR ON TRUMP=&amp;gt; Top 28 of 35 US News Stories on Tuesday were Anti-Trump Hit Pieces https://t.co/WC7jDLKs8J</t>
  </si>
  <si>
    <t>RT @DiamondandSilk: .@realDonaldTrump, If they wasn't there with you from the Beginning, why should they come around now that you're Winnin…</t>
  </si>
  <si>
    <t>RT @TheLastRefuge2: NYC Mayor Bill de Blasio sounds like guy threatening to ride his bike in front of Trump tower every day if DJT doesn't…</t>
  </si>
  <si>
    <t>RT @RealJamesWoods: Here is a mainstream newspaper so blinded by its own #bias, it misstates actual fact in a headline. "ILLEGAL MIGRANTS"…</t>
  </si>
  <si>
    <t>RT @Peoples_Pundit: Strange. Same @WSJ paper. Same date. Different market, different headline. Hmmm... https://t.co/Kr0zjtevnm</t>
  </si>
  <si>
    <t>RT @VoteTrumpPics: He who laughs last laughs best! 😂
You can't #StopBannon as you couldn't stop @realDonaldTrump 
#WeAreMedia https://t.c…</t>
  </si>
  <si>
    <t>RT @GovMikeHuckabee: Trump supporters aren't doing violence like the loons on the left, so some Trumpaphobes started some but got caught. h…</t>
  </si>
  <si>
    <t>RT @foxandfriends: .@DanielJHannan: These kids are protesting because no one has ever said 'no' to them &amp;amp; they've been taught in school to…</t>
  </si>
  <si>
    <t>@sandeefree @WDFx2EU9 
It may not help, but if they get our side fighting back about being reported needlessly it might overwhelm  them.</t>
  </si>
  <si>
    <t>RT @6bird4: "Turn On the Hate" seems to be Progressives #TuesdayMotivation!
Just look at the past 7 days. Lib's beating people, burning car…</t>
  </si>
  <si>
    <t>RT @RealVinnieJames: "Turn On the Hate" seems to what Progressives do best. They're not so good at marketing, however. #TuesdayMotivation?…</t>
  </si>
  <si>
    <t>RT @DRUDGE_REPORT: Young House Democrats Antsy to Challenge Nancy? https://t.co/owmPAKnWYu</t>
  </si>
  <si>
    <t>RT @LadyMPope: House Republicans are already preparing for ‘years’ of investigations of Clinton https://t.co/ucf1AcKFwc</t>
  </si>
  <si>
    <t>RT @jamiedupree: House Republicans emerging from their meeting with red Make America Great Again hats</t>
  </si>
  <si>
    <t>RT @JamesOKeefeIII: If media is trying to #StopBannon they should endorse him. By smearing they show he is an effective threat &amp;amp; people wil…</t>
  </si>
  <si>
    <t>RT @PrisonPlanet: Twitter to allow users to report "hateful conduct".
Or in other words, Twitter to allow leftists to report people with a…</t>
  </si>
  <si>
    <t>RT @JohnLeFevre: Of the 112 people arrested by the Portland Police during anti-Trump protests, only 25 voted.</t>
  </si>
  <si>
    <t>RT @wikileaks: Donna Brazile attacks CNN for "ripping me a new one"  https://t.co/VvToPJaNNm
After she was caught fixing debate
https://t.…</t>
  </si>
  <si>
    <t>RT @bfraser747: Twitter keeps shutting him down but can't keep him down. MICRO TURKEY LEAKS is BACK Follow @WDFx2EU9 
He's one of the very…</t>
  </si>
  <si>
    <t>RT @KARENWALLS11: @JaredWyand What is fake news to you @google? Anything that criticizes Obama? The truth? Stop censoring what you disagree…</t>
  </si>
  <si>
    <t>RT @mitchellvii: Just a reminder to #oldmedia.  #TrumpTrain won EVERYTHING:
1) White House
2) Senate
3) House
4) Judiciary
5) Governorships…</t>
  </si>
  <si>
    <t>RT @GovMikeHuckabee: Critics of Steve Bannon know he's smarter and tougher than they are.  When CAIR doesn't like you that is a good thing.…</t>
  </si>
  <si>
    <t>RT @GovMikeHuckabee: LOL watching ppl even at Fox who said Trump COULDN'T win now explain how he DID.They scoffed at us who said Trump woul…</t>
  </si>
  <si>
    <t>RT @jko417: CALL AUTHORITIES=Senior Banker Calls for ISIS to Rape and Decapitate Melania Trump @CarmineZozzora @skb_sara @JVER1  https://t.…</t>
  </si>
  <si>
    <t>RT @USAforTrump2016: WOW! This man was standing in front of Trump Tower today https://t.co/vD0KQj7Qrb</t>
  </si>
  <si>
    <t>RT @Mr_Nielsen_5309: The nation will never heal with George Soros as the Dem Puppet Master.
Soros Prepares For Trump War #ObamaPresser 
ht…</t>
  </si>
  <si>
    <t>RT @GOPjenna: What an idiot. He makes it seem like it's Trump supporters causing the violence. No moron, it's the rage machines u created.…</t>
  </si>
  <si>
    <t>RT @mtracey: What I don't understand is why liberals *still* insist on deflecting blame from HRC. She's already been disgraced: what do you…</t>
  </si>
  <si>
    <t>RT @sevncom11: @hectormorenco Anybody not willing to accept the results of an election is a danger to democracy"Hillary Clinton 2 weeks ago</t>
  </si>
  <si>
    <t>RT @DRUDGE_REPORT: Dem Strategist Mocks Trump Supporter Beat Up By Mob... https://t.co/gixUa51F89</t>
  </si>
  <si>
    <t>RT @blaze42001: Symone Sanders mocked the Chicago man who got beaten by a mob for voting #trump. "poor white people!" She's truly deplorabl…</t>
  </si>
  <si>
    <t>RT @R_of_R: @blaze42001 @CNN Wow. This extreme racism - mocking someone dragged from their car &amp;amp; beaten - is not acceptable. CNN needs to f…</t>
  </si>
  <si>
    <t>RT @mtracey: It is your civic duty to confront and shame pundits who were catastrophically wrong about everything https://t.co/or8jNIPVGv</t>
  </si>
  <si>
    <t>RT @FluffyDogAttack: My take on the post-election Media phony self-reflection &amp;amp; analysis. Still Orwell 24/7 x 365 https://t.co/ByH1gPn2cg</t>
  </si>
  <si>
    <t>RT @ElectionLawCtr: #DraintheSwamp isn't very easy. Meet one of #DOJ's most anti-police lawyers - making $180,000 per year.  https://t.co/k…</t>
  </si>
  <si>
    <t>RT @BrittPettibone: University Admissions Officer Blasts Christians and Conservatives as “Worthless Trash". 
#mondaymotivation
https://t.co…</t>
  </si>
  <si>
    <t>RT @KatrinaPierson: RT if you supported @realDonaldTrump from day one,  before it was cool. 👍#Day1Crew #TeamTrump #MakeAmericaGreatAgain 🇺🇸</t>
  </si>
  <si>
    <t>RT @ChristiChat: UNBELIEVABLE!
Houston Mom Investigated After Kicking 7-Year-Old
Son Out of House Over Voting for TRUMP
#MAGA  
https://t.c…</t>
  </si>
  <si>
    <t>RT @ChristiChat: How sweet it is!
Trump Can End Obama’s Lawsuits Once He Takes Office
FATAL BLOW to Barry! #MAGA 
https://t.co/oB89hcfENV</t>
  </si>
  <si>
    <t>RT @Eyes_of_justice: RT@jungletrunks
#SorosAgenda
#SorosRiots
#PurpleRevolution
#TCOT #CCOT #MAGA #TRUMP .@TeamTrump
"Defying Trump" "Bre…</t>
  </si>
  <si>
    <t>RT @arbetarbroder: The Clintons and #GeorgeSoros launched #PurpleRevolution in America  — #SorosRiots
https://t.co/cfTFfKoDGb https://t.co/…</t>
  </si>
  <si>
    <t>RT @gotspeed2burn: It's not conspiracy theory if it's true. This has been circulating &amp;amp; recent news releases are backing it up
#SorosRiots…</t>
  </si>
  <si>
    <t>RT @KatrinaPierson: The electoral college was just fine when Americans elected a black man for President, twice. But, now it's racist becau…</t>
  </si>
  <si>
    <t>RT @AMERICAWBGA: Proof the protests are fake! https://t.co/5krpztPnoP</t>
  </si>
  <si>
    <t>RT @mitchellvii: That they needed pot money? https://t.co/909RojgqxB</t>
  </si>
  <si>
    <t>RT @Connor_O97: Trump looked at the camera &amp;amp; told everyone harassing minority groups in his name to "stop it now." Now it's Hillary &amp;amp; Obama…</t>
  </si>
  <si>
    <t>RT @scrowder: NASA REPORT: Antarctic Ice Sheet is Actually… Growing By Billions of Tons? https://t.co/69jMvJWxVc</t>
  </si>
  <si>
    <t>RT @realDonaldTrump: The @nytimes states today that DJT believes "more countries should acquire nuclear weapons." How dishonest are they. I…</t>
  </si>
  <si>
    <t>RT @MartinSieff: Soros backed protests to topple democratically elected govt in Ukraine. Now plans same treatment for USA https://t.co/bXbR…</t>
  </si>
  <si>
    <t>RT @LatestAnonNews: Obama/Clinton approved $278 billion in weapons exports, more than double the total under Bush. Most went to Saudi https…</t>
  </si>
  <si>
    <t>RT @GrrrGraphics: Call #TrumpProtests #SorosRiots because that's what they are- reminder #majority of country giddy that #TrumpWon https://…</t>
  </si>
  <si>
    <t>RT @Flewbys: Meet @georgesoros the man who loves..Money &amp;amp; Power....HRC's best buddy..They have much in common!!! I hope Putin...... #SorosR…</t>
  </si>
  <si>
    <t>RT @Miami4Trump: 💥BREAKING💥 EVIL Soros Hiring Anti-Trump “Protesters” ONCE AGAIN For Sunday Palos Verdes Event. #SorosRiots #MAGA  https://…</t>
  </si>
  <si>
    <t>RT @terrymendozer: These are not spontaneous "riots"- these are well funded and planned riots aka #SorosRiots 👈🏾Enemy of democracy #1 https…</t>
  </si>
  <si>
    <t>RT @drewwyatt: 🚨DON'T HELP RIGGED MEDIA CREATE THE NARRATIVE 🚨
Start Calling These So Called #TrumpRiot What They Are...
🔥💥 #SorosRiots 💥…</t>
  </si>
  <si>
    <t>RT @FightNowAmerica: These protesters are clueless.
#ThisWeek Plan Next Steps #CNNsotu #SundayMorning https://t.co/rhOPd2PRvl</t>
  </si>
  <si>
    <t>RT @mrmcoupe1: Left-wing extremists "Plan Next Steps" to make America ungovernable. Over running our streets to bring down our economy. Cul…</t>
  </si>
  <si>
    <t>RT @greeneyes0084: America..If you had ANY doubt about your vote against the establishment, these #SorosRiots should completely validate yo…</t>
  </si>
  <si>
    <t>RT @DrJohn76533054: Just can't believe your eyes anymore https://t.co/NVtFwIqVa5</t>
  </si>
  <si>
    <t>RT @StevePieczenik: thx @GrrrGraphics always right...#Soros #SorosLeak #SorosPaidRentaRioter https://t.co/tEiSMbEyf6</t>
  </si>
  <si>
    <t>RT @america_trump: https://t.co/MuTxbVq4f5</t>
  </si>
  <si>
    <t>RT @peddoc63: Soros is funding anti-Trump riots. He should arrested immediately! #TrumpRiot  🔥https://t.co/Y2sA8wM2ip https://t.co/8adcjlIn…</t>
  </si>
  <si>
    <t>RT @Gunnar_Thor: RT If You think that President Trump should put George Soros on the FBI Most Wanted list!
#MAGA https://t.co/srIXfLPDyW</t>
  </si>
  <si>
    <t>RT @theintercept: When a political party is demolished, the principle responsibility belongs to one entity: the party that got crushed http…</t>
  </si>
  <si>
    <t>RT @wikileaks: #RonPaul on #US election: "The greatest thing happened is the evidence &amp;amp; information we got from #WikiLeaks" https://t.co/0y…</t>
  </si>
  <si>
    <t>RT @PrisonPlanet: That's strange, Harry Reid, because all I've seen over the last 48 hours is Trump supporters being violently attacked. ht…</t>
  </si>
  <si>
    <t>RT @LawlessPirate: Your #TrumpRiot has no meaning. https://t.co/bHXs2DYBuA</t>
  </si>
  <si>
    <t>RT @PrisonPlanet: Isn't funny how Hillary &amp;amp; Obama kept banging on about a "peaceful transition," yet as soon as the riots started they went…</t>
  </si>
  <si>
    <t>RT @grinderfive: @RennaW @jennajameson Press is going on about how the rioters are scared, and I'm just, "Yeah, b/c you lied to them &amp;amp; they…</t>
  </si>
  <si>
    <t>RT @wikileaks: Facebook: WikiLeaks was the top political topic throughout October  https://t.co/rdR9lESNb6</t>
  </si>
  <si>
    <t>RT @wikileaks: Newsweek recalls 125000 copies of its magazine whose cover shows Clinton winning the US presidential election https://t.co/R…</t>
  </si>
  <si>
    <t>RT @PJStrikeForce: Here Is #PresidentElect #Trump Wants To Do In His First #Trump #First100Days
 https://t.co/CdZJpAqbba</t>
  </si>
  <si>
    <t>RT @jko417: Telegraph “Journalist” Who Called For Trump’s Assassination Has Been FIRED @CarmineZozzora @skb_sara @JVER1  https://t.co/7RdOr…</t>
  </si>
  <si>
    <t>RT @MarkSimoneNY: Trump’s First 3 Transition Team Members Are Female, Gay &amp;amp; Black. Thought He was a misogynist, racist homophobe? https://t…</t>
  </si>
  <si>
    <t>RT @THEHermanCain: Left's new narrative: Racism is breaking out everywhere! https://t.co/aF20Eqoxrw https://t.co/WaPzPphADX</t>
  </si>
  <si>
    <t>RT @robbysoave: There has been no wave of pro-Trump violence against minorities. Do not buy into hoax reporting https://t.co/DsBxaqpBO4 via…</t>
  </si>
  <si>
    <t>RT @MelissaH2016: George Soros email sent out from https://t.co/POFNETs4ht asking ppl 2 add their name protesting electoral voting
https://…</t>
  </si>
  <si>
    <t>RT @LouDobbs: Should DOJ investigate Soros &amp;amp; his links to non-profits for their role in inciting riots that have caused property damage &amp;amp; p…</t>
  </si>
  <si>
    <t>RT @wikileaks: Remember how you let Obama "legalize"
✔Assassinating anyone 
✔Spying on everyone
✔Prosecuting publishers+sources
It's all Tr…</t>
  </si>
  <si>
    <t>RT @2ndfor1st: Dear #TrumpProtest-ers 
"You don't want to start a civil war." https://t.co/cf3JLVpMhA</t>
  </si>
  <si>
    <t>RT @FrenchForTrump: Congratulations to the New
#Potus Donald J. Trump and
all the #TrumpPence16 Patriotes
who worked so hard for Freedom.
#…</t>
  </si>
  <si>
    <t>RT @shure_nuff: In his OWN words admits to being a financial Terrorist, same reason Putin has a standing bounty out for him. Wish someone w…</t>
  </si>
  <si>
    <t>RT @mtracey: Emerging liberal pundit consensus: people who voted twice for a black man, Obama, but against a white woman, Hillary, are raci…</t>
  </si>
  <si>
    <t>RT @gapper53: Trump supporters vow never to use Grubhub after CEO memo goes viral | https://t.co/IJbI1QrNqe #boycottgrubhub</t>
  </si>
  <si>
    <t>RT @DavidMitspa: #boycottGrubHub Stock Fell After CEO's Anti-Trump Email to Employees (GRUB) | InvestorPlace https://t.co/aiWLfeSSiW @inves…</t>
  </si>
  <si>
    <t>RT @ChrisLoesch: Before election: #LoveTrumpsHate
After election: #AssassinateTrump
Statists are so tone deaf they don't know this is why…</t>
  </si>
  <si>
    <t>RT @Fens16D: If you see something, say something. #AssassinateTrump activity should be screenshotted and reported accordingly. Don't assume…</t>
  </si>
  <si>
    <t>RT @Braveheart_USA: Okay Snowflakes, let's put this into perspective. 
This is my opinion, as well as those who RT it. https://t.co/VPTokX…</t>
  </si>
  <si>
    <t>RT @mtracey: Remember when the big savvy pundit take was that Trump "wasn't really trying to win" and just wanted to start up "Trump TV" #f…</t>
  </si>
  <si>
    <t>RT @StevePieczenik: "Protester" Propagates Discontent: https://t.co/L47fuf0m0B via @YouTube</t>
  </si>
  <si>
    <t>RT @KellyannePolls: Dear Cognoscenti: speak less with each other; speak more with people. 
Trump's voters were 'hidden' in plain sight http…</t>
  </si>
  <si>
    <t>RT @THEHermanCain: Rand Paul: We'll spend President Trump's first month repealing regulations - including ObamaCare https://t.co/FfVvWDdzUy…</t>
  </si>
  <si>
    <t>RT @10thAmendment: Counting 100% Over: Trump Gets 306 Electors, Media Refuses to Update Maps https://t.co/ozFzbVrVtg via @EUTimesNET 
#Trum…</t>
  </si>
  <si>
    <t>RT @voice_of_sane1: @SSE_TV @RennaW #GeorgeSorosRiots https://t.co/6gsitKDhVE</t>
  </si>
  <si>
    <t>@thesmokeroom @DailyCaller 
Too bad...</t>
  </si>
  <si>
    <t>RT @Westxgal: Our #Veterans fought and still fight and die to preserve the #1A right for spoiled (#Soros paid) protesters #VeteransDay #Dra…</t>
  </si>
  <si>
    <t>RT @bowhunter_va: @Westxgal What we are seeing today is NOT peaceful protest. This is mobs of rioters using terrorist tactics.</t>
  </si>
  <si>
    <t>RT @EntheosShines: Actor #WillSmith Who Was Caught Funneling Money To Terrorist Organizations Calls For "Cleansing" Of Trump Supporters htt…</t>
  </si>
  <si>
    <t>RT @mtracey: Oops https://t.co/9npbE0vZ2J</t>
  </si>
  <si>
    <t>RT @bfraser747: 💥💥 NOT ACCETABLE
It's bad enough there's anyone saying such things
But when Journalist start doing it examples need be se…</t>
  </si>
  <si>
    <t>RT @DavidAFrench: Protests are already more lawless and violent than anything that would have happened if Trump had lost. The rioting probl…</t>
  </si>
  <si>
    <t>RT @SandraTXAS: These idiots are burning Trump in effigy. Burning flags, and we Trump voters are the scary people🤔🙄. #TrumpProtest https://…</t>
  </si>
  <si>
    <t>RT @DineshDSouza: I am reluctant to condemn the left for riots because we all remember the Romney riots...oh, wait!</t>
  </si>
  <si>
    <t>RT @ARmastrangelo: So you all went from "Stronger Together" to "People Have To Die"? Classic liberal logic; demanding tolerance unless it's…</t>
  </si>
  <si>
    <t>RT @RebellionReport: Democrats on Nov 8th: 'When they go low, we go high'
Democrats on Nov 9th:  'people have to die' and 'assassinate Tru…</t>
  </si>
  <si>
    <t>RT @katherinemiller: The fact that Clinton lost college-educated white voters doesn't seem like it's getting a lot of play.</t>
  </si>
  <si>
    <t>RT @wikileaks: The Reddit AMA with WikiLeaks staff has finished. Read all our responses here: https://t.co/jGCueXYRYI</t>
  </si>
  <si>
    <t>So happy together... https://t.co/jfFdm6dcnY</t>
  </si>
  <si>
    <t>RT @Franklin_Graham: I believe God’s hand intervened Tuesday night to stop the godless, atheistic progressive agenda from taking control #G…</t>
  </si>
  <si>
    <t>RT @wikileaks: Assange’s internet connection has not been restored. We have the necessary contingency plans. Staff doing AMA now: https://t…</t>
  </si>
  <si>
    <t>RT @wikileaks: Reddit AMA starting soon with the WikiLeaks staff | https://t.co/LRWbnEyN9l Support: https://t.co/MsNZhrTzTL</t>
  </si>
  <si>
    <t>RT @cvpayne: Hillary never had a rally with a tenth if this many people....very interesting I bet half aren't registered voters https://t.c…</t>
  </si>
  <si>
    <t>RT @JohnOSullivanNR: Trump voters are opposed not to identity politics but to identity politics for everyone but them. That's one important…</t>
  </si>
  <si>
    <t>RT @New_England_: #DNCLeaks2
Seems the Clinton State Department stepped in to prevent the Security Service of Ukraine (SBU) from going afte…</t>
  </si>
  <si>
    <t>RT @mitchellvii: These liberal snowflakes may be messing up traffic now but they'll melt away soon enough when the Soros money runs out.</t>
  </si>
  <si>
    <t>RT @SheriffClarke: Apparently these anarchists do not respect the lawfully arrived at peaceful transition of power thru elections. https://…</t>
  </si>
  <si>
    <t>RT @LindaSuhler: The Math: Trump 2016 Would’ve Beaten Obama 2012
#Election2016 #PresidentTrump #MAGA 
https://t.co/saTgk28Pit https://t.co/…</t>
  </si>
  <si>
    <t>RT @MarkSimoneNY: MSNBC/CNN would never show the crowds at Trump rallies, but with the protestors, they rent helicopters to show the crowd…</t>
  </si>
  <si>
    <t>RT @thehill: WikiLeaks mocks Dems after shocking election loss https://t.co/KdSYEQPaL3 https://t.co/o819yJzfdy</t>
  </si>
  <si>
    <t>RT @dcexaminer: Even after election, #WikiLeaks is not letting up on Hillary Clinton https://t.co/fTEuM312Yk https://t.co/hYxBm32A7l</t>
  </si>
  <si>
    <t>RT @wikileaks: A comedic take on WikiLeaks &amp;amp; Hillary Clinton's first encounter from RapNews https://t.co/jmwzJ4MeiI
https://t.co/MsNZhrTzTL</t>
  </si>
  <si>
    <t>@MorganMerridrew @mtracey 
Good riddance!</t>
  </si>
  <si>
    <t>RT @wikileaks: Economist publisher Lynn Forrester de Rothschild was part of team Clinton #PodestaEmails36 #PodestaEmails
https://t.co/jCSyk…</t>
  </si>
  <si>
    <t>RT @DRUDGE_REPORT: OBAMA OPEN TO HILLARY PARDON... https://t.co/KkHA2fbQ0p</t>
  </si>
  <si>
    <t>RT @wikileaks: According to Canadian press the US ambassador to Canada has stated that Obama will push for #TPP to passed before Trump take…</t>
  </si>
  <si>
    <t>RT @wikileaks: Latest Wikileaks Releases Boost Case for DNC Class Action Lawsuit - Observer https://t.co/hNSvCZoJFe</t>
  </si>
  <si>
    <t>RT @JackPosobiec: History: First citizen-politician ever elected US president</t>
  </si>
  <si>
    <t>RT @voterstampede: The same crowd that lectured us McCain and Romney were the only ones who could beat Obama, told us Trump can't win. 
Bu…</t>
  </si>
  <si>
    <t>RT @NarniaDad: #Benghazi would be better for exile, but I think most of the American People would prefer no pardon &amp;amp; Federal Prison. #tcot…</t>
  </si>
  <si>
    <t>RT @gatewaypundit: Traders on NYSE Boo Clinton-Kaine Concession Speech – Shout “Lock Her Up!” https://t.co/9wH869i1Bb via @gatewaypundit</t>
  </si>
  <si>
    <t>@IsraelNewsNow @Jerusalem_Post  
It will be broken someday - when we run a woman who is not corrupt!</t>
  </si>
  <si>
    <t>RT @Harlan: What Trump did was nothing short of amazing.
Out spent by HRC.
Out propagandized by the media.
Abandoned by much of the GOP es…</t>
  </si>
  <si>
    <t>RT @Nigel_Farage: Voters across the Western world want nation state democracy, proper border controls and to be in charge of their own live…</t>
  </si>
  <si>
    <t>RT @wikileaks: RELEASE: The Podesta Emails Part 36 #PodestaEmails #PodestaEmails36 #HillaryClinton #imWithHer https://t.co/wzxeh7hZLU https…</t>
  </si>
  <si>
    <t>RT @stranahan: Testify under oath. https://t.co/inecZ8wNHj</t>
  </si>
  <si>
    <t>RT @mtracey: That she thought the "deplorables" sneer was good politics showed how insulated and arrogant her campaign was. Ultimate hubris.</t>
  </si>
  <si>
    <t>RT @PrisonPlanet: Not supporting Obama after he was elected was racist, but virtue-signaling with #NotMyPresident is different. via @GrrrGr…</t>
  </si>
  <si>
    <t>RT @DineshDSouza: We won this with a terrifying array of opponents &amp;amp; an insurgency made up of a third of our own party--I do believe in mir…</t>
  </si>
  <si>
    <t>RT @stranahan: There's an entire vast institutional left to expose. https://t.co/HZ5Flw2z71</t>
  </si>
  <si>
    <t>RT @SheriffClarke: The only people in shock right now are the liberal mainstream media. Their influence over our politics is over.</t>
  </si>
  <si>
    <t>RT @cscowise: The MSM Media has failed America &amp;amp; Americans for self interest. It's important that we remove &amp;amp; change that &amp;amp; soon. Let's sta…</t>
  </si>
  <si>
    <t>RT @TwitchyTeam: A generation of snowflakes, triggered: Here are some headlines from colleges across the country https://t.co/pctcYi6XSm</t>
  </si>
  <si>
    <t>RT @DineshDSouza: I hear the shredders were humming all night over at the Clinton Foundation https://t.co/RA00yPbsFg</t>
  </si>
  <si>
    <t>RT @DailyCaller: Missouri Now Has A Republican Governor [VIDEO] https://t.co/ytUh0lHwJW https://t.co/ZJSOv9EygH</t>
  </si>
  <si>
    <t>RT @grindingdude: At this morning breakfast 
#HillaryIndictment https://t.co/CzAoiJu5rt</t>
  </si>
  <si>
    <t>RT @mitchellvii: Things we learned:
1) The monster vote exists.
2) Trumpocrats exist.
3) Rallies matter.
4) Hearts beat computers every tim…</t>
  </si>
  <si>
    <t>RT @vivelafra: @DanScavino @realDonaldTrump 
FRONT PAGE: "TRUMP WINS IN LANDSLIDE"
New York Times - November 9, 2016
#Trump2016 https://t.c…</t>
  </si>
  <si>
    <t>RT @AP: BREAKING:  Donald Trump is elected president of the United States. https://t.co/yJpgfsAbc6</t>
  </si>
  <si>
    <t>RT @ElectionLawCtr: Where are all the sanctimonious pundits who attacked #trump over refusing to concede?</t>
  </si>
  <si>
    <t>RT @vivelafra: President Donald J. Trump!!!  @realDonaldTrump @DanScavino #MAGA #Trump https://t.co/oIF705QNHn</t>
  </si>
  <si>
    <t>RT @MZHemingway: “During debate, I asked Trump if he’d accept results. I didn’t ask Hillary Clinton. I obviously made an oversight.” Chris…</t>
  </si>
  <si>
    <t>@WDFx2EU8  Thank you for being a formidable Twitter warrior! This is your victory too. #MAGA</t>
  </si>
  <si>
    <t>RT @GovMikeHuckabee: I've had fun at the expense of HRC supporters, but now that Trump has become Pres-elect, it's time for a transition of…</t>
  </si>
  <si>
    <t>RT @OnMessageForHer: They're stalling the final calls until Hillary's plane reaches Saudi airspace.</t>
  </si>
  <si>
    <t>RT @GovMikeHuckabee: Good thing Hillary canceled the fireworks show she had planned over the Hudson.  eBay will have them on sale soon.</t>
  </si>
  <si>
    <t>RT @wikileaks: Clinton's Pied Piper Strategy (use media contacts to promote Trump) has backfired spectacularly. PDF of our leak: https://t.…</t>
  </si>
  <si>
    <t>RT @ajamubaraka: Wikileaks is currently one of the most pro-democracy org's in the US. Exposing massive corruption in your gov't is not tre…</t>
  </si>
  <si>
    <t>@WDFx2EU8 @FoxNews @SpeakerRyan  Is he INSANE?!!!</t>
  </si>
  <si>
    <t>RT @bbollmann64: Wolf Blitzer just said CNN will report the results of the election as soon as the DNC tells CNN what to say.</t>
  </si>
  <si>
    <t>RT @lellygal: #ElectionNight @HillaryClinton You shouldn't have called us DEPLORABLES!!! It only made us STRONGER and more UNITED than ever…</t>
  </si>
  <si>
    <t>RT @mitchellvii: Needless to say, the vaunted RCP Average was DESTROYED tonight.</t>
  </si>
  <si>
    <t>RT @mitchellvii: Here's what I conclude:
1) The monster vote came out.
2) Bernie voters voted Trump or stayed home.</t>
  </si>
  <si>
    <t>RT @Trumptbird: I'm sitting with cancer patient Alice, my dear friend, who did 15,000 calls for @realDonaldTrump WE'RE THRILLED! https://t.…</t>
  </si>
  <si>
    <t>RT @DancrDave: VA Gov gives 60,000 felons the vote, Hillary wins state by 60,000...   https://t.co/oAQuQrV2fp</t>
  </si>
  <si>
    <t>RT @wikileaks: New York Times: "How our forecasts have changed" https://t.co/UjxTmEOyIq</t>
  </si>
  <si>
    <t>RT @TheStreet: Global markets tank — Nikkei down 4.6%, Hang Seng off 2.8% more on https://t.co/MrQ60hcWw2 https://t.co/Gl4h53jebt</t>
  </si>
  <si>
    <t>RT @GovMikeHuckabee: HRC loses Arkansas by YUUUUUUGE margin.  Keep in mind:  these are the folks (like me) who know her best!</t>
  </si>
  <si>
    <t>RT @wikileaks: The American people don't like corruption. After the election comes selection. Who will be selected and why? https://t.co/0a…</t>
  </si>
  <si>
    <t>RT @mitchellvii: Rallies matter.
Yard signs matter.
Social media matters.
Flash polls matter.
Enthusiasm matters.
We matter.</t>
  </si>
  <si>
    <t>@TEN_GOP  Yes! I knew we would come through for President Trump!</t>
  </si>
  <si>
    <t>RT @mitchellvii: Are they ever gonna call FL?  Trump is up 130,000 votes with 99% in.</t>
  </si>
  <si>
    <t>RT @DailyCaller: LAPD Preparing For Riots If Trump Wins https://t.co/IdsTPxr2Lr #ElectionDay #MyVote2016 #LAPD https://t.co/mSHxKYdMcd</t>
  </si>
  <si>
    <t>RT @ABCPolitics: BREAKING: Donald Trump will win Ohio based on exit poll and vote analysis, @ABC News projects. https://t.co/KPaV0NxYMA #El…</t>
  </si>
  <si>
    <t>@DrJohn76533054 @NBCNews
I knew we would come through!</t>
  </si>
  <si>
    <t>RT @YourAnonNews: Stock Futures Slide as Donald Trump Takes Lead in Florida https://t.co/hNddYwQBcA</t>
  </si>
  <si>
    <t>RT @mitchellvii: Yep, Broward wont save Hillary.  We'll win it,</t>
  </si>
  <si>
    <t>RT @mitchellvii: Right now, NYTimes is forecasting Trump win WIN Florida:
https://t.co/pBOUIafgO2</t>
  </si>
  <si>
    <t>RT @stranahan: Serious note: Trump is outperforming Republican establishment poster boy Mitt Romney everywhere. He's the best candidate GOP…</t>
  </si>
  <si>
    <t>RT @DRUDGE_REPORT: NH CLINTON 41 TRUMP 53 https://t.co/rNRlh3jT7R</t>
  </si>
  <si>
    <t>@SheriffClarke 
Thank you, sir. I really needed that right now. May God bless you!</t>
  </si>
  <si>
    <t>RT @SheriffClarke: Let NOT your hearts be troubled.
John 14:1</t>
  </si>
  <si>
    <t>RT @LatestAnonNews: ACTIVE SHOOTER:
- Azusa, California
- 1 dead
- At least 3 injured
- Nearby polling station on lockdown
- Gunman shootin…</t>
  </si>
  <si>
    <t>RT @AP: BREAKING: Trump wins Indiana. @AP race call at 6:59 p.m. EST. #Election2016 #APracecall https://t.co/ZBRJqwgYTL</t>
  </si>
  <si>
    <t>RT @AP: BREAKING: Trump wins Kentucky. @AP race call at 6:59 p.m. EST. #Election2016 #APracecall https://t.co/vRPPwmDUFa</t>
  </si>
  <si>
    <t>RT @THEHermanCain: Frank Luntz: Michigan's working class voters turning out in greater numbers than expected... https://t.co/QepSCRwDz0 htt…</t>
  </si>
  <si>
    <t>RT @PrisonPlanet: Reports out of Ohio at one polling station Trump supporters furious: Votes being flipped to Clinton, police called, allow…</t>
  </si>
  <si>
    <t>RT @latimes: #Breaking: Police are responding to a report of a shooting w/ multiple people injured in Azusa. Firefighters treating 4 patien…</t>
  </si>
  <si>
    <t>RT @pzf: BREAKING NEWS: Polling Station in Azusa, California on lockdown after shots fired nearby. Suspect at large.
Stay with @pzf for th…</t>
  </si>
  <si>
    <t>RT @nationdivided: Breaking news: Broward County Florida a democratic stronghold Republican turnout up 6% Democrat turnout down 6% that's a…</t>
  </si>
  <si>
    <t>RT @jerome_corsi: Honest FBI agents objecting FORCED into EARLY RETIREMENT - WEINER 650k emails include CLINTON SEX-BLACKMAIL EVIDENCE on M…</t>
  </si>
  <si>
    <t>RT @washingtonpost: WikiLeaks founder Assange says "the real victor is the US public" https://t.co/TifVRSEAtm</t>
  </si>
  <si>
    <t>RT @realDonaldTrump: Just out according to @CNN: "Utah officials report voting machine problems across entire country"</t>
  </si>
  <si>
    <t>RT @mitchellvii: Folks, remember, the media love to spin their most left-leaning, misleading exit polls first.  Stay positive, go vote!</t>
  </si>
  <si>
    <t>RT @GovMikeHuckabee: State Dept says it takes 5 yrs to review 31,000 Hillary emails. Let Comey do it!  He can review 650,000 in 1 week!  ht…</t>
  </si>
  <si>
    <t>RT @jimmysllama: Clinton refused to meet with Lt. Gen. Sean MacFarland who was in charge of the U.S. fight against ISIS.  #PodestaEmails35…</t>
  </si>
  <si>
    <t>RT @kerpen: Don't discount this report; @rpollockDC, formerly of the Examiner, is a great, well-sourced investigative reporter. https://t.c…</t>
  </si>
  <si>
    <t>RT @JamesOKeefeIII: Our reporter following up on tip is as harassing as @ryanjreilly traipsing around Philly taking pics of voters. You jou…</t>
  </si>
  <si>
    <t>RT @PVeritas_Action: NEW VIDEO: Reverends in Gary, IN: We “Tell Them Who to Vote For”#VOTERFRAUD “We’ve got people to get on school buses"h…</t>
  </si>
  <si>
    <t>RT @JamesOKeefeIII: NEW VIDEO: Reverends in Gary, IN: We “Tell Them Who to Vote For”#VOTERFRAUD “We’ve got people to get on school buses"ht…</t>
  </si>
  <si>
    <t>RT @NobamaDotCom: The MSM has only released 1 of its topical exit polls. Usually many by 12N.
@rushlimbaugh suggested the MSM might not li…</t>
  </si>
  <si>
    <t>RT @mitchellvii: First Exit Poll: Twice as Many Voters in 2016 Want 'Strong Leader' as President - Breitbart https://t.co/HErRC49i3h</t>
  </si>
  <si>
    <t>RT @mitchellvii: .@NateSilver538: "The polls may have been wrong this year."
Shocking.</t>
  </si>
  <si>
    <t>RT @Mferris67: Palmyra PA double check your vote!!Machines SWITCHING VOTES TO Hillary!! Poll worker said they've had others also saying thi…</t>
  </si>
  <si>
    <t>RT @NicholasCain67: Exit polling in Naples, FL
https://t.co/jm3yviA7HA https://t.co/sZB6UZi8Wv</t>
  </si>
  <si>
    <t>RT @wikileaks: NYTimes pushes out its 2 month old WikiLeaks conspiracy during the middle of voting https://t.co/3aMVPfp5uf
Reply:
https://…</t>
  </si>
  <si>
    <t>RT @alaskantexanQCT: 60+ Black Democrats for Trump we've gotten to the polls in our two vans. And we just getting started fam! #DemocratsFo…</t>
  </si>
  <si>
    <t>RT @SarahHuckabee: All signs pointing to a BIG night for @realDonaldTrump -&amp;gt; #MAGA https://t.co/DU4ueoI53t</t>
  </si>
  <si>
    <t>RT @WordSmithGuy: If Trump pulls this off, it will send shockwaves through the halls of the establishment in both parties. I can't wait. #T…</t>
  </si>
  <si>
    <t>RT @Harlan: Not a drill, this is for keeps. 
Go vote NOW.
#ElectionDay https://t.co/jnTsodM3Yv</t>
  </si>
  <si>
    <t>RT @FrankLuntz: BREAKING: Watch Michigan.
Working-class turnout is looking much higher than expected. Trump may actually have a chance.  #…</t>
  </si>
  <si>
    <t>RT @gatewaypundit: WOW! HILLARY SUPPORT CRASHES IN REUTERS LIKELY TURNOUT POLL=&amp;gt; Down 8 Pts. in 4 Days to 36% https://t.co/FLHGVvcYUj @Cern…</t>
  </si>
  <si>
    <t>RT @StatesPoll: My Prediction of #Election2016 11/07/2016.(Final)
by https://t.co/zQa5eKZH23
I gonna update the details soon 
#TrumpTrain #…</t>
  </si>
  <si>
    <t>RT @kenvogel: .@HillaryClinton's fundraising team had a "transactional focus," @johnpodesta's asst. complains in @wikileaks email. https://…</t>
  </si>
  <si>
    <t>RT @LifeZette: WikiLeaks: Clinton advisers couldn't follow her shifting position on trade https://t.co/u8uUbxzi86</t>
  </si>
  <si>
    <t>RT @PhillyGOP: "My name is Brittany Foreman... and today I witnessed Voter Fraud." #VoterFraud ILLEGAL. Please SHARE https://t.co/5Plk8FszuT</t>
  </si>
  <si>
    <t>RT @realDonaldTrump: We need your vote. Go to the POLLS! Let's continue this MOVEMENT! Find your poll location: https://t.co/VMUdvi1tx1 #El…</t>
  </si>
  <si>
    <t>RT @wikileaks: La Repubblica | WikiLeaks, per Hillary conta piu' papa Francesco che Renzi - https://t.co/VaGrGnclLe #PodestaEmails https://…</t>
  </si>
  <si>
    <t>RT @KamVTV: .@JackPosobiec LIVE on #Periscope Minority Inspector Reports Voter Fraud in West Philly #ElectionDay #DemocratFraud https://t.c…</t>
  </si>
  <si>
    <t>Just voted for President Trump! One first-time voter (in her 50s) said she never had a reason to vote before and was voting Trump too.
#MAGA</t>
  </si>
  <si>
    <t>RT @JamesOKeefeIII: In Philadelphia tailing a pastor's bus that's bussing people to the polls. #VeritasIsEverywhere &amp;amp; we will catch your #V…</t>
  </si>
  <si>
    <t>RT @AmericanMex067: There is a lot of evidence that this may be true. Will we ever see the smoking gun? 
Via: @Amir_Hali
#ElectionDay
#Pode…</t>
  </si>
  <si>
    <t>RT @Nigel_Farage: Is this Brexit day in the US? I hope so.</t>
  </si>
  <si>
    <t>RT @JackPosobiec: LIVE on #Periscope: Voter Fraud Report in Philly! We are En Route https://t.co/52RhnSLiCp</t>
  </si>
  <si>
    <t>RT @conservatism___: #PodestaEmails35 well maybe the polls are rigged. https://t.co/RPX1kjtJ0R</t>
  </si>
  <si>
    <t>RT @Emperipolisis: #PodestaEmails35
https://t.co/EuY8YBdo7I
Podesta Group hired as public relations and other services for roal Saudis. htt…</t>
  </si>
  <si>
    <t>RT @Rambobiggs: Haha. I was joking yesterdsy....but this, Poll: 68 percent of Saudis prefer Hillary Clinton https://t.co/w6kQ22EoVT</t>
  </si>
  <si>
    <t>RT @Stonewall_77: If This Isn't Torture, What is?
THIS is what Hillary Clinton explicitly defended at the third presidential debate.
😡​😡​😡​…</t>
  </si>
  <si>
    <t>RT @wikileaks: WikiLeaks editor Julian Assange's statement today on the US election https://t.co/Q6KEChqm1B https://t.co/ZdZlolZJMl</t>
  </si>
  <si>
    <t>RT @mitchellvii: God likes long odds, have you noticed?</t>
  </si>
  <si>
    <t>RT @mitchellvii: Gabriel: "Lord, why do you always seem to pick the underdog?"
God: "No one thanks me when the favorite wins..."</t>
  </si>
  <si>
    <t>RT @mitchellvii: In ABC Poll's own words, "Hillary is winning deep blue states bigger than Trump is winning deep red, but Trump is winning…</t>
  </si>
  <si>
    <t>RT @mitchellvii: Don't forget.  The last time America voted, Republicans kicked the Democrats butts.</t>
  </si>
  <si>
    <t>RT @mitchellvii: Isn't it weird how these machine calibration errors always seem to favor Democrats.  No matter.  Double and triple check y…</t>
  </si>
  <si>
    <t>RT @PrisonPlanet: #SpiritCooking turned out to be more damaging to Clinton than Comey's bluff. https://t.co/m4juc4F2dR</t>
  </si>
  <si>
    <t>RT @DBloom451: More "Blue Pill" for ya. Democratic insider Brent Budowsky on the "fixed game" in DC. It's ALL RIGGED! #VoteTrump https://t.…</t>
  </si>
  <si>
    <t>RT @wikileaks: @desantis We have been under unrelenting DDoS attacks over the last 24h</t>
  </si>
  <si>
    <t>RT @itsbillertime1: .@BillHemmer Just found this in #PodestaEmails35
Chuck Todd hosts party for HRC's Dir. of Communications.
https://t.co/…</t>
  </si>
  <si>
    <t>RT @RepStevenSmith: The Clinton Foundation was BUYING A YACHT? #ElectionDay https://t.co/bQjvqRb2h2</t>
  </si>
  <si>
    <t>RT @mitchellvii: IBD, the most accurate pollster overall the last 3 cycles just picked TRUMP to win the election.</t>
  </si>
  <si>
    <t>RT @TweetingYarnie: Stay safe and keep releasing! You are heroes of the people and they are trying to stop the flow of truth! #Election2016…</t>
  </si>
  <si>
    <t>RT @BadassTexCowboy: #PodestaEmails35
Still wonder how close #GeorgeSoros is to the @hillaryclinton campaign? ask @johnpodesta https://t.co…</t>
  </si>
  <si>
    <t>RT @cherokeemojo: When I think of the millions struggling to make ends meet Working min wage jobs unemployed homeless👇This enrages me! #Pod…</t>
  </si>
  <si>
    <t>RT @ElectionLawCtr: Leaked #Soros docs reveal expansive $$$ to Manipulate Federal Elections. Hundreds of Million$. Tentacles everywhere. ht…</t>
  </si>
  <si>
    <t>RT @DineshDSouza: Whatever @RealDonaldTrump's failings, they're private failings. Hillary's failings are against the public trust and the p…</t>
  </si>
  <si>
    <t>RT @DrJohn76533054: I have a dream, that tomorrow we will never have to hear from Hillary again. Except in court. It can Happen. https://t.…</t>
  </si>
  <si>
    <t>RT @DailyCaller: The 44 Most Damning Stories From WikiLeaks https://t.co/FkQXYfv2Pr #WikiLeaks #PodestaEmails #DNCLeaks2 https://t.co/zNEHa…</t>
  </si>
  <si>
    <t>RT @wikileaks: Bill Clinton in private speech: UK's Jeremy Corbyn is a "guy off the street... the maddest person in the room" https://t.co/…</t>
  </si>
  <si>
    <t>RT @wikileaks: Clinton: out of touch, cronyistic, didn't drive a car in 35 years, flew all over the world but accomplished nothing https://…</t>
  </si>
  <si>
    <t>RT @ActualidadRT: "Hillary Clinton fue la figura clave en la destrucción del Estado de Libia", subraya Assange en entrevista EXCLUSIVA http…</t>
  </si>
  <si>
    <t>RT @dcexaminer: WikiLeaks reveals more reporter collusion with the Clinton campaign https://t.co/Qg9fzv0yyn https://t.co/ToXTcWLvlX</t>
  </si>
  <si>
    <t>RT @jaraparilla: Take a look at all the corporate media today spreading lies about @wikileaks &amp;amp; #assange. Remember them. Never trust them a…</t>
  </si>
  <si>
    <t>RT @LatestAnonNews: Hillary Clinton and her campaign met with @prioritiesUSA, which is against the law. #PodestaEmails34 https://t.co/B1Zfg…</t>
  </si>
  <si>
    <t>RT @wikileaks: RELEASE: The Podesta Emails Part 35 #PodestaEmails #PodestaEmails35 #HillaryClinton #imWithHer https://t.co/wzxeh7hZLU https…</t>
  </si>
  <si>
    <t>RT @LatestAnonNews: "I know how the fix was because I helped fix games under some of the best" #PodestaEmails34 https://t.co/EFSa5oACNm htt…</t>
  </si>
  <si>
    <t>RT @Pageantry2: Who wants an unstable, imbalanced, evil, alcoholic nut job for President? Here's 2 tapes. See for yourself. One taken by th…</t>
  </si>
  <si>
    <t>RT @BlueTurf1986: @hectormorenco Clinton is now leading in the polls in key battleground states such as Saudia Arabia, Qatar, Iran, Yemen a…</t>
  </si>
  <si>
    <t>RT @EricGreitens: Thanks, @realDonaldTrump! Koster is a crooked career politician just like Hillary Clinton. He's even endorsed by Presiden…</t>
  </si>
  <si>
    <t>RT @FBIRecordsVault: Protests in Baltimore, Maryland, 2015: Documents and video related to protests in Baltimore, Maryland, beginning ... h…</t>
  </si>
  <si>
    <t>RT @Morty_Fied: Seizure alert! Sick Hillary doesn't quite have her sea legs as seen here in #Philadelphia. @Cernovich @JackPosobiec https:/…</t>
  </si>
  <si>
    <t>RT @TweetingYarnie: Wikileaks: CNN Exec’s Husband Gave Podesta Inside Information #PodestaEmails34 https://t.co/u1JJjOjlEZ</t>
  </si>
  <si>
    <t>RT @DailyCaller: Pennsylvania Dems Lose In Court Over Trump Poll Watchers https://t.co/tw9AlgzjTU https://t.co/47Hl44S59O</t>
  </si>
  <si>
    <t>RT @wikileaks: Constructing the Obama cabinet: full Briefing Book via Citibank (see attachments) https://t.co/hcf80IZaLX
Context: https://…</t>
  </si>
  <si>
    <t>RT @mitchellvii: I didn't know that many people lived in NH. https://t.co/8xtPpAjwMU</t>
  </si>
  <si>
    <t>RT @StevePieczenik: bottom line: most citizens want change! they want #TrumpWinsBecause #TrumpPence16 BUT the opponents r ruthless, plz vot…</t>
  </si>
  <si>
    <t>RT @StevePieczenik: whole lotta cheatin' goin on! https://t.co/lNOcaSS3Ye #RiggedSystem #riggedelection read this @TrumpLouisiana @LouDobbs…</t>
  </si>
  <si>
    <t>RT @asamjulian: #ImVotingBecause Trump is a true outsider to the corrupt establishment and all the right people hate him.</t>
  </si>
  <si>
    <t>RT @OPSummerOfChaos: Uhm...no comment 😂
#PodestaEmails33
Url:  https://t.co/ijpQXm89KQ https://t.co/ECwlFLLuDB</t>
  </si>
  <si>
    <t>RT @mitchellvii: Hillary is #spiritcooking tomorrow night.  She is serving goose.</t>
  </si>
  <si>
    <t>RT @LouDobbs: Does today's FBI decision prove:
A) Clinton followed the rules &amp;amp; the law.
B) The leaders of the Justice Department and the FB…</t>
  </si>
  <si>
    <t>RT @LouDobbs: Trump’s momentum strong – he now has 6 ways to get to 270 Electoral Votes. Trump's @JasonMillerinDC joins #FoxLDT 7p #MAGA #T…</t>
  </si>
  <si>
    <t>RT @DrJohn76533054: Missouri, you have the chance to save this country. Vote @realDonaldTrump 🇺🇸🇺🇸 https://t.co/wAyeN2dj6W</t>
  </si>
  <si>
    <t>RT @DrJohn76533054: Ouch, yeah😎🇺🇸 https://t.co/vPBDqRVbBe</t>
  </si>
  <si>
    <t>RT @USAneedsTRUMP: BREAKING 
The DNC strategy on colluding with the media &amp;amp; it doesnt get any more blatant than this, MEDIA CANT BE TRUSTED…</t>
  </si>
  <si>
    <t>RT @_Makada_: BREAKING BOMBSHELL: Multiple Reports Tie Clinton’s Podesta Brothers to Child Abduction Case of Madeline McCann
https://t.co/…</t>
  </si>
  <si>
    <t>RT @PpollingNumbers: #Michigan
@trfgrp Poll (11/6):
Trump 49% (+2)
Clinton 47%
Johnson 3%
Stein 1%
https://t.co/3lZNqPAHZW</t>
  </si>
  <si>
    <t>RT @SarahHuckabee: Why Hillary is in Michigan-&amp;gt;
https://t.co/ZDx6U44bSn</t>
  </si>
  <si>
    <t>RT @wikileaks: Nominee intelligence briefing content controlled by Obama; oppo research for Manafort (attachment) #PodestaEmails https://t.…</t>
  </si>
  <si>
    <t>RT @TeamGreitens: LISTEN to the ad Chris Koster won't play in rural Missouri: https://t.co/GQAmorKZuR</t>
  </si>
  <si>
    <t>@realDonaldTrump @Koster4Missouri @EricGreitens 
Voting for both tomorrow! Great day to be in MO to vote for outsiders to #DraintheSwamp</t>
  </si>
  <si>
    <t>RT @realDonaldTrump: Hey Missouri let's defeat Crooked Hillary &amp;amp; @koster4missouri! Koster supports Obamacare &amp;amp; amnesty! Vote outsider Navy…</t>
  </si>
  <si>
    <t>RT @latinaafortrump: #TrumpWinsBecause 43.1M Americans are living in poverty&amp;amp; 42.2M are food insecure. We need real change. Vote Trump!🇺🇸…</t>
  </si>
  <si>
    <t>RT @_donaldson: Boom. Goes. The. Dynamite.
Robby Mook just became the FBI's best witness against #Hilary
#PodestaEmails32
https://t.co/rcGl…</t>
  </si>
  <si>
    <t>RT @KarenDoe50: Paul Ryan’s final warning to voters: Obamacare won’t be repealed if Clinton wins - https://t.co/4oGWfvJEg8 - #ElectionFinal…</t>
  </si>
  <si>
    <t>RT @realDonaldTrump: 'Why Trump' https://t.co/RpwIYB7aOV</t>
  </si>
  <si>
    <t>RT @wikileaks: Democratic insider &amp;amp; Hill columnist Brent Budowsky on the "fixed game" in DC https://t.co/JY5DVrGke8 https://t.co/ujpx2MQa5Q</t>
  </si>
  <si>
    <t>RT @mitchellvii: Yet another top polling analyst agreeing with my projection.  A BIG day for Trump and a surprisingly strong win! https://t…</t>
  </si>
  <si>
    <t>RT @wikileaks: Clinton (out of government) asked Podesta (who was in government) to disclose Libya attack intelligence over email https://t…</t>
  </si>
  <si>
    <t>RT @RealJamesWoods: Clinton aide says Foundation paid for Chelsea’s wedding, WikiLeaks emails show / Well, the #Clintons were "broke." http…</t>
  </si>
  <si>
    <t>RT @TallahForTrump: #DNCLeak2 @jmpalmieri WOW!! DNC DISCUSSING THEIR FAKED GROPING CHARGES AGAINST @realDonaldTrump !! DNC IS SCUM!! https:…</t>
  </si>
  <si>
    <t>RT @PrisonPlanet: #dncleaks2 #PodestaEmails33 https://t.co/MZzHsq37oR</t>
  </si>
  <si>
    <t>RT @wikileaks: Trump debate moderator, CNBC's John Harwood, colluded with Clinton campaign on questions for interview https://t.co/Lr1lZvvN…</t>
  </si>
  <si>
    <t>RT @cdixon25: Fox News just announced they've changed their scoreboard: North Carolina goes from Leaning D to Toss Up #Election2016 #Electi…</t>
  </si>
  <si>
    <t>RT @FoxBusiness: #Clinton aide says @ClintonFdn  paid for Chelsea’s wedding, @WikiLeaks emails show. https://t.co/a6ddJODzaA https://t.co/l…</t>
  </si>
  <si>
    <t>RT @madisoniszler: "Hillary Clinton, you're fired baby," say Diamond and Silk. "Don't collect $200, go straight to jail."</t>
  </si>
  <si>
    <t>RT @Darren32895836: Early Colorado voting looking Great for Donald Trump : Republicans overtake Democrats; 1.85 million votes cast | 
https…</t>
  </si>
  <si>
    <t>RT @thehill: "Campaign collusion: Is CNBC’s John Harwood too close to the Clinton operation?" https://t.co/KZRvY8mhRM https://t.co/7uOxD2Vu…</t>
  </si>
  <si>
    <t>RT @grindingdude: Unequivocally top secret information shared with unauthorized citizens. That's #treason folks!  #PodestaEmails33 Did #Ira…</t>
  </si>
  <si>
    <t>RT @wikileaks: Julian Assange discusses the ongoing attempt to arrest him https://t.co/cbwLvObpbt
More: https://t.co/Mb6gXlz7QS</t>
  </si>
  <si>
    <t>RT @mitchellvii: ABC: "Trump receives 51 percent to 41 percent for Clinton in Colorado, Florida, Nevada, New Hampshire, North Carolina and…</t>
  </si>
  <si>
    <t>RT @newtgingrich: State Dept wants 5 years to review emails, Comey did it in eight days. Something is fishy.Comey met election need not nat…</t>
  </si>
  <si>
    <t>@BigBadJohn1776 @newtgingrich  Definitely - he is finished now anyway.</t>
  </si>
  <si>
    <t>RT @grindingdude: BREAKING: TRUMP ATTACKER and Hillary Supporter – Has HIS DEAD GRANDMA VOTING at His Reno Address 6 times by mail https://…</t>
  </si>
  <si>
    <t>RT @wikileaks: Arianna Huffington, co-founder of Huffinton Post, prefers covert influence #PodestaEmails
 https://t.co/zn0NhFxBwA https://t…</t>
  </si>
  <si>
    <t>RT @carolramsey: OH YEAH ANOTHER MEDIA SELL OUT, HOW MUCH DID YOUR STATION GIVE YOU TO HOODWINK HONEST AMERICANS? WE WILL NEVER LET HER GET…</t>
  </si>
  <si>
    <t>RT @newtgingrich: The destruction of James Comey by political pressure is painful to watch. He is being twisted into an indefensible pretze…</t>
  </si>
  <si>
    <t>RT @PolToons: Polls #MediaLiesMatter #CrookedHillary #DontGetFooledAgain #VoteGOP https://t.co/yU1ilmrYPJ https://t.co/ljUALUxXqR</t>
  </si>
  <si>
    <t>RT @PolToons: Hillary's Basket Case @afbranco  #NeverHillary #HillaryLiedPeopleDied #RememberBenghazi #VoteGOP https://t.co/wT5ariF2Wk http…</t>
  </si>
  <si>
    <t>RT @crockettjohnson: I was angry when I heard the FBI concluded the investigation in 8 days then I realized this shows how corrupt the syst…</t>
  </si>
  <si>
    <t>RT @PolToons: MSM Fails Again #MediaLiesMatter @TurnOffMSM #JustSayNo #CrookedHillary #DontGetFooledAgain #VoteGOP https://t.co/1hwOjthlCO</t>
  </si>
  <si>
    <t>RT @RobertJohnDavi: MUST READ   https://t.co/vsSDYoDWuy   YOU MUST VOTE #TrumpPence16 @realDonaldTrump SAVE THE REPUBLIC SPREAD TILL IT HUR…</t>
  </si>
  <si>
    <t>RT @carolmswain: Yes,  he did. Read the exchange carefully. The POTUS just gave a green light to voter fraud. #Hillary #immigration https:/…</t>
  </si>
  <si>
    <t>RT @TeamTrump: Dems getting nervous over Michigan: 'There is a crack in the blue wall, and it has to do with trade'
https://t.co/Pze3oS1jT9</t>
  </si>
  <si>
    <t>RT @AmyMek: Wikileaks new emails shows DNC staffers prepared @jaketapper for interviews with Trump
Does @jaketapper care to Comment? 
#po…</t>
  </si>
  <si>
    <t>RT @PrisonPlanet: https://t.co/eQpHwVa2IM</t>
  </si>
  <si>
    <t>RT @LindaSuhler: If you're voting for Hillary because she's a woman, be aware she pays women a lot LESS than men.
Trump pays us MORE.
#Elec…</t>
  </si>
  <si>
    <t>RT @DRUDGE_REPORT: Jill Stein: Hillary Presidency 'Mushroom Cloud Waiting to Happen'...</t>
  </si>
  <si>
    <t>RT @FiveRights: Obama:
If you're here illegally bc I deliberately didn't do my job, tomorrow is day you must pay me back by voting for my c…</t>
  </si>
  <si>
    <t>RT @RTFlores: Bombshell : Multiple Reports Tie Clinton’s Podesta Brothers to Child Abduction Case of #MadelineMcCann https://t.co/GaUjBx15rK</t>
  </si>
  <si>
    <t>RT @SpecialKMB1969: Sunday Talks – Apoplectic Media Becomes Unhinged in Final Days of Election 2016
Urge u all 2READ all of this #MAGA ⬇
ht…</t>
  </si>
  <si>
    <t>RT @TheDonaldNews: Seriously smoking evidence! Clinton Foundation is run like their personal piggy bank! #Hannity #Foxnews https://t.co/K5v…</t>
  </si>
  <si>
    <t>RT @TweetingYarnie: #ElectionFinalThoughts: Hillary Clinton admits election fraud &amp;amp; abuse happens &amp;amp; @FEC is powerless. #PodestaEmails33 htt…</t>
  </si>
  <si>
    <t>RT @THEHermanCain: #2016electionin3words - Trump the corruption</t>
  </si>
  <si>
    <t>RT @GenFlynn: It took 1 year to review 60K and 8 days to review 650K? Smart machines or not, something does not jive. Thoughts?</t>
  </si>
  <si>
    <t>RT @ggreenwald: What a warped, deceitful mentality this is: if you see anything that reflects negatively on us, just ignore and tell yourse…</t>
  </si>
  <si>
    <t>RT @PVeritas_Action: Do @HumaAbedin and @HillaryClinton love Syrian refugees for their illegal votes or something far more nefarious? https…</t>
  </si>
  <si>
    <t>RT @wikileaks: Chelsea Clinton's husband used Clinton Foundation poker games to boost his hedge fund according internal allegation https://…</t>
  </si>
  <si>
    <t>RT @kenvogel: "The entire plan of @ChelseaClinton's hubby has been to use @ClintonFdn event for his business,”per @wikileaks email https://…</t>
  </si>
  <si>
    <t>RT @wikileaks: DNC prepared questions for the Wolf Blitzers' CNN interview of Donald Trump https://t.co/iIxWBly6LB https://t.co/6fMJZiBrbY</t>
  </si>
  <si>
    <t>RT @dcexaminer: WikiLeaks: DNC and CNN colluded on questions for Trump and Cruz https://t.co/ZIDX30pJYX https://t.co/P0wVtSzYNM</t>
  </si>
  <si>
    <t>RT @PVeritas_Action: Even former Dem Senator @russfeingold says that @HillaryClinton will use executive orders to circumvent the #2A https:…</t>
  </si>
  <si>
    <t>RT @DrJohn76533054: All slime. https://t.co/8NlMjpkoYk</t>
  </si>
  <si>
    <t>RT @PVeritas_Action: On VERY FIRST day of @HillaryClinton campaign, we caught top directors breaking the law https://t.co/lkDUcUt7G3 #Forei…</t>
  </si>
  <si>
    <t>RT @JackPosobiec: Rob O'Neill: "98% of US Special Forces are voting for Trump"</t>
  </si>
  <si>
    <t>RT @mitchellvii: ABC just predicted a Trump LANDSLIDE of 700,000 votes in FL.</t>
  </si>
  <si>
    <t>RT @BrittPettibone: So does this suggest a coverup of the nature of Vince Foster's and Ron Brown's deaths?
#DNCLeak2
https://t.co/FVetOaPU2…</t>
  </si>
  <si>
    <t>RT @asamjulian: Jill Stein Agrees with Trump: Hillary Clinton Presidency Means Nuclear War, a ‘Mushroom Cloud Waiting to Happen’ https://t.…</t>
  </si>
  <si>
    <t>RT @LivNow: FBI Director Received Millions From Clinton Foundation- His Brother’s Law Firm Does Clinton’s Taxes https://t.co/yLWDZ1kzbU
@re…</t>
  </si>
  <si>
    <t>RT @mitchellvii: Rasmussen says Trump leads by 9 among the 88% who have made up their minds, yet gives HRC 2 point lead in poll.  Make no s…</t>
  </si>
  <si>
    <t>RT @wikileaks: RELEASE: All #PodestaEmails until yesterday in MBOX and Maildir formats. You can import into Mac Mail or Outlook https://t.c…</t>
  </si>
  <si>
    <t>RT @mtracey: Notice what this message is not: "Get out and vote for Hillary, an inspiring and wonderful candidate who will institute good p…</t>
  </si>
  <si>
    <t>RT @DineshDSouza: A repulsive--but accurate--picture https://t.co/ECJwuEUK49</t>
  </si>
  <si>
    <t>RT @mitchellvii: Get ready for the full court press of media/pollster lies the next 2 days.  This is their last chance to discourage you.…</t>
  </si>
  <si>
    <t>RT @TheDCPolitics: WikiLeaks Show Washington Post Writer Asked DNC For Anti-Trump Research https://t.co/4gdtyyCiOH https://t.co/ffAGjqHP1Y</t>
  </si>
  <si>
    <t>RT @EmmaVigeland: CONFIRMED-- @HillaryClinton and her campaign met with Super PAC @prioritiesUSA, which is against the law. Jeez. #PodestaE…</t>
  </si>
  <si>
    <t>RT @realDonaldTrump: ‘Must Act Immediately’: Clinton Charity Lawyer Told Execs They Were Breaking The Law
https://t.co/hsi4qhqTV1</t>
  </si>
  <si>
    <t>RT @wikileaks: RELEASE: The Podesta Emails Part 33 #PodestaEmails #PodestaEmails33 #HillaryClinton #imWithHer https://t.co/wzxeh70oUm https…</t>
  </si>
  <si>
    <t>RT @GovMikeHuckabee: FBI, DOJ and the media all refuse to do their duty to save the rule of law. It’s now up to the last line of defense. V…</t>
  </si>
  <si>
    <t>RT @wikileaks: Sweden, for no stated reason, has released yet another statement about Assange, with no new news in it. Background: https://…</t>
  </si>
  <si>
    <t>RT @LeahR77: Here's President Obama On Video Telling Illegals To Vote In Our election With Impunity #DNCLeaks2 #DrainTheSwamp #TrumpPence16…</t>
  </si>
  <si>
    <t>RT @mtracey: Have now heard from at least six former Sanders delegates -- state and national -- who are voting for Trump or have already do…</t>
  </si>
  <si>
    <t>RT @Buppy9999: @WDFx2EU8 @FBI look at what @wikileaks had to say about this "investigation" https://t.co/Vg0oQ6BnLv</t>
  </si>
  <si>
    <t>RT @BrittPettibone: Thank you once again, FBI Director Comey, for letting America know that, no matter how corrupt you are, money and power…</t>
  </si>
  <si>
    <t>RT @NicolePettibone: So does this mean the DNC was really working with Bob Creamer all along?
#DNCLeak2
https://t.co/s6YBr9XCpu
https://t.…</t>
  </si>
  <si>
    <t>RT @joe012594: DNC planned the false sexual harassment charges against @realDonaldTrump. #DNCLeak2 
https://t.co/H0d2XVDZgA https://t.co/V…</t>
  </si>
  <si>
    <t>RT @SebGorka: PLEASE Retweet, download, forward!
@realDonaldTrump @GenFlynn @jaredkushner @EricTrump @LaraLeaTrump @DonaldJTrumpJr https:/…</t>
  </si>
  <si>
    <t>RT @wikileaks: @GenFlynn 2/ At 3 min per email thats 504 officers for 8 days, not including all support and management. So you need around…</t>
  </si>
  <si>
    <t>RT @wikileaks: @GenFlynn 3/ To development the workflow and resources for 1000 officers takes many days. Eight is implausible.</t>
  </si>
  <si>
    <t>RT @wikileaks: It’s ignorant to vote for Hillary Clinton without reading WikiLeaks 
https://t.co/Tiywc9Nrgr https://t.co/c0QaJW4hCi</t>
  </si>
  <si>
    <t>RT @GenFlynn: This is Y I support @realDonaldTrump - VA Gov Pardons 60K Felons, Enough To Swing Election (CRAZY!) https://t.co/Pi6ITjrGh3 v…</t>
  </si>
  <si>
    <t>RT @wikileaks: RELEASE: 8263 new emails from the DNC #DNCLeak2 #feelthebern #imwithher #demexit
https://t.co/ftwH5t57lj https://t.co/EljYHE…</t>
  </si>
  <si>
    <t>RT @BrittPettibone: Here are the actual questions for Trump submitted to CNN.
CNN colluding with the DNC? CNN is finished.
#DNCLeak2 
ht…</t>
  </si>
  <si>
    <t>RT @wikileaks: Forbes: Why Historians Must Use Wikileaks To Write The History Of The 2016 Election https://t.co/atWeipaswC</t>
  </si>
  <si>
    <t>RT @LeahR77: Hillary Was Right Those Emails Were About Chelseas Wedding Courtesy👉🏼 Of The Haitians Languishing In Filthy Tent Cities #Podes…</t>
  </si>
  <si>
    <t>RT @kgosztola: Updated with many of revelations from batches of #PodestaEmails published by @wikileaks during past week https://t.co/HfHDOF…</t>
  </si>
  <si>
    <t>RT @DRUDGE_REPORT: AL FRANKEN:  WE'LL INVESTIGATE THE FBI! https://t.co/oYcxEUXeTk</t>
  </si>
  <si>
    <t>RT @WLTaskForce: Friends, please remember that if you see someone claiming that #WikiLeaks has published a fake document - they're lying.
#…</t>
  </si>
  <si>
    <t>RT @PrisonPlanet: Limbaugh and others proven correct - The Comey bluff was just a distraction from Wikileaks. https://t.co/FW51bl2ZaA</t>
  </si>
  <si>
    <t>RT @_Makada_: Clinton Foundation confidential auditor's report shows Foundation engaging in ILLEGAL activity https://t.co/VByNqVS9Dx (see a…</t>
  </si>
  <si>
    <t>RT @RealVinnieJames: @RealVinnieJames IMPORTANT NOTE: Here is the PDF file attached to that email. JACKPOT folks. Jackpot. -VJ
https://t.co…</t>
  </si>
  <si>
    <t>RT @DiamondandSilk: It's becoming evident that the POTUS may be part of the corruption.  Dems can't fool Blacks anymore, now there using il…</t>
  </si>
  <si>
    <t>RT @wikileaks: Chelsea Clinton used Clinton Foundation resources for her wedding -- email from top Bill Clinton aid Doug Band https://t.co/…</t>
  </si>
  <si>
    <t>RT @gatewaypundit: Update: Trump Attacker was ‘Birddogging’ for Hillary, Mentioned in Wikileaks https://t.co/RtFCGahG1J via @gatewaypundit</t>
  </si>
  <si>
    <t>RT @mitchellvii: Trump continues his surge in LATimes poll to 48.2 for 5.6 lead. He also contnues his ascent w/ Latinos to 42.4.  #spiritco…</t>
  </si>
  <si>
    <t>RT @daveleifer: @mitchellvii Trump takes the lead in the newly released IBD poll 44-43
https://t.co/ytnEayQRbH https://t.co/rHeHjQsV0S</t>
  </si>
  <si>
    <t>RT @FiveRights: #PodestaEmails32
Foreign govts donate millions to Clinton Foundation.
Then Hillary uses foundation as her personal checking…</t>
  </si>
  <si>
    <t>RT @wikileaks: RELEASE: The Podesta Emails Part 32 #PodestaEmails #PodestaEmails32 #HillaryClinton #imWithHer https://t.co/wzxeh70oUm https…</t>
  </si>
  <si>
    <t>RT @RealJamesWoods: The ONLY Reason Why Hillary Wasn’t Indicted: OBAMA Also Guilty Of Emailgate Crimes | The Millennium Report https://t.co…</t>
  </si>
  <si>
    <t>RT @wikileaks: Confidential auditor's report states that Clinton Foundation is engaging in illegal conduct (see attachment tab) https://t.c…</t>
  </si>
  <si>
    <t>RT @wikileaks: Deleted Clinton email: Colin Powel warns Hillary Clinton to be "very careful" to not get caught hiding her emails https://t.…</t>
  </si>
  <si>
    <t>RT @wikileaks: Powell told Clinton in 2009 there was a "real danger" she'd be caught &amp;amp; that he used off books system, kept quiet. https://t…</t>
  </si>
  <si>
    <t>RT @sarrask_: @TheLastRefuge2 Name is in spreadsheet, row 55 of left tab -&amp;gt; https://t.co/ooPBRsrZ4M</t>
  </si>
  <si>
    <t>RT @TheLastRefuge2: Austyn Cites paid by Podesta.  @wikileaks https://t.co/ciKqniAIf7</t>
  </si>
  <si>
    <t>RT @wikileaks: Video: Inside the Clinton network of John Podesta -- best summary by far https://t.co/lJtj3A5AR2
More: https://t.co/pjX9tmf…</t>
  </si>
  <si>
    <t>RT @wikileaks: Video: 23 minute special on WikiLeaks' #PodestaEmails from @teleSURtv https://t.co/EmYSyzM8MD</t>
  </si>
  <si>
    <t>RT @JackPosobiec: LA Times reporter fired yesterday after calling for Trump assassination #Reno https://t.co/4dmPq21lTz</t>
  </si>
  <si>
    <t>RT @DonaldJTrumpJr: Convenient that you leave out the fact that the DNC paid people to go to said rallies to incite violence. #mediabias ht…</t>
  </si>
  <si>
    <t>RT @TeamTrump: Is Obamacare really affordable? Not for the middle class #RepealAndReplace
https://t.co/N2R31LnOEf</t>
  </si>
  <si>
    <t>RT @JackPosobiec: Glenn Beck called for the assassination of Trump #Reno https://t.co/aCDxxYJCJS</t>
  </si>
  <si>
    <t>RT @JackPosobiec: Days ago we learned Hillary pays thugs to go into Trump rallies and incite violence #Reno https://t.co/5tV7Jb3Epr</t>
  </si>
  <si>
    <t>RT @BeladonnaRogers: "COURAGE IS GRACE UNDER PRESSURE" wrote Hemingway. What we saw in Reno was exactly that. DJT personified courage, as d…</t>
  </si>
  <si>
    <t>RT @JackPosobiec: Stop Democrat Violence #Reno https://t.co/difSaz4ZWg</t>
  </si>
  <si>
    <t>RT @mitchellvii: Rare Agreement Between NYT, WSJ: 'Clinton Cash' Is a Real Scandal - Breitbart https://t.co/CI9ii2PKYu via @BreitbartNews</t>
  </si>
  <si>
    <t>RT @Darren32895836: BREAKING: The man who allegedly attempted to assassinate Donald Trump in #Reno NV. #DrainTheSwap @HillaryClinton #LockH…</t>
  </si>
  <si>
    <t>RT @AmericanVoterUS: This GREAT MAN is risking HIS life
for MY CHILDREN'S FUTURE!
May God bless you &amp;amp; keep you safe
@realDonaldTrump #Am…</t>
  </si>
  <si>
    <t>RT @wikileaks: Internal legal review concluded that the Clinton Foundation was run "like a political operation". Full document: https://t.c…</t>
  </si>
  <si>
    <t>RT @CiraVO: @WDFx2EU8 @AmericanMex067 @billmaher  Bill Maher instigated murder. He should be arrested.</t>
  </si>
  <si>
    <t>RT @Jacobnbc: Man who caused disturbance at Trump rally being held in bathroom in back of venue. Officers inside with him, and outside on g…</t>
  </si>
  <si>
    <t>RT @VoteTrumpPics: "Nobody said it was going to be easy for us. But we will never be stopped. Never Ever Be Stopped." - @realDonaldTrump
#…</t>
  </si>
  <si>
    <t>RT @TheDonaldNews: CLINTON-FOUL-PLAY? FBI Agent Suspected in Hillary Email Leaks Found Dead-Apparent Murder-Suicide https://t.co/CefrXDMY0i…</t>
  </si>
  <si>
    <t>RT @JackPosobiec: Hillary ran away from rain today. Trump is back on stage minutes after assassination attempt. https://t.co/KjCmdnV5Hb</t>
  </si>
  <si>
    <t>RT @LatestAnonNews: WikeLeaks find shows how the Clintons supported child stealer Laura Silsby https://t.co/lBieIr256q https://t.co/OlHMvRx…</t>
  </si>
  <si>
    <t>RT @HispanicsTrump: Once again the intolerant left doing their nasty thing. Thank God for the Secret Service https://t.co/nzKfGG45mr</t>
  </si>
  <si>
    <t>RT @JackPosobiec: Secret Service Rushes Trump Off Stage in Reno https://t.co/5WkSGsT6st</t>
  </si>
  <si>
    <t>RT @passantino: Trump is back on stage: “No one said this would be easy for us. But we will never ever be stopped.”</t>
  </si>
  <si>
    <t>RT @JudgeJeanine: "This incident in Reno shows @realDonaldTrump's toughness!" - @GenFlynn comments on Trump rally incident</t>
  </si>
  <si>
    <t>RT @donaldpirl: Far too many STILL don't know that #SpiritCooking has exposed the #Dem party as a satanic cult. #PodestaEmails https://t.co…</t>
  </si>
  <si>
    <t>RT @JayS2629: Iowa Poll: Trump opens 7-point lead over Clinton  https://t.co/rWuycYswAf</t>
  </si>
  <si>
    <t>RT @wikileaks: Google DKIM shows that Donna Brazile lied when she stated her debate rigging email was "doctored by Russian sources" https:/…</t>
  </si>
  <si>
    <t>RT @cristinalaila1: The Satan worship-Islam-Pedophilia-Democrat connection, written by yours truly🤓#PodestaEmails31 #SpiritCooking  https:/…</t>
  </si>
  <si>
    <t>RT @johnpilger: Watch the full version of John Pilger's interview with Julian Assange in the Ecuadorian Embassy in London... https://t.co/i…</t>
  </si>
  <si>
    <t>RT @SandraTXAS: #Wikileaks: DoJ Asst Attorney Peter Kadzik a mole for corrupt Hillary #PodestaEmails31 #PodestaEmails26
#ImWithHer not!
Vot…</t>
  </si>
  <si>
    <t>RT @wikileaks: Clinton's charity confirms Qatar's $1 million gift while she was at State Dept (Reuters with more details)
https://t.co/WOtk…</t>
  </si>
  <si>
    <t>RT @LifeZette: WikiLeaks reveals harsh internal review of Clinton Foundation https://t.co/f6VgJCvC0R</t>
  </si>
  <si>
    <t>RT @LatestAnonNews: HRC staff: Hillary shouldn't address the @ClintonFdn accusations.
"There aren't great answers"
#PodestaEmails31 
htt…</t>
  </si>
  <si>
    <t>RT @wikileaks: 623 new emails in our Clinton email search system (30945 total) https://t.co/rjGlc0tZ4a
Also 128 in #PodestaEmails: https:/…</t>
  </si>
  <si>
    <t>RT @YoungDems4Trump: #PodestaEmails31 #SpiritCooking 
John Podesta has stayed in touch with convicted serial child molester, Denny Hastert…</t>
  </si>
  <si>
    <t>RT @phil200269: It's not that Hillary doesn't see the danger in importing Syrian refugee rapists &amp;amp; child molesters:
She's okay with it.
#…</t>
  </si>
  <si>
    <t>RT @DRUDGE_REPORT: TRUMP HAMMERS JAY-Z OVER N-WORDS AND F-BOMBS... https://t.co/tgtu3nJnS3</t>
  </si>
  <si>
    <t>RT @DRUDGE_REPORT: Email Exposes Campaign Paying For Bill's Legal Fees... https://t.co/p16jrBYvMG</t>
  </si>
  <si>
    <t>RT @DRUDGE_REPORT: Leaked Transcript: Bill Clinton Says 'Political System Rigged'... https://t.co/WH1vRAxRwz</t>
  </si>
  <si>
    <t>RT @DickMorrisTweet: Trump Ahead Or Tied For 284 Electoral Votes -- 14 More Than He Needs https://t.co/m5Ul8Xact6
@realDonaldTrump @DRUDGE_…</t>
  </si>
  <si>
    <t>RT @WLTaskForce: JA/1 The task force is great! We are in a media and political tsunami which is now setting the narrative for the post-elec…</t>
  </si>
  <si>
    <t>RT @WLTaskForce: JA/2 I am still isolated due to the internet disconnection. That's why I am counting on you--I cannot  publicly amplify &amp;amp;…</t>
  </si>
  <si>
    <t>RT @WLTaskForce: JA/3 The narratives that are being established now will either let WikiLeaks robustly hold the new administration to accou…</t>
  </si>
  <si>
    <t>RT @WLTaskForce: JA/4 They will permit robust publishers like WikiLeaks to be falsely defined as an element of cyberwar, licensing every po…</t>
  </si>
  <si>
    <t>RT @WLTaskForce: JA/5 This battle for the 1st Amendment is happening now. It will determine the future. Fight for it, win it, but fight you…</t>
  </si>
  <si>
    <t>RT @FoxNews: Voter fraud investigation - California woman sent 87 ballots addressed to others. https://t.co/7nXcflkfbV</t>
  </si>
  <si>
    <t>RT @RonPaulcom: Hillary's crimes are so bad, she is literally running for president in order to stay out of jail. #HillaryIndicment</t>
  </si>
  <si>
    <t>RT @DailyCaller: WIKILEAKS: Here’s How The Clinton’s Free Private Jet Scam Works https://t.co/igIOXIh0Em https://t.co/XzP5cpRFMD</t>
  </si>
  <si>
    <t>RT @LifeZette: WikiLeaks: Even Podesta thinks Clinton's campaign lacks vision https://t.co/rQ3fJVn167</t>
  </si>
  <si>
    <t>RT @wikileaks: Chicago Tribune follows up on our revelation that Rahm Emanuel used custom domain for emails https://t.co/lRKjcuBnYl</t>
  </si>
  <si>
    <t>RT @RealJamesWoods: US election forecasts show Hillary Clinton has LOST lock on 270 electoral college votes | #DroppingLikeAStone https://t…</t>
  </si>
  <si>
    <t>RT @AmyMek: #Wikileaks reveals Hillary's OWN team admitting the Clinton Foundation Corruption SHOULD bring Down Her Candidacy!
#PodestaEma…</t>
  </si>
  <si>
    <t>RT @bfraser747: 💥💥💥 #VoteTrump
Please make sure you VOTE early if possible &amp;amp; to make sure you get to polls November 8th. Our children's li…</t>
  </si>
  <si>
    <t>RT @JamesOKeefeIII: As @benshapiro says, facts don’t care about their feelings. Especially when those facts appear in their beloved @nytime…</t>
  </si>
  <si>
    <t>RT @LatestAnonNews: US State Dept provided Clintons w/ detailed heads up on potential scandals from Judicial Watch suit https://t.co/XVWq0E…</t>
  </si>
  <si>
    <t>RT @stltoday: Missouri's race for governor pits long experience against fresh perspective https://t.co/pzxKdTtVA1</t>
  </si>
  <si>
    <t>RT @PlatteCountyGOP: TFW when the Democrats lie about the Klan endorsing @EricGreitens (hint: the Klan doesn't endorse Jewish candidates) #…</t>
  </si>
  <si>
    <t>RT @EricZahnd: Coming to a location near you: Nine different locations to see next #mogov  @EricGreitens  and other members of statewide ti…</t>
  </si>
  <si>
    <t>RT @EricGreitens: Hillary supports Koster. Koster supports Hillary. A vote for Chris Koster is a vote for Hillary Clinton. https://t.co/vPf…</t>
  </si>
  <si>
    <t>RT @AnnCoulter: Trump is "existential threat" to lobbyists, political consultants, speechwriters, Wall St, the Business Roundtable, militar…</t>
  </si>
  <si>
    <t>RT @THEHermanCain: Reuters latest media dinosaur to admit Trump is gaining https://t.co/UsVIijWEz4 https://t.co/al9PnoMcVf</t>
  </si>
  <si>
    <t>RT @keithkahn: Podesta couldn’t stop laughing about a guy dying in a marathon. #PodestaEmails30 https://t.co/8OP5aCtuKS https://t.co/2mkqij…</t>
  </si>
  <si>
    <t>RT @AnnCoulter: Presidential Pollsters’ Political Contributions: Heavily For Dems  https://t.co/7tQk49gJ3D And the one GOP they give to is…</t>
  </si>
  <si>
    <t>RT @Bullitino: THIS IS A BOMBSHELL Re: @barackObama Herridge: Abedin Told FBI She Notified WH Every Time Clinton Changed Emails https://t.c…</t>
  </si>
  <si>
    <t>RT @mitchellvii: Trump says Hillary needs Beyoncé 'to pack 'em in' as he draws 11,000 in Pennsylvania | Daily Mail Online https://t.co/9iAp…</t>
  </si>
  <si>
    <t>RT @FiveRights: #PodestaEmails31
S Bernad: HRC didn't want to sound like O though she's exactly like O. Globalists=liars who won't call ter…</t>
  </si>
  <si>
    <t>RT @asamjulian: “Christ the king mixed with a little terrorism” says Podesta about the catholic church? 🤔 #PodestaEmails31 https://t.co/8Vm…</t>
  </si>
  <si>
    <t>RT @FiveRights: #PodestaEmails31
Translation: "We'd like to toughen the bribery laws but Hillary Clinton would be the very first person to…</t>
  </si>
  <si>
    <t>RT @johnfund: McClatchy-Marist Poll.
“83% of voters believe Clinton did something wrong – 51% saying it was illegal and 32% saying somethin…</t>
  </si>
  <si>
    <t>RT @charliekirk11: Imagine a president going into a diplomatic negotiation and the 1st thing the other country says is "You owe us" 
#Clin…</t>
  </si>
  <si>
    <t>RT @deptofinfamy: #PodestaEmails31 @law_newz
"Contract negotiations" between Emily's List PAC and Hillary Campaign
https://t.co/q2kNaU4ts…</t>
  </si>
  <si>
    <t>RT @TwitchyTeam: DEVASTATING Obamacare: Sharyl Attkisson posts photo of WHOPPING premium increase letter https://t.co/zYeAQXChAH</t>
  </si>
  <si>
    <t>RT @mtracey: Speaking of Obama's "legacy," one of his gravest failures was appointing HRC secretary of state</t>
  </si>
  <si>
    <t>RT @wikileaks: State Dept says Clinton hid US$1m 'gift' from Qatar (at the time Qatar was funding ISIS) https://t.co/58cxZAcQor</t>
  </si>
  <si>
    <t>RT @DonaldJTrumpJr: BOMBSHELL: Hacked Hillary Emails Reveal She Knowingly Delayed Benghazi Rescue https://t.co/jDOEwJGnTG via gatewaypundit</t>
  </si>
  <si>
    <t>RT @FoxNews: .@ClintonFdn foreign donations. https://t.co/DKQCOqWLTt</t>
  </si>
  <si>
    <t>RT @TweetingYarnie: Palmieri: When Clinton  was SOS that donors may have given to foundation with "bad intentions". #PodestaEmails31 https:…</t>
  </si>
  <si>
    <t>RT @JackPosobiec: LA Times was most accurate poll in 2012 and 2008. 
Trump 48 Clinton 42 https://t.co/v2dXPUgwC0</t>
  </si>
  <si>
    <t>RT @mtracey: If this is the best you've got at this late juncture, you are losing the argument https://t.co/rOeEmR73RQ</t>
  </si>
  <si>
    <t>RT @KevJames91: @wikileaks A fraud drops suit AGAIN. MSM, HC, Estab. have been lying to us about DJT for over a year now #MAGA https://t.co…</t>
  </si>
  <si>
    <t>RT @wikileaks: RELEASE: The Podesta Emails Part 31 #PodestaEmails #PodestaEmails31 #HillaryClinton #imWithHer https://t.co/wzxeh70oUm https…</t>
  </si>
  <si>
    <t>RT @wikileaks: Poll: Majority of voters now think Clinton acted illegally https://t.co/uqcpnQPM9b
More: https://t.co/pjX9tmfINt</t>
  </si>
  <si>
    <t>RT @htTweets: .@wikileaks impact: Clinton Foundation accepts it received $1mn-gift from Qatar https://t.co/cFg8EXHNbJ https://t.co/D3nv2OgH…</t>
  </si>
  <si>
    <t>RT @wikileaks: Hillary Clinton circle worried about the perception of their candidate as an 'insider' as early as Jan 2014 https://t.co/zxT…</t>
  </si>
  <si>
    <t>RT @RickRWells: WikiLeaks' Assange Refutes Clinton Russia Claims- Feels Sorry For Her https://t.co/UvITtN50M9 https://t.co/K48kL1Ps6l</t>
  </si>
  <si>
    <t>RT @NetworksManager: Appears the U.S. DOJ acting as HIllary Clinton's law firm.#PedestaEmails30 #DC
@wikileaks https://t.co/RdtQlJq5ub http…</t>
  </si>
  <si>
    <t>RT @Stonewall_77: MEET HILLARY'S BEST FRIEND: THE DOJ GUY INVESTIGATING HER
😡​😡​😡​😡​😡​
Full Video: https://t.co/maeH927tQE
#hillaryclinto…</t>
  </si>
  <si>
    <t>RT @wikileaks: Password cracked for Obama cabinet vetting list: 'change'.  See attachment tab on https://t.co/TxXE37mF2d
Context: https://…</t>
  </si>
  <si>
    <t>@hectormorenco 
Thank you for connecting all of the dots! I knew it was about oil - what a shame.</t>
  </si>
  <si>
    <t>RT @wikileaks: ISIS and the Clintons have the same bankers: Saudi Arabia &amp;amp; Qatar https://t.co/3NYyLworG5</t>
  </si>
  <si>
    <t>RT @FoxNews: WIKILEAKS: Clinton pal praises Hillary: 'Eventually she will sound like a human' https://t.co/Eoqsq3jVJp https://t.co/WHJnDJDQ…</t>
  </si>
  <si>
    <t>RT @wikileaks: Sanders had non-aggression pact with Clinton who had "leverage" to enforce it Robby Mook ("re47") email reveals https://t.co…</t>
  </si>
  <si>
    <t>RT @PVeritas_Action: Video Shows Holes into Clinton Email Investigation by FBI
https://t.co/f3OWVsEFoV --@mrctv</t>
  </si>
  <si>
    <t>RT @KamVTV: Assange: WikiLeaks did not receive H emails from Russian govt (JOHN PILGER EXCLUSIVE) Tomorrow #RememberWhenTrump 
https://t.co…</t>
  </si>
  <si>
    <t>RT @RennaW: Our govt doesn't act to stop voter fraud. But does act to stop... those acting to stop voter fraud. https://t.co/PtNiwIMNrI</t>
  </si>
  <si>
    <t>RT @PrisonPlanet: Obama slams 'crazy conspiracy theories' while FBI's own docs literally say a "shadow government" protects Hillary. https:…</t>
  </si>
  <si>
    <t>RT @StevePieczenik: https://t.co/iXO9NchwJZ</t>
  </si>
  <si>
    <t>RT @wikileaks: Impressive crowd sourcing for #PodestaEmails30 piling up on Reddit from Sanders, Trump, Stein &amp;amp; WikiLeaks supporters https:/…</t>
  </si>
  <si>
    <t>RT @mitchellvii: https://t.co/fBnv4z2qNd</t>
  </si>
  <si>
    <t>RT @mitchellvii: BAMM - Market Indicator Gives Trump An 86% Chance Of Winning The Election | Zero Hedge https://t.co/dwKnH5mQHY</t>
  </si>
  <si>
    <t>RT @wikileaks: US State Dept source provided Clintons with detailed heads up on potential scandals from Judicial Watch law suit https://t.c…</t>
  </si>
  <si>
    <t>RT @wikileaks: Hillary Clinton "Wing Ding" speech for Iowa, Aug, 2015 (see attachments) #PodestaEmails https://t.co/a2BUNGWj8U https://t.co…</t>
  </si>
  <si>
    <t>RT @wikileaks: ISIS occupation of Ninewah an "interesting" oil "opportunity". Includes State Dept pipeline map of Iraq #Podesta https://t.c…</t>
  </si>
  <si>
    <t>RT @wikileaks: 71% of paid Clinton Global Initiative members stated that "networking" was their top interest in CGI; see attachment https:/…</t>
  </si>
  <si>
    <t>RT @DrJohn76533054: Must have verification of electability. No exceptions. https://t.co/AWsl511za7</t>
  </si>
  <si>
    <t>RT @DrJohn76533054: I hope Julian makes it through the weekend. You know Obama and those drones.  Oops, didn't mean to hit that embassy. ht…</t>
  </si>
  <si>
    <t>RT @DrJohn76533054: All the dots being connected. https://t.co/MxyQSdyYRy</t>
  </si>
  <si>
    <t>RT @wikileaks: US again rattles claims of pending cyber attack against Russia with a placement style suggesting a domestic audience https:/…</t>
  </si>
  <si>
    <t>RT @wikileaks: Astounding claims from Erik Prince, founder of Blackwater on Clinton &amp;amp; NYPD https://t.co/oB3xTndfI0</t>
  </si>
  <si>
    <t>RT @PrisonPlanet: If Trump was attending occult/sex rituals involving pigs blood, urine &amp;amp; semen, would MSM report it?
NOTHING from CNN on…</t>
  </si>
  <si>
    <t>RT @StevePieczenik: US TAKEOVER MAY BE NEAR https://t.co/67Aa8uKzQ3 #HillaryCoup #coup #countercoup #stevepieczenikvideo https://t.co/xbvl3…</t>
  </si>
  <si>
    <t>RT @schestowitz: Making #clinton appear as though she cares for non-privileged and non-whites https://t.co/7gM6PHEnI7  #PodestaEmails30</t>
  </si>
  <si>
    <t>RT @Franklin_Graham: Beware – be sure to know what you are voting for and who you are voting for. https://t.co/hF2REDa1Bv</t>
  </si>
  <si>
    <t>RT @FiveRights: #PodestaEmails30
Hillary takes 200K+ per speech frm banks, wks later denounces same banks as evil, then says to us "..but Y…</t>
  </si>
  <si>
    <t>RT @DrEstella: @megynkelly tendency to  interrupts Trump surrogates while letting Hillary's talk... It all makes sense #PodestaEmails30 ! F…</t>
  </si>
  <si>
    <t>RT @DailyCaller: WIKILEAKS: Clinton Campaign Manager Says ‘There’s So Much Money On The Table’ https://t.co/Euhmpn42zA #WikiLeaks PodestaEm…</t>
  </si>
  <si>
    <t>RT @wikileaks: DKIM certification of email authenticity in plain english: https://t.co/MHPs25PztD
More: https://t.co/DXoEveIc4X</t>
  </si>
  <si>
    <t>RT @JamesOKeefeIII: NEW VIDEO: @Maggie_Hassan flip flops on Syrian refugee stance. #nhpolitics @PVeritas_Action https://t.co/zNJ7NyciTq</t>
  </si>
  <si>
    <t>RT @PVeritas_Action: NEW VIDEO: @Maggie_Hassan flip flops on Syrian refugee stance. #nhpolitics @JamesOKeefeIII https://t.co/0F7LA6cgP0</t>
  </si>
  <si>
    <t>RT @kenvogel: I asked why @wikileaks email contradict @ClintonFdn spin.
Response:"It sounds like you are suggesting we misled you" https://…</t>
  </si>
  <si>
    <t>RT @LifeZette: WikiLeaks: Podesta participated in potentially satanic 'Spirit Cooking' https://t.co/mLxLHkjJGD</t>
  </si>
  <si>
    <t>RT @DrJohn76533054: 96% of pollster donations went to Hillary. No bias here 😡 https://t.co/JcHncUshAu</t>
  </si>
  <si>
    <t>RT @DrJohn76533054: All indicators looking good for The Donald @realDonaldTrump today👍👍🇺🇸 https://t.co/ZGovDkyPAX</t>
  </si>
  <si>
    <t>RT @PVeritas_Action: “We know for a fact...that there are non-citizens registered and voting all over the country.”
https://t.co/eNiS6E99DB…</t>
  </si>
  <si>
    <t>RT @wikileaks: RELEASE: The Podesta Emails Part 30 #PodestaEmails #PodestaEmails30 #HillaryClinton #imWithHer https://t.co/wzxeh70oUm https…</t>
  </si>
  <si>
    <t>RT @DrJohn76533054: The fact there is yet another investigation say loads. Where there is smoke there's fire.  https://t.co/1obwxVBwm6</t>
  </si>
  <si>
    <t>RT @DrJohn76533054: If you don't think there will be a Trump landslide. Look at this. Hillary can't BS the black community anymore https://…</t>
  </si>
  <si>
    <t>RT @AmericanSoWoke: #FloridaFraud in Seminole County. Now, Broward County. Stealing votes all over the place.  https://t.co/6kw7fUolDz</t>
  </si>
  <si>
    <t>RT @nedryun: Oh this will be fascinating to find out someday. . . or maybe we'll never know. https://t.co/g8XntFtizQ</t>
  </si>
  <si>
    <t>RT @worldgoneweird: What is sad is that this surprises NO ONE IN DC they are only surprised she got caught https://t.co/saERdtD7iq</t>
  </si>
  <si>
    <t>RT @PVeritas_Action: Man Finds 83 Ballots Outside Neighbor's Home. Alarm Bells Go Off When He Reads Their Addresses...
https://t.co/VIkTEUQ…</t>
  </si>
  <si>
    <t>RT @DBloom451: FLASHBACK: @RealBenCarson talks abt Clinton's mentor Saul Alinsky &amp;amp; dedication to Lucifer👇#SpiritCooking Still not technical…</t>
  </si>
  <si>
    <t>RT @wikileaks: ANNOUNCE: Cryptographic proof of authenticity added to WikiLeaks #PodestaEmails for tens of thousands of emails https://t.co…</t>
  </si>
  <si>
    <t>RT @wikileaks: ANNOUNCE: Email exposing Donna Brazile rigging Sanders v Clinton debate questions also authenticated by Google DKIM https://…</t>
  </si>
  <si>
    <t>RT @fige1000: @Cernovich #SpiritCooking Proof Found In Podesta's Office Look at the Picture on the wall https://t.co/L41psJZ2D3</t>
  </si>
  <si>
    <t>RT @JackPosobiec: Brenda Snipes is already under lawsuit for deliberately misprinting absentee ballots
https://t.co/9y02jKyPug</t>
  </si>
  <si>
    <t>RT @schestowitz: Media collusion very serious issue. Sadly, #podestaemails29 end before #ap helped HRC steal nomination from #sanders https…</t>
  </si>
  <si>
    <t>RT @wikileaks: Hillary Clinton Coms Director Jennifer Palmieri: PBS will obey my instructions to change air time for news "story" on Clinto…</t>
  </si>
  <si>
    <t>RT @chayesmatthew: "One of the advantages of @wikileaks...": @BilldeBlasio's preamble to question about his @HillaryClinton work. https://t…</t>
  </si>
  <si>
    <t>RT @PVeritas_Action: BREAKING: Undercover Video Exposes Early @HillaryClinton Email Witness Who Was Never Interviewed by @FBI https://t.co/…</t>
  </si>
  <si>
    <t>RT @wikileaks: Impressive crowd sourcing for #PodestaEmails29 piling up on Reddit from Sanders, Trump, Stein &amp;amp; WikiLeaks supporters https:/…</t>
  </si>
  <si>
    <t>RT @MarkSimoneNY: Watch Bill Clinton Claim "Make America Great Again" Is Racist - Then Watch Him Using It As His Slogan In '92: https://t.c…</t>
  </si>
  <si>
    <t>RT @wikileaks: Revealed: Rahm Emanuel also used a private email server to conduct government business https://t.co/Sqm1GcRe2O</t>
  </si>
  <si>
    <t>RT @wikileaks: Hillary Clinton warned by former Secretary of State Colin Powel in March, 2015 to not use him as emails excuse:
https://t.c…</t>
  </si>
  <si>
    <t>RT @PatriotGeorgia: High school student threatened with suspension for pro-Trump T-shirt 
 https://t.co/AUuLRE6A7I</t>
  </si>
  <si>
    <t>RT @ActualFlatticus: John Podesta joining the Foundation board. https://t.co/GtmD8JfCS6 #PodestaEmails29 https://t.co/RyawzWOKx6</t>
  </si>
  <si>
    <t>RT @GUCCIFER_2: Info from inside the #FEC: Democrats may rig the #Elections2016
https://t.co/KAFzCPIH4k https://t.co/OaoEuLIBMk</t>
  </si>
  <si>
    <t>RT @asamjulian: Imagine early voting for someone that shortly after is under FBI invest. and involved w/ Satanic rituals.
Oh wait.. #Hilla…</t>
  </si>
  <si>
    <t>RT @Rambobiggs: #SpiritCooking Clinton's demonic fetish revealed https://t.co/pvFtgwJDZn via @YouTube</t>
  </si>
  <si>
    <t>RT @DrMartyFox: #Hillary Went To #Pedophile Sex Island At Least 6 Times 
The Corrupt #DOJ Is Blocking A Press Conference &amp;amp; Arrests
https:…</t>
  </si>
  <si>
    <t>RT @ThePolitiChicks: The latest WikiLeaks dump reveals Team Clinton boasting about hiding Hillary for months and still getting... https://t…</t>
  </si>
  <si>
    <t>RT @ErmaJackson20: I just recently switched to Trump, &amp;amp; glad I did
Won't have none of that devil worship in my white house
#SpiritCooking h…</t>
  </si>
  <si>
    <t>RT @JackPosobiec: Bill Clinton 2012 Video: "My wife was known to commune with Eleanor Roosevelt on a regular basis" #SpiritCooking
https:/…</t>
  </si>
  <si>
    <t>RT @DineshDSouza: Hillary is a bottomless basement of corruption--just when you think you're at the ground floor you discover there are two…</t>
  </si>
  <si>
    <t>RT @TeamTrump: Mrs. Saucier's son is in prison for having classified info on an unsecured device. @HillaryClinton did FAR WORSE &amp;amp; is runnin…</t>
  </si>
  <si>
    <t>RT @realDonaldTrump: Clinton Aides: ‘Definitely’ Not Releasing Some HRC Emails:
https://t.co/GY5pGKaDoW</t>
  </si>
  <si>
    <t>RT @realDonaldTrump: "The Clinton Campaign at Obama Justice" #DrainTheSwamp
https://t.co/LZkvFc071z</t>
  </si>
  <si>
    <t>RT @Vedmak00: They run child sex parties. These people are the embodiment of evil. 
#PodestaEmails28 https://t.co/46wIelQd7p</t>
  </si>
  <si>
    <t>RT @LisaAlesci: Clinton State Dept approved attendance of known human organ trafficker at CGI conclave 2011-2013  https://t.co/egEIbVX0O4 v…</t>
  </si>
  <si>
    <t>RT @CROWENATION2016: ADDED: Reddit &amp;amp; Video links. #ClintonCrimes
Clinton #PedoGate &amp;amp; How #FBI is Saving Our Nation https://t.co/c7tQoGYxyT…</t>
  </si>
  <si>
    <t>RT @LindaSuhler: Child rape is a JOKE to Hillary Clinton
➡️Listen to her LAUGH at getting off the rapist of a 12-yr-o girl.
Obscene.
https:…</t>
  </si>
  <si>
    <t>RT @GrrrGraphics: #SpiritCooking #HillarysEmails #podestamolesta this #BenGarrison #cartoon was pretty close- #wakeup #VoteTrump https://t.…</t>
  </si>
  <si>
    <t>RT @AmyMek: SICKENING! #PodestaEmails28 Exposes Hillary &amp;amp; Team colluding with @AP Reporter 👉@etuckerAP to Keep Hillary's Criminal Activity…</t>
  </si>
  <si>
    <t>RT @TwitchyTeam: ICYMI ==&amp;gt; Dude, REALLY!? As First Lady Hillary did WHAT at the White House [hint: #SpiritCooking]
https://t.co/lg95w7iNCc</t>
  </si>
  <si>
    <t>RT @JackPosobiec: Jay-Z and Beyoncé are also part of #SpiritCooking
https://t.co/JrBAYOrDQB</t>
  </si>
  <si>
    <t>RT @DRUDGE_REPORT: Multiple Jobholders Hits Record High... https://t.co/Ses67uQk4o</t>
  </si>
  <si>
    <t>RT @TallahForTrump: No God fearing individual can vote for someone who prepares Satanist rituals like #SpiritCooking. We are fighting the u…</t>
  </si>
  <si>
    <t>RT @AppSame: Jared Fogle supports @HillaryClinton 
10 out of 10 Child Rapist For Her https://t.co/SDGAFOZd0B</t>
  </si>
  <si>
    <t>RT @Mike_Beacham: Eisenhower warned about them. 
Kennedy attempted to dismantle them. 
Johnson thru Obama bowed to them.
#TRUMP has now vow…</t>
  </si>
  <si>
    <t>RT @AmericaNewsroom: Another state where Mr. Trump doesn't get enough credit is Iowa...Mr. Trump is up by 3 points in Iowa &amp;amp; looking very g…</t>
  </si>
  <si>
    <t>RT @Lrihendry: #TRUMP poll watchers banned, U.N. Poll watchers welcomed! #ElectionFraud #pollwatchers #riggedelection #BanTheUN #MAGA @real…</t>
  </si>
  <si>
    <t>RT @TRUMPMOVEMENTUS: BREAKING: FBI investigating major Islamist terror attack plot to disrupt US election https://t.co/C0IvtDoNjP</t>
  </si>
  <si>
    <t>RT @michellemalkin: Me after reading #SpiritCooking tweets last night. 
#WTF https://t.co/pNfXZcKxeH</t>
  </si>
  <si>
    <t>RT @DailyCaller: Bill Clinton Mocked Working Class Voters At Private Fundraiser https://t.co/AtC1ZIa7Pi https://t.co/MsZBBCr371</t>
  </si>
  <si>
    <t>RT @PrisonPlanet: And there you were thinking Podesta's UFO obsession was his weirdest hobby. #SpiritCooking https://t.co/GsPaxPyyUR</t>
  </si>
  <si>
    <t>RT @PrisonPlanet: Assange: Clinton and ISIS are funded by the same money. https://t.co/9Z9WSC7gB1</t>
  </si>
  <si>
    <t>RT @FiveRights: #PodestaEmails29
If you're a foreign govt &amp;amp; u want something not in US interests just donate to Clinton Foundation. They'll…</t>
  </si>
  <si>
    <t>RT @hrtablaze: #SpiritCooking w/ Marina Abramovic &amp;amp; Lady Gaga! These are the people that Podesta/Hillary run with! How can any person of fa…</t>
  </si>
  <si>
    <t>RT @DRUDGE_REPORT: WIKI WICCAN:  PODESTA PRACTICES OCCULT MAGIC</t>
  </si>
  <si>
    <t>RT @benshapiro: So Hillary did seances as First Lady in the White House, and her campaign chief of staff went to "spirit dinners." This is…</t>
  </si>
  <si>
    <t>RT @ANOMALY1: WOW ! PANIC ! FEAR ! HILLARY’S MELTDOWN: Clinton 1 Hr 45 Min. Late for Speech, Has Hoarse, Raspy Voice, Seen Pacing in Lot !…</t>
  </si>
  <si>
    <t>RT @ryanward87: Jay Z is doing a performance for Hillary tonight in Ohio… and here he is pictured w/ Ms. #SpiritCooking herself, Marina Abr…</t>
  </si>
  <si>
    <t>RT @IngrahamAngle: WikiLeaks: Clinton Campaign Chair Participated in Occult Magic https://t.co/HC5SK6IZCh via @LifeZette</t>
  </si>
  <si>
    <t>RT @FiveRights: #PodestaEmails29
1. Haiti has earthquake.
2. Algeria gives 500k to Clinton Foun Haiti fund.
3. Poof, Algeria gone frm terro…</t>
  </si>
  <si>
    <t>RT @FiveRights: #PodestaEmails29
Hillary is too far gone to feel guilt for anything but some of her underlings know they're acting illegall…</t>
  </si>
  <si>
    <t>RT @Sonia_Dridi: WikiLeaks: Podesta agrees Sanders needs to be 'ground to a pulp' -Ça ne va pas plaire aux nombreux Dem pro #Sanders  https…</t>
  </si>
  <si>
    <t>RT @dcexaminer: Bill Clinton had "real serious conflicts'" with foundation work according to latest leaked emails form #WikiLeaks https://t…</t>
  </si>
  <si>
    <t>RT @PrisonPlanet: As I said before (and was attacked for it), Johnson voters are just as retarded as him. They are more anti-Trump than ant…</t>
  </si>
  <si>
    <t>RT @MZHemingway: "I’m A Woman, I’m Voting For Trump, And It Wasn’t Even A Close Call” https://t.co/nrdHzqMS2q</t>
  </si>
  <si>
    <t>RT @RealJamesWoods: Hillary won’t survive another WikiLeaks dump | New York Post //Keep the flames on high. Roast this monster #Crooked htt…</t>
  </si>
  <si>
    <t>RT @asamjulian: Hillary supporters are on my feed defending this as "performance art" Sick freaks. #SpiritCooking https://t.co/zPS84yT5ei</t>
  </si>
  <si>
    <t>RT @LouDobbs: Vote Like America Depends On It:  Assange says Trump 'won't be allowed to win' o https://t.co/7jX3nve98w via @MailOnline #MAG…</t>
  </si>
  <si>
    <t>RT @ScottAdamsSays: Do any Clinton scandals NOT involve sperm? #SpiritCooking</t>
  </si>
  <si>
    <t>RT @JamesOKeefeIII: Tomorrow, @PVeritas_Action's hidden cameras will finally get to the subject of @HillaryClinton emails...</t>
  </si>
  <si>
    <t>RT @DrJohn76533054: Dont pop the cork yet bet the Trends are really good.  https://t.co/BkPYlnJx04</t>
  </si>
  <si>
    <t>RT @mitchellvii: Pollsters hiding the Trump surge by dramatically slashing Trump's lead among Indies in a matter of days.  Electorates don'…</t>
  </si>
  <si>
    <t>RT @mitchellvii: FoxNews has been down on DirecTV all morning.  Maybe because they are the ONLY ones reporting on the FBI scandal?</t>
  </si>
  <si>
    <t>RT @mitchellvii: The Democrat Leadership KNOWS Hillary has lost.  All this manipulation we see is to keep voters coming out for down ballot…</t>
  </si>
  <si>
    <t>RT @mitchellvii: To bring the race back to TIED, Rasmussen slashed his lead with Independents from 14 to 7 in ONE DAY.  Impossible.</t>
  </si>
  <si>
    <t>RT @DrJohn76533054: This is the only way Hillary wins. Pure voter fraud. Isn't that still a crime in America? I forgot, it's Obama's USA ht…</t>
  </si>
  <si>
    <t>RT @DrJohn76533054: At what point does Hillary get indicted for treason. It's time to say what it is and it's not an email story. https://t…</t>
  </si>
  <si>
    <t>RT @StevePieczenik: "The Steve Pieczenik Video" can be found here: The Hillary Clinton Takeover of the United States https://t.co/KAcnFSKMPa</t>
  </si>
  <si>
    <t>RT @conserv_tribune: Wikileaks Reveals Clinton’s Deleting Over 2 Terabytes Of Information Nearly 10 Years Ago https://t.co/nJAebIb4yH #tcot…</t>
  </si>
  <si>
    <t>RT @politico: WikiLeaks: DOJ official gave @HillaryClinton camp "heads up" about email filing https://t.co/7mJDtxR8g2 | AP Photo https://t.…</t>
  </si>
  <si>
    <t>RT @kenvogel: The @ClintonFdn suggested Hillary wasn't involved in initiating Moroccan $/mtg.
@wikileaks emails prove otherwise.
https://t.…</t>
  </si>
  <si>
    <t>RT @wikileaks: A summary by category of WikiLeaks' #PodestaEmails finds https://t.co/iZlLZOfxq3 https://t.co/4c2U2EYCiO</t>
  </si>
  <si>
    <t>RT @wikileaks: Tanden &amp;amp; Podesta on why Clinton techie Bryan Pagliano was "avoiding testifying" over emails (took the 5th 125 times) https:/…</t>
  </si>
  <si>
    <t>RT @wikileaks: "isn't it going to leak out of the FBI anyway?" Clinton rebuffed Podesta's efforts to turn over emails to 3rd party https://…</t>
  </si>
  <si>
    <t>RT @wikileaks: Clinton Director of Communications Jennifer M Palmieri on FBI Director James Comey, Oct 2015 https://t.co/E3jR73VeY4 https:/…</t>
  </si>
  <si>
    <t>RT @wikileaks: Burying bad news with worse news: Clinton manager Robby Mook planned to bury emails with Keystone Pipeline https://t.co/HPHa…</t>
  </si>
  <si>
    <t>RT @wikileaks: "I hope Hillary truly understands now how batshit crazy David Brock is."  Neera Tanden on Media Matters' David Brock https:/…</t>
  </si>
  <si>
    <t>RT @wikileaks: Hillary and Gore hate each other. The reason is too dangerous to put in email -- Clinton's closest aid Huma Abedin https://t…</t>
  </si>
  <si>
    <t>RT @wikileaks: Tony Podesta.
By day, mild mannered Foreign Agent for Saudi Arabia.
By night, Spirit Cooker.
https://t.co/LYowHwsmKo
https:/…</t>
  </si>
  <si>
    <t>RT @Channel4News: Slovenian philosopher Slavoj Žižek​ says he would opt for Donald Trump as the apparently less dangerous choice in the US…</t>
  </si>
  <si>
    <t>RT @wikileaks: Deleted Huma to Hillary email: Assange "might think this is a clever game today but when he is prosecuted.." (2010) https://…</t>
  </si>
  <si>
    <t>RT @WashTimes: WikiLeaks: John Podesta invited to ‘Spirit’ dinner; host’s known ‘recipes’ demand breast milk, sperm - https://t.co/dwtPVCnJ…</t>
  </si>
  <si>
    <t>RT @THR: Wikileaks has a chilling effect on Hollywood ambassadorships https://t.co/l9kSUsnd9B https://t.co/lW54lgRJN3</t>
  </si>
  <si>
    <t>RT @latimes: What the WikiLeaks emails tell us about Hillary Clinton's campaign (and what they don't) https://t.co/q144Hnb0CF https://t.co/…</t>
  </si>
  <si>
    <t>RT @wikileaks: The Podestas' "Spirit Cooking" dinner?
It's not what you think.
It's blood, sperm and breastmilk.
But mostly blood.
https://…</t>
  </si>
  <si>
    <t>RT @wikileaks: RELEASE: The Podesta Emails Part 29 #PodestaEmails #PodestaEmails29 #HillaryClinton #imWithHer https://t.co/wzxeh70oUm https…</t>
  </si>
  <si>
    <t>RT @wikileaks: The #Podestas' dinner "cook" Marina Abramovic on  #SpiritCooking https://t.co/A1S4VrTRcW 
Context: https://t.co/zQf0ZrbnWn…</t>
  </si>
  <si>
    <t>RT @StevePieczenik: not surprised by this, my own experience backs this up. https://t.co/n44RaXhG7g</t>
  </si>
  <si>
    <t>RT @thehill: Susan Sarandon: "The DNC is completely corrupt" https://t.co/CvxzjnHG3O https://t.co/e7VEMlkumb</t>
  </si>
  <si>
    <t>RT @wikileaks: DailyMail: FBI Clinton Foundation probe finds 'avalanche' of  corruption evidence but fear DoJ will block trial
https://t.co…</t>
  </si>
  <si>
    <t>RT @jaketapper: been hearing for weeks anecdotally about the CIA-FBI divide over this election.</t>
  </si>
  <si>
    <t>RT @BrittPettibone: Full transcript of Hector Morenco's tweets red-pilling the world. 
#hectormorenco https://t.co/mfTGYru2Mx</t>
  </si>
  <si>
    <t>RT @OANN: Wikileaks: Not all of Clinton's Emails were Turned Over: https://t.co/m6djLcVz7e via @YouTube</t>
  </si>
  <si>
    <t>RT @wikileaks: Hidden Clinton email: Assange "might think this is a clever game today but when he is prosecuted.." https://t.co/Cy07TndW7f</t>
  </si>
  <si>
    <t>RT @PrisonPlanet: AP presstitute invited Clinton camp to 'steer him away' from damaging story. Rigged media. https://t.co/BfQQgoSGui</t>
  </si>
  <si>
    <t>RT @observer: Obamacare Price Surge Reveals Need for Drastic Surgery https://t.co/J4EzXiefT6</t>
  </si>
  <si>
    <t>RT @marklevinshow: Should Hillary be elected, she and the Democrats will have created a constitutional crisis that will engulf the... https…</t>
  </si>
  <si>
    <t>RT @sherisspace: @AssangeFreedom While Huma parties $200,000 plate fundraiser with the Muslim Brotherhood.  @JackPosobiec https://t.co/h8vd…</t>
  </si>
  <si>
    <t>RT @mitchellvii: I continue to hold my position that the Dem Leadership and Media know Hillary has already lost.  All of this spin is for d…</t>
  </si>
  <si>
    <t>RT @DiamondandSilk: While Obama is out campaigning for a crook on tax payers dollars, he's not even concerned about Americans paying higher…</t>
  </si>
  <si>
    <t>RT @DRUDGE_REPORT: COULTER FINAL ARGUMENT FOR TRUMP: HUMILIATE THE MEDIA! https://t.co/zLKzRAs788</t>
  </si>
  <si>
    <t>RT @DRUDGE_REPORT: Key states tilt... https://t.co/aewdlIDMbK</t>
  </si>
  <si>
    <t>RT @mtracey: There goes the "but they're probably just duplicates!!!!" talking point https://t.co/BRM9lR4IIW</t>
  </si>
  <si>
    <t>RT @mtracey: Bernie Sanders super-surrogate @ninaturner still refuses to back Hillary -- bravo https://t.co/7qCfcoDytz</t>
  </si>
  <si>
    <t>RT @ForAmerica: Obama sent $150 billion to Iran. A country that today celebrated the anniversary of their takeover of U.S. Embassy in 1979.…</t>
  </si>
  <si>
    <t>RT @FoxNews: .@ClintonFdn Scrutiny - FBI looking into evidence of pay-to-play. #SpecialReport https://t.co/DbWWUtYI74</t>
  </si>
  <si>
    <t>RT @mtracey: A version of this lie is still on the Hillary campaign website *right now* https://t.co/gm1iHPQd2j https://t.co/KvymjFjY5t</t>
  </si>
  <si>
    <t>RT @mtracey: Clinton lawyer Kendall plotting how to mislead the public into thinking the HRC email server criminal investigation was a "sec…</t>
  </si>
  <si>
    <t>RT @IngrahamAngle: The Washington Post finally admits that Trump could win. https://t.co/VPRSUdlNBY</t>
  </si>
  <si>
    <t>RT @LindaSuhler: BE ALERT!
Pennsylvania county probes questionable voter registrations
#VoteTrump STOP #VoterFraud #DrainTheSwamp
https://t…</t>
  </si>
  <si>
    <t>RT @wikileaks: "He is funding at $1m" -- Clinton Global Initiative (CGI) pay for play for Pritzker
https://t.co/6gEyuxhQrC https://t.co/EMA…</t>
  </si>
  <si>
    <t>RT @isuperblast: I'm exhausted!  so much information in these two new Wikileaks posts that my head is spinning! #podestaemails28 https://t.…</t>
  </si>
  <si>
    <t>RT @jaraparilla: Gotta laugh at "journos" who can't understand why anyone would be surprised by the shoddy practices exposed by @wikileaks.…</t>
  </si>
  <si>
    <t>RT @DailyCaller: Politico Reporter @GlennThrush Gets Caught AGAIN Sending A Story To A Clinton Staffer For Approval https://t.co/bjPyz16X2r…</t>
  </si>
  <si>
    <t>RT @wikileaks: IRS is also investigating the Clinton Foundation https://t.co/HvUiA2yJ0K</t>
  </si>
  <si>
    <t>RT @wikileaks: Associated Press "journalist" Eric Tucker is willing to be 'steered away' from a story about Clinton's emails: https://t.co/…</t>
  </si>
  <si>
    <t>RT @wikileaks: Sweden’s business with Clinton Foundation in a geopolitical context 
https://t.co/14cQhhlblY</t>
  </si>
  <si>
    <t>RT @tedcruz: RT if you agree there needs to be a special prosecutor to investigate and prosecute the corruption of Hillary Clinton!</t>
  </si>
  <si>
    <t>RT @Indymom8753: Chris Stevens was ready to abort mission in Benghazi. Hillary was involved more than she said. 
https://t.co/CY7pUIKTkq #P…</t>
  </si>
  <si>
    <t>RT @ARM1976: #PodestaEmails28 @jmpalmieri worried that #HillaryRottenClinton doesn't trust her. https://t.co/onQeZUqGWa</t>
  </si>
  <si>
    <t>RT @michaelbeatty3: ALL ABOUT THE OPTICS
"we should mention #SanBernardino
or press will report we didn't
🇺🇸 #PodestaEmails28 #Wikileaks
ht…</t>
  </si>
  <si>
    <t>RT @JackPosobiec: Make America Great Again https://t.co/0AJWo722ow</t>
  </si>
  <si>
    <t>RT @Azuri21: 🚨 Missile #1 🚨 of #PHASE3 has been launched 👇#Draintheswamp #PodestaEmails28 #LolitaExpress https://t.co/qx1Zz7USfa</t>
  </si>
  <si>
    <t>RT @DailySignal: GAO report: Obama political aides get preference over veterans for government jobs. https://t.co/qCAn8NEvNo</t>
  </si>
  <si>
    <t>RT @IAmVerySilky: Hillary's position on keystone was a political distraction... away from her email scandal.
https://t.co/xWnbIVEdJz
#Pode…</t>
  </si>
  <si>
    <t>RT @Darren32895836: New Donald Trump Ad Exposes Hillary Clinton For Being Under FBI Criminal Investigations #HillaryIndicment #podestaemail…</t>
  </si>
  <si>
    <t>RT @asamjulian: Obama is now mentioning the KKK in his speeches. When Trump goes high (in the polls), they go low! 😂 https://t.co/UArEMVzrID</t>
  </si>
  <si>
    <t>RT @DailySignal: Battleground states prosecuted 8 voter fraud cases this week... and it's not even Election Day yet. https://t.co/4ji1Bsbfdr</t>
  </si>
  <si>
    <t>RT @RedNationRising: . #WIKILEAKS released Email showing Intent to Hide Emails. #LockHerUp #WikiLeaksPhase3 #RedNationRising #CrookedHillar…</t>
  </si>
  <si>
    <t>RT @wikileaks: US State Dept has released 357 new Clinton emails https://t.co/p3eZqxKxke
Available in our search system shortly: https://t…</t>
  </si>
  <si>
    <t>RT @schestowitz: @wikileaks  State Dept ‘cleared’ reports on Clinton emails while in close touch with her team - #PodestaEmails https://t.c…</t>
  </si>
  <si>
    <t>RT @politico: WikiLeaks: DOJ official gave @HillaryClinton camp "heads up" about email filing https://t.co/B8ipkdQlpb | AP Photo https://t.…</t>
  </si>
  <si>
    <t>RT @wikileaks: Two terrabyte drive with Clinton White House emails missing, presumed stolen from National Archives https://t.co/p3eZqxKxke…</t>
  </si>
  <si>
    <t>RT @JamesOKeefeIII: WATCH: Dem Donor Won't Apologize For Calling Black Republicans 'Seriously F***ed in The Head' https://t.co/nX6tohZF0k @…</t>
  </si>
  <si>
    <t>RT @wikileaks: RELEASE: The Podesta Emails Part 28 - DoJ/FBI/Huma special #PodestaEmails  https://t.co/tIw3T6L6se
More: https://t.co/v8OnM…</t>
  </si>
  <si>
    <t>RT @asamjulian: So sick and tired of Twitter playing games to protect Rotten Hillary. https://t.co/KoXqT8wHti</t>
  </si>
  <si>
    <t>RT @mtracey: Wrong. They pressed unsuccessfully for expanded investigative tools. The probe is active. What an embarrassment. https://t.co/…</t>
  </si>
  <si>
    <t>RT @dcexaminer: NEW: White House deflects questions on FBI's war with Justice Department over Hillary Clinton investigation https://t.co/b9…</t>
  </si>
  <si>
    <t>RT @thebookseller: Hillary Clinton speeches released by @wikileaks to be published: https://t.co/9ytGS1gXTp https://t.co/IRroXOthuc</t>
  </si>
  <si>
    <t>RT @wikileaks: Clintons Sell Political Favors to Clinton Foundation Donors https://t.co/mxjJLwsrUS</t>
  </si>
  <si>
    <t>RT @schestowitz: @wikileaks "Kaine to sign an executive order to restore voting rights for former felons in Virginia." https://t.co/uqd4j9k…</t>
  </si>
  <si>
    <t>RT @PVeritas_Action: HIDDEN CAM: Foreign national @HillaryClinton campaign worker calls himself "expert" @ making illegal donations to the…</t>
  </si>
  <si>
    <t>@wikileaks  Can't wait!</t>
  </si>
  <si>
    <t>RT @wikileaks: Stay tune for our FBI-DoJ #PodestaEmail special circa 4pm EST.</t>
  </si>
  <si>
    <t>RT @PatrickSvitek: Cruz on WikiLeaks exchange: "That official who gave the heads-up to the Hillary campaign should be terminated &amp;amp; Loretta…</t>
  </si>
  <si>
    <t>@MorganMerridrew @DarkTriadMan @HillaryClinton  Agreed!</t>
  </si>
  <si>
    <t>RT @RobertLaurie: Obama says fate of the world hangs in balance. But when he says "world" what he really means is "borderless dystopia" htt…</t>
  </si>
  <si>
    <t>RT @wikileaks: Inside the US-China Paris climate accord negotiations. Podesta uses personal account to email with State Dept
https://t.co/7…</t>
  </si>
  <si>
    <t>RT @CarmineZozzora: Breaking: Hillary Clinton's dead voters switching to @realDonaldTrump en masse.
#TrumpPence16 #MAGA @FoxNews @CNN</t>
  </si>
  <si>
    <t>RT @JackPosobiec: Economist reporter losing his mind https://t.co/q9l4vZgxqX</t>
  </si>
  <si>
    <t>RT @Shooters_Wife: MT @Packin_Granny: I'll be keeping my #Bible and my #Guns.   #2ADefenders #MolonLabe  #NRA https://t.co/13YxOcKT0w #2A #…</t>
  </si>
  <si>
    <t>RT @DarkTriadMan: .@HillaryClinton is having more dreadful health issues.
At this rate, she won't be alive to hang in January.
https://t.…</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</si>
</sst>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2871"/>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HYPERLINK("http://www.twitter.com/NathanBLawrence/status/998954092130193408", "998954092130193408")</f>
        <v/>
      </c>
      <c r="B2" s="2" t="n">
        <v>43242.65959490741</v>
      </c>
      <c r="C2" t="n">
        <v>0</v>
      </c>
      <c r="D2" t="n">
        <v>1831</v>
      </c>
      <c r="E2" t="s">
        <v>13</v>
      </c>
      <c r="F2" t="s"/>
      <c r="G2" t="s"/>
      <c r="H2" t="s"/>
      <c r="I2" t="s"/>
      <c r="J2" t="n">
        <v>0.3182</v>
      </c>
      <c r="K2" t="n">
        <v>0</v>
      </c>
      <c r="L2" t="n">
        <v>0.909</v>
      </c>
      <c r="M2" t="n">
        <v>0.091</v>
      </c>
    </row>
    <row r="3" spans="1:13">
      <c r="A3" s="1">
        <f>HYPERLINK("http://www.twitter.com/NathanBLawrence/status/998953668765474816", "998953668765474816")</f>
        <v/>
      </c>
      <c r="B3" s="2" t="n">
        <v>43242.65842592593</v>
      </c>
      <c r="C3" t="n">
        <v>0</v>
      </c>
      <c r="D3" t="n">
        <v>5</v>
      </c>
      <c r="E3" t="s">
        <v>14</v>
      </c>
      <c r="F3" t="s"/>
      <c r="G3" t="s"/>
      <c r="H3" t="s"/>
      <c r="I3" t="s"/>
      <c r="J3" t="n">
        <v>0.128</v>
      </c>
      <c r="K3" t="n">
        <v>0.097</v>
      </c>
      <c r="L3" t="n">
        <v>0.783</v>
      </c>
      <c r="M3" t="n">
        <v>0.12</v>
      </c>
    </row>
    <row r="4" spans="1:13">
      <c r="A4" s="1">
        <f>HYPERLINK("http://www.twitter.com/NathanBLawrence/status/998953546916745216", "998953546916745216")</f>
        <v/>
      </c>
      <c r="B4" s="2" t="n">
        <v>43242.65809027778</v>
      </c>
      <c r="C4" t="n">
        <v>0</v>
      </c>
      <c r="D4" t="n">
        <v>4</v>
      </c>
      <c r="E4" t="s">
        <v>15</v>
      </c>
      <c r="F4">
        <f>HYPERLINK("http://pbs.twimg.com/media/DdzInA2V4AAR57h.jpg", "http://pbs.twimg.com/media/DdzInA2V4AAR57h.jpg")</f>
        <v/>
      </c>
      <c r="G4" t="s"/>
      <c r="H4" t="s"/>
      <c r="I4" t="s"/>
      <c r="J4" t="n">
        <v>-0.6597</v>
      </c>
      <c r="K4" t="n">
        <v>0.242</v>
      </c>
      <c r="L4" t="n">
        <v>0.758</v>
      </c>
      <c r="M4" t="n">
        <v>0</v>
      </c>
    </row>
    <row r="5" spans="1:13">
      <c r="A5" s="1">
        <f>HYPERLINK("http://www.twitter.com/NathanBLawrence/status/998951264808570880", "998951264808570880")</f>
        <v/>
      </c>
      <c r="B5" s="2" t="n">
        <v>43242.65179398148</v>
      </c>
      <c r="C5" t="n">
        <v>0</v>
      </c>
      <c r="D5" t="n">
        <v>2</v>
      </c>
      <c r="E5" t="s">
        <v>16</v>
      </c>
      <c r="F5" t="s"/>
      <c r="G5" t="s"/>
      <c r="H5" t="s"/>
      <c r="I5" t="s"/>
      <c r="J5" t="n">
        <v>0.1027</v>
      </c>
      <c r="K5" t="n">
        <v>0</v>
      </c>
      <c r="L5" t="n">
        <v>0.9379999999999999</v>
      </c>
      <c r="M5" t="n">
        <v>0.062</v>
      </c>
    </row>
    <row r="6" spans="1:13">
      <c r="A6" s="1">
        <f>HYPERLINK("http://www.twitter.com/NathanBLawrence/status/998950884284555264", "998950884284555264")</f>
        <v/>
      </c>
      <c r="B6" s="2" t="n">
        <v>43242.65075231482</v>
      </c>
      <c r="C6" t="n">
        <v>0</v>
      </c>
      <c r="D6" t="n">
        <v>1</v>
      </c>
      <c r="E6" t="s">
        <v>17</v>
      </c>
      <c r="F6" t="s"/>
      <c r="G6" t="s"/>
      <c r="H6" t="s"/>
      <c r="I6" t="s"/>
      <c r="J6" t="n">
        <v>0.6705</v>
      </c>
      <c r="K6" t="n">
        <v>0</v>
      </c>
      <c r="L6" t="n">
        <v>0.732</v>
      </c>
      <c r="M6" t="n">
        <v>0.268</v>
      </c>
    </row>
    <row r="7" spans="1:13">
      <c r="A7" s="1">
        <f>HYPERLINK("http://www.twitter.com/NathanBLawrence/status/998946408815300609", "998946408815300609")</f>
        <v/>
      </c>
      <c r="B7" s="2" t="n">
        <v>43242.63840277777</v>
      </c>
      <c r="C7" t="n">
        <v>0</v>
      </c>
      <c r="D7" t="n">
        <v>10</v>
      </c>
      <c r="E7" t="s">
        <v>18</v>
      </c>
      <c r="F7">
        <f>HYPERLINK("http://pbs.twimg.com/media/DdzVOm1U8AAYuE1.png", "http://pbs.twimg.com/media/DdzVOm1U8AAYuE1.png")</f>
        <v/>
      </c>
      <c r="G7" t="s"/>
      <c r="H7" t="s"/>
      <c r="I7" t="s"/>
      <c r="J7" t="n">
        <v>-0.2404</v>
      </c>
      <c r="K7" t="n">
        <v>0.151</v>
      </c>
      <c r="L7" t="n">
        <v>0.736</v>
      </c>
      <c r="M7" t="n">
        <v>0.114</v>
      </c>
    </row>
    <row r="8" spans="1:13">
      <c r="A8" s="1">
        <f>HYPERLINK("http://www.twitter.com/NathanBLawrence/status/998946084146819072", "998946084146819072")</f>
        <v/>
      </c>
      <c r="B8" s="2" t="n">
        <v>43242.6375</v>
      </c>
      <c r="C8" t="n">
        <v>0</v>
      </c>
      <c r="D8" t="n">
        <v>7</v>
      </c>
      <c r="E8" t="s">
        <v>19</v>
      </c>
      <c r="F8" t="s"/>
      <c r="G8" t="s"/>
      <c r="H8" t="s"/>
      <c r="I8" t="s"/>
      <c r="J8" t="n">
        <v>-0.5707</v>
      </c>
      <c r="K8" t="n">
        <v>0.15</v>
      </c>
      <c r="L8" t="n">
        <v>0.85</v>
      </c>
      <c r="M8" t="n">
        <v>0</v>
      </c>
    </row>
    <row r="9" spans="1:13">
      <c r="A9" s="1">
        <f>HYPERLINK("http://www.twitter.com/NathanBLawrence/status/998945642020995072", "998945642020995072")</f>
        <v/>
      </c>
      <c r="B9" s="2" t="n">
        <v>43242.63628472222</v>
      </c>
      <c r="C9" t="n">
        <v>0</v>
      </c>
      <c r="D9" t="n">
        <v>5</v>
      </c>
      <c r="E9" t="s">
        <v>20</v>
      </c>
      <c r="F9" t="s"/>
      <c r="G9" t="s"/>
      <c r="H9" t="s"/>
      <c r="I9" t="s"/>
      <c r="J9" t="n">
        <v>-0.91</v>
      </c>
      <c r="K9" t="n">
        <v>0.459</v>
      </c>
      <c r="L9" t="n">
        <v>0.459</v>
      </c>
      <c r="M9" t="n">
        <v>0.082</v>
      </c>
    </row>
    <row r="10" spans="1:13">
      <c r="A10" s="1">
        <f>HYPERLINK("http://www.twitter.com/NathanBLawrence/status/998945367499726848", "998945367499726848")</f>
        <v/>
      </c>
      <c r="B10" s="2" t="n">
        <v>43242.63552083333</v>
      </c>
      <c r="C10" t="n">
        <v>0</v>
      </c>
      <c r="D10" t="n">
        <v>3764</v>
      </c>
      <c r="E10" t="s">
        <v>21</v>
      </c>
      <c r="F10" t="s"/>
      <c r="G10" t="s"/>
      <c r="H10" t="s"/>
      <c r="I10" t="s"/>
      <c r="J10" t="n">
        <v>-0.4019</v>
      </c>
      <c r="K10" t="n">
        <v>0.114</v>
      </c>
      <c r="L10" t="n">
        <v>0.886</v>
      </c>
      <c r="M10" t="n">
        <v>0</v>
      </c>
    </row>
    <row r="11" spans="1:13">
      <c r="A11" s="1">
        <f>HYPERLINK("http://www.twitter.com/NathanBLawrence/status/998811396744863744", "998811396744863744")</f>
        <v/>
      </c>
      <c r="B11" s="2" t="n">
        <v>43242.26583333333</v>
      </c>
      <c r="C11" t="n">
        <v>0</v>
      </c>
      <c r="D11" t="n">
        <v>2</v>
      </c>
      <c r="E11" t="s">
        <v>22</v>
      </c>
      <c r="F11" t="s"/>
      <c r="G11" t="s"/>
      <c r="H11" t="s"/>
      <c r="I11" t="s"/>
      <c r="J11" t="n">
        <v>0.5574</v>
      </c>
      <c r="K11" t="n">
        <v>0</v>
      </c>
      <c r="L11" t="n">
        <v>0.833</v>
      </c>
      <c r="M11" t="n">
        <v>0.167</v>
      </c>
    </row>
    <row r="12" spans="1:13">
      <c r="A12" s="1">
        <f>HYPERLINK("http://www.twitter.com/NathanBLawrence/status/998791095428448256", "998791095428448256")</f>
        <v/>
      </c>
      <c r="B12" s="2" t="n">
        <v>43242.20981481481</v>
      </c>
      <c r="C12" t="n">
        <v>0</v>
      </c>
      <c r="D12" t="n">
        <v>14</v>
      </c>
      <c r="E12" t="s">
        <v>23</v>
      </c>
      <c r="F12">
        <f>HYPERLINK("http://pbs.twimg.com/media/DdwkJc-U8AEXWTi.jpg", "http://pbs.twimg.com/media/DdwkJc-U8AEXWTi.jpg")</f>
        <v/>
      </c>
      <c r="G12" t="s"/>
      <c r="H12" t="s"/>
      <c r="I12" t="s"/>
      <c r="J12" t="n">
        <v>0.4926</v>
      </c>
      <c r="K12" t="n">
        <v>0</v>
      </c>
      <c r="L12" t="n">
        <v>0.825</v>
      </c>
      <c r="M12" t="n">
        <v>0.175</v>
      </c>
    </row>
    <row r="13" spans="1:13">
      <c r="A13" s="1">
        <f>HYPERLINK("http://www.twitter.com/NathanBLawrence/status/998791008526782464", "998791008526782464")</f>
        <v/>
      </c>
      <c r="B13" s="2" t="n">
        <v>43242.20957175926</v>
      </c>
      <c r="C13" t="n">
        <v>0</v>
      </c>
      <c r="D13" t="n">
        <v>9</v>
      </c>
      <c r="E13" t="s">
        <v>24</v>
      </c>
      <c r="F13" t="s"/>
      <c r="G13" t="s"/>
      <c r="H13" t="s"/>
      <c r="I13" t="s"/>
      <c r="J13" t="n">
        <v>0.3947</v>
      </c>
      <c r="K13" t="n">
        <v>0.195</v>
      </c>
      <c r="L13" t="n">
        <v>0.5610000000000001</v>
      </c>
      <c r="M13" t="n">
        <v>0.244</v>
      </c>
    </row>
    <row r="14" spans="1:13">
      <c r="A14" s="1">
        <f>HYPERLINK("http://www.twitter.com/NathanBLawrence/status/998790616690675712", "998790616690675712")</f>
        <v/>
      </c>
      <c r="B14" s="2" t="n">
        <v>43242.20849537037</v>
      </c>
      <c r="C14" t="n">
        <v>0</v>
      </c>
      <c r="D14" t="n">
        <v>17</v>
      </c>
      <c r="E14" t="s">
        <v>25</v>
      </c>
      <c r="F14" t="s"/>
      <c r="G14" t="s"/>
      <c r="H14" t="s"/>
      <c r="I14" t="s"/>
      <c r="J14" t="n">
        <v>-0.6486</v>
      </c>
      <c r="K14" t="n">
        <v>0.209</v>
      </c>
      <c r="L14" t="n">
        <v>0.791</v>
      </c>
      <c r="M14" t="n">
        <v>0</v>
      </c>
    </row>
    <row r="15" spans="1:13">
      <c r="A15" s="1">
        <f>HYPERLINK("http://www.twitter.com/NathanBLawrence/status/998772919370244096", "998772919370244096")</f>
        <v/>
      </c>
      <c r="B15" s="2" t="n">
        <v>43242.15965277778</v>
      </c>
      <c r="C15" t="n">
        <v>0</v>
      </c>
      <c r="D15" t="n">
        <v>2</v>
      </c>
      <c r="E15" t="s">
        <v>26</v>
      </c>
      <c r="F15" t="s"/>
      <c r="G15" t="s"/>
      <c r="H15" t="s"/>
      <c r="I15" t="s"/>
      <c r="J15" t="n">
        <v>0</v>
      </c>
      <c r="K15" t="n">
        <v>0</v>
      </c>
      <c r="L15" t="n">
        <v>1</v>
      </c>
      <c r="M15" t="n">
        <v>0</v>
      </c>
    </row>
    <row r="16" spans="1:13">
      <c r="A16" s="1">
        <f>HYPERLINK("http://www.twitter.com/NathanBLawrence/status/998760406536597504", "998760406536597504")</f>
        <v/>
      </c>
      <c r="B16" s="2" t="n">
        <v>43242.12512731482</v>
      </c>
      <c r="C16" t="n">
        <v>0</v>
      </c>
      <c r="D16" t="n">
        <v>16</v>
      </c>
      <c r="E16" t="s">
        <v>27</v>
      </c>
      <c r="F16">
        <f>HYPERLINK("http://pbs.twimg.com/media/DdwdF9nU0AApFnE.jpg", "http://pbs.twimg.com/media/DdwdF9nU0AApFnE.jpg")</f>
        <v/>
      </c>
      <c r="G16">
        <f>HYPERLINK("http://pbs.twimg.com/media/DdwdGXtU0AAhSBb.jpg", "http://pbs.twimg.com/media/DdwdGXtU0AAhSBb.jpg")</f>
        <v/>
      </c>
      <c r="H16">
        <f>HYPERLINK("http://pbs.twimg.com/media/DdwdGx1VMAAvUSs.jpg", "http://pbs.twimg.com/media/DdwdGx1VMAAvUSs.jpg")</f>
        <v/>
      </c>
      <c r="I16">
        <f>HYPERLINK("http://pbs.twimg.com/media/DdwdHK7VQAAbDxG.jpg", "http://pbs.twimg.com/media/DdwdHK7VQAAbDxG.jpg")</f>
        <v/>
      </c>
      <c r="J16" t="n">
        <v>-0.3382</v>
      </c>
      <c r="K16" t="n">
        <v>0.117</v>
      </c>
      <c r="L16" t="n">
        <v>0.883</v>
      </c>
      <c r="M16" t="n">
        <v>0</v>
      </c>
    </row>
    <row r="17" spans="1:13">
      <c r="A17" s="1">
        <f>HYPERLINK("http://www.twitter.com/NathanBLawrence/status/998760188961320960", "998760188961320960")</f>
        <v/>
      </c>
      <c r="B17" s="2" t="n">
        <v>43242.12452546296</v>
      </c>
      <c r="C17" t="n">
        <v>0</v>
      </c>
      <c r="D17" t="n">
        <v>17</v>
      </c>
      <c r="E17" t="s">
        <v>28</v>
      </c>
      <c r="F17" t="s"/>
      <c r="G17" t="s"/>
      <c r="H17" t="s"/>
      <c r="I17" t="s"/>
      <c r="J17" t="n">
        <v>0.1739</v>
      </c>
      <c r="K17" t="n">
        <v>0.106</v>
      </c>
      <c r="L17" t="n">
        <v>0.762</v>
      </c>
      <c r="M17" t="n">
        <v>0.131</v>
      </c>
    </row>
    <row r="18" spans="1:13">
      <c r="A18" s="1">
        <f>HYPERLINK("http://www.twitter.com/NathanBLawrence/status/998759689251885057", "998759689251885057")</f>
        <v/>
      </c>
      <c r="B18" s="2" t="n">
        <v>43242.12314814814</v>
      </c>
      <c r="C18" t="n">
        <v>0</v>
      </c>
      <c r="D18" t="n">
        <v>16</v>
      </c>
      <c r="E18" t="s">
        <v>29</v>
      </c>
      <c r="F18" t="s"/>
      <c r="G18" t="s"/>
      <c r="H18" t="s"/>
      <c r="I18" t="s"/>
      <c r="J18" t="n">
        <v>-0.3818</v>
      </c>
      <c r="K18" t="n">
        <v>0.106</v>
      </c>
      <c r="L18" t="n">
        <v>0.894</v>
      </c>
      <c r="M18" t="n">
        <v>0</v>
      </c>
    </row>
    <row r="19" spans="1:13">
      <c r="A19" s="1">
        <f>HYPERLINK("http://www.twitter.com/NathanBLawrence/status/998759130507735040", "998759130507735040")</f>
        <v/>
      </c>
      <c r="B19" s="2" t="n">
        <v>43242.1216087963</v>
      </c>
      <c r="C19" t="n">
        <v>0</v>
      </c>
      <c r="D19" t="n">
        <v>14</v>
      </c>
      <c r="E19" t="s">
        <v>30</v>
      </c>
      <c r="F19">
        <f>HYPERLINK("http://pbs.twimg.com/media/DdwbsbiUQAEKIHK.jpg", "http://pbs.twimg.com/media/DdwbsbiUQAEKIHK.jpg")</f>
        <v/>
      </c>
      <c r="G19" t="s"/>
      <c r="H19" t="s"/>
      <c r="I19" t="s"/>
      <c r="J19" t="n">
        <v>0.5079</v>
      </c>
      <c r="K19" t="n">
        <v>0.099</v>
      </c>
      <c r="L19" t="n">
        <v>0.6840000000000001</v>
      </c>
      <c r="M19" t="n">
        <v>0.217</v>
      </c>
    </row>
    <row r="20" spans="1:13">
      <c r="A20" s="1">
        <f>HYPERLINK("http://www.twitter.com/NathanBLawrence/status/998758703489839104", "998758703489839104")</f>
        <v/>
      </c>
      <c r="B20" s="2" t="n">
        <v>43242.12042824074</v>
      </c>
      <c r="C20" t="n">
        <v>0</v>
      </c>
      <c r="D20" t="n">
        <v>92</v>
      </c>
      <c r="E20" t="s">
        <v>31</v>
      </c>
      <c r="F20" t="s"/>
      <c r="G20" t="s"/>
      <c r="H20" t="s"/>
      <c r="I20" t="s"/>
      <c r="J20" t="n">
        <v>-0.6808</v>
      </c>
      <c r="K20" t="n">
        <v>0.292</v>
      </c>
      <c r="L20" t="n">
        <v>0.708</v>
      </c>
      <c r="M20" t="n">
        <v>0</v>
      </c>
    </row>
    <row r="21" spans="1:13">
      <c r="A21" s="1">
        <f>HYPERLINK("http://www.twitter.com/NathanBLawrence/status/998758533033230336", "998758533033230336")</f>
        <v/>
      </c>
      <c r="B21" s="2" t="n">
        <v>43242.1199537037</v>
      </c>
      <c r="C21" t="n">
        <v>0</v>
      </c>
      <c r="D21" t="n">
        <v>3</v>
      </c>
      <c r="E21" t="s">
        <v>32</v>
      </c>
      <c r="F21" t="s"/>
      <c r="G21" t="s"/>
      <c r="H21" t="s"/>
      <c r="I21" t="s"/>
      <c r="J21" t="n">
        <v>0.4404</v>
      </c>
      <c r="K21" t="n">
        <v>0</v>
      </c>
      <c r="L21" t="n">
        <v>0.843</v>
      </c>
      <c r="M21" t="n">
        <v>0.157</v>
      </c>
    </row>
    <row r="22" spans="1:13">
      <c r="A22" s="1">
        <f>HYPERLINK("http://www.twitter.com/NathanBLawrence/status/998749119974985728", "998749119974985728")</f>
        <v/>
      </c>
      <c r="B22" s="2" t="n">
        <v>43242.09398148148</v>
      </c>
      <c r="C22" t="n">
        <v>0</v>
      </c>
      <c r="D22" t="n">
        <v>477</v>
      </c>
      <c r="E22" t="s">
        <v>33</v>
      </c>
      <c r="F22" t="s"/>
      <c r="G22" t="s"/>
      <c r="H22" t="s"/>
      <c r="I22" t="s"/>
      <c r="J22" t="n">
        <v>0</v>
      </c>
      <c r="K22" t="n">
        <v>0</v>
      </c>
      <c r="L22" t="n">
        <v>1</v>
      </c>
      <c r="M22" t="n">
        <v>0</v>
      </c>
    </row>
    <row r="23" spans="1:13">
      <c r="A23" s="1">
        <f>HYPERLINK("http://www.twitter.com/NathanBLawrence/status/998720505644535808", "998720505644535808")</f>
        <v/>
      </c>
      <c r="B23" s="2" t="n">
        <v>43242.01502314815</v>
      </c>
      <c r="C23" t="n">
        <v>8</v>
      </c>
      <c r="D23" t="n">
        <v>2</v>
      </c>
      <c r="E23" t="s">
        <v>34</v>
      </c>
      <c r="F23" t="s"/>
      <c r="G23" t="s"/>
      <c r="H23" t="s"/>
      <c r="I23" t="s"/>
      <c r="J23" t="n">
        <v>0.9018</v>
      </c>
      <c r="K23" t="n">
        <v>0</v>
      </c>
      <c r="L23" t="n">
        <v>0.598</v>
      </c>
      <c r="M23" t="n">
        <v>0.402</v>
      </c>
    </row>
    <row r="24" spans="1:13">
      <c r="A24" s="1">
        <f>HYPERLINK("http://www.twitter.com/NathanBLawrence/status/998709419587330049", "998709419587330049")</f>
        <v/>
      </c>
      <c r="B24" s="2" t="n">
        <v>43241.98443287037</v>
      </c>
      <c r="C24" t="n">
        <v>0</v>
      </c>
      <c r="D24" t="n">
        <v>67</v>
      </c>
      <c r="E24" t="s">
        <v>35</v>
      </c>
      <c r="F24" t="s"/>
      <c r="G24" t="s"/>
      <c r="H24" t="s"/>
      <c r="I24" t="s"/>
      <c r="J24" t="n">
        <v>-0.6418</v>
      </c>
      <c r="K24" t="n">
        <v>0.168</v>
      </c>
      <c r="L24" t="n">
        <v>0.832</v>
      </c>
      <c r="M24" t="n">
        <v>0</v>
      </c>
    </row>
    <row r="25" spans="1:13">
      <c r="A25" s="1">
        <f>HYPERLINK("http://www.twitter.com/NathanBLawrence/status/998708526775242753", "998708526775242753")</f>
        <v/>
      </c>
      <c r="B25" s="2" t="n">
        <v>43241.98196759259</v>
      </c>
      <c r="C25" t="n">
        <v>0</v>
      </c>
      <c r="D25" t="n">
        <v>21</v>
      </c>
      <c r="E25" t="s">
        <v>36</v>
      </c>
      <c r="F25" t="s"/>
      <c r="G25" t="s"/>
      <c r="H25" t="s"/>
      <c r="I25" t="s"/>
      <c r="J25" t="n">
        <v>0</v>
      </c>
      <c r="K25" t="n">
        <v>0</v>
      </c>
      <c r="L25" t="n">
        <v>1</v>
      </c>
      <c r="M25" t="n">
        <v>0</v>
      </c>
    </row>
    <row r="26" spans="1:13">
      <c r="A26" s="1">
        <f>HYPERLINK("http://www.twitter.com/NathanBLawrence/status/998708462841421824", "998708462841421824")</f>
        <v/>
      </c>
      <c r="B26" s="2" t="n">
        <v>43241.98179398148</v>
      </c>
      <c r="C26" t="n">
        <v>0</v>
      </c>
      <c r="D26" t="n">
        <v>29</v>
      </c>
      <c r="E26" t="s">
        <v>37</v>
      </c>
      <c r="F26" t="s"/>
      <c r="G26" t="s"/>
      <c r="H26" t="s"/>
      <c r="I26" t="s"/>
      <c r="J26" t="n">
        <v>-0.1779</v>
      </c>
      <c r="K26" t="n">
        <v>0.078</v>
      </c>
      <c r="L26" t="n">
        <v>0.922</v>
      </c>
      <c r="M26" t="n">
        <v>0</v>
      </c>
    </row>
    <row r="27" spans="1:13">
      <c r="A27" s="1">
        <f>HYPERLINK("http://www.twitter.com/NathanBLawrence/status/998692756108300288", "998692756108300288")</f>
        <v/>
      </c>
      <c r="B27" s="2" t="n">
        <v>43241.93844907408</v>
      </c>
      <c r="C27" t="n">
        <v>0</v>
      </c>
      <c r="D27" t="n">
        <v>4</v>
      </c>
      <c r="E27" t="s">
        <v>38</v>
      </c>
      <c r="F27" t="s"/>
      <c r="G27" t="s"/>
      <c r="H27" t="s"/>
      <c r="I27" t="s"/>
      <c r="J27" t="n">
        <v>0</v>
      </c>
      <c r="K27" t="n">
        <v>0</v>
      </c>
      <c r="L27" t="n">
        <v>1</v>
      </c>
      <c r="M27" t="n">
        <v>0</v>
      </c>
    </row>
    <row r="28" spans="1:13">
      <c r="A28" s="1">
        <f>HYPERLINK("http://www.twitter.com/NathanBLawrence/status/998692693793525766", "998692693793525766")</f>
        <v/>
      </c>
      <c r="B28" s="2" t="n">
        <v>43241.93827546296</v>
      </c>
      <c r="C28" t="n">
        <v>0</v>
      </c>
      <c r="D28" t="n">
        <v>4</v>
      </c>
      <c r="E28" t="s">
        <v>39</v>
      </c>
      <c r="F28">
        <f>HYPERLINK("http://pbs.twimg.com/media/DdwQptLV4AAmgCt.jpg", "http://pbs.twimg.com/media/DdwQptLV4AAmgCt.jpg")</f>
        <v/>
      </c>
      <c r="G28" t="s"/>
      <c r="H28" t="s"/>
      <c r="I28" t="s"/>
      <c r="J28" t="n">
        <v>0</v>
      </c>
      <c r="K28" t="n">
        <v>0</v>
      </c>
      <c r="L28" t="n">
        <v>1</v>
      </c>
      <c r="M28" t="n">
        <v>0</v>
      </c>
    </row>
    <row r="29" spans="1:13">
      <c r="A29" s="1">
        <f>HYPERLINK("http://www.twitter.com/NathanBLawrence/status/998677380918112256", "998677380918112256")</f>
        <v/>
      </c>
      <c r="B29" s="2" t="n">
        <v>43241.89601851852</v>
      </c>
      <c r="C29" t="n">
        <v>0</v>
      </c>
      <c r="D29" t="n">
        <v>0</v>
      </c>
      <c r="E29" t="s">
        <v>40</v>
      </c>
      <c r="F29" t="s"/>
      <c r="G29" t="s"/>
      <c r="H29" t="s"/>
      <c r="I29" t="s"/>
      <c r="J29" t="n">
        <v>0</v>
      </c>
      <c r="K29" t="n">
        <v>0</v>
      </c>
      <c r="L29" t="n">
        <v>1</v>
      </c>
      <c r="M29" t="n">
        <v>0</v>
      </c>
    </row>
    <row r="30" spans="1:13">
      <c r="A30" s="1">
        <f>HYPERLINK("http://www.twitter.com/NathanBLawrence/status/998677314559971329", "998677314559971329")</f>
        <v/>
      </c>
      <c r="B30" s="2" t="n">
        <v>43241.89583333334</v>
      </c>
      <c r="C30" t="n">
        <v>0</v>
      </c>
      <c r="D30" t="n">
        <v>10</v>
      </c>
      <c r="E30" t="s">
        <v>41</v>
      </c>
      <c r="F30">
        <f>HYPERLINK("https://video.twimg.com/ext_tw_video/998665291268685824/pu/vid/1280x720/Xxr2blON9tgSF2RA.mp4?tag=3", "https://video.twimg.com/ext_tw_video/998665291268685824/pu/vid/1280x720/Xxr2blON9tgSF2RA.mp4?tag=3")</f>
        <v/>
      </c>
      <c r="G30" t="s"/>
      <c r="H30" t="s"/>
      <c r="I30" t="s"/>
      <c r="J30" t="n">
        <v>0</v>
      </c>
      <c r="K30" t="n">
        <v>0</v>
      </c>
      <c r="L30" t="n">
        <v>1</v>
      </c>
      <c r="M30" t="n">
        <v>0</v>
      </c>
    </row>
    <row r="31" spans="1:13">
      <c r="A31" s="1">
        <f>HYPERLINK("http://www.twitter.com/NathanBLawrence/status/998676638320726016", "998676638320726016")</f>
        <v/>
      </c>
      <c r="B31" s="2" t="n">
        <v>43241.89396990741</v>
      </c>
      <c r="C31" t="n">
        <v>0</v>
      </c>
      <c r="D31" t="n">
        <v>1</v>
      </c>
      <c r="E31" t="s">
        <v>42</v>
      </c>
      <c r="F31" t="s"/>
      <c r="G31" t="s"/>
      <c r="H31" t="s"/>
      <c r="I31" t="s"/>
      <c r="J31" t="n">
        <v>-0.2462</v>
      </c>
      <c r="K31" t="n">
        <v>0.135</v>
      </c>
      <c r="L31" t="n">
        <v>0.777</v>
      </c>
      <c r="M31" t="n">
        <v>0.08699999999999999</v>
      </c>
    </row>
    <row r="32" spans="1:13">
      <c r="A32" s="1">
        <f>HYPERLINK("http://www.twitter.com/NathanBLawrence/status/998671742108348416", "998671742108348416")</f>
        <v/>
      </c>
      <c r="B32" s="2" t="n">
        <v>43241.88046296296</v>
      </c>
      <c r="C32" t="n">
        <v>0</v>
      </c>
      <c r="D32" t="n">
        <v>9</v>
      </c>
      <c r="E32" t="s">
        <v>43</v>
      </c>
      <c r="F32">
        <f>HYPERLINK("http://pbs.twimg.com/media/Ddv-G9gU8AAqMXV.jpg", "http://pbs.twimg.com/media/Ddv-G9gU8AAqMXV.jpg")</f>
        <v/>
      </c>
      <c r="G32" t="s"/>
      <c r="H32" t="s"/>
      <c r="I32" t="s"/>
      <c r="J32" t="n">
        <v>0.34</v>
      </c>
      <c r="K32" t="n">
        <v>0</v>
      </c>
      <c r="L32" t="n">
        <v>0.862</v>
      </c>
      <c r="M32" t="n">
        <v>0.138</v>
      </c>
    </row>
    <row r="33" spans="1:13">
      <c r="A33" s="1">
        <f>HYPERLINK("http://www.twitter.com/NathanBLawrence/status/998669742083854336", "998669742083854336")</f>
        <v/>
      </c>
      <c r="B33" s="2" t="n">
        <v>43241.87494212963</v>
      </c>
      <c r="C33" t="n">
        <v>0</v>
      </c>
      <c r="D33" t="n">
        <v>2623</v>
      </c>
      <c r="E33" t="s">
        <v>44</v>
      </c>
      <c r="F33" t="s"/>
      <c r="G33" t="s"/>
      <c r="H33" t="s"/>
      <c r="I33" t="s"/>
      <c r="J33" t="n">
        <v>-0.743</v>
      </c>
      <c r="K33" t="n">
        <v>0.289</v>
      </c>
      <c r="L33" t="n">
        <v>0.631</v>
      </c>
      <c r="M33" t="n">
        <v>0.08</v>
      </c>
    </row>
    <row r="34" spans="1:13">
      <c r="A34" s="1">
        <f>HYPERLINK("http://www.twitter.com/NathanBLawrence/status/998667537813590018", "998667537813590018")</f>
        <v/>
      </c>
      <c r="B34" s="2" t="n">
        <v>43241.86886574074</v>
      </c>
      <c r="C34" t="n">
        <v>0</v>
      </c>
      <c r="D34" t="n">
        <v>1058</v>
      </c>
      <c r="E34" t="s">
        <v>45</v>
      </c>
      <c r="F34">
        <f>HYPERLINK("http://pbs.twimg.com/media/Ddv1616V0AEndsI.jpg", "http://pbs.twimg.com/media/Ddv1616V0AEndsI.jpg")</f>
        <v/>
      </c>
      <c r="G34" t="s"/>
      <c r="H34" t="s"/>
      <c r="I34" t="s"/>
      <c r="J34" t="n">
        <v>0</v>
      </c>
      <c r="K34" t="n">
        <v>0</v>
      </c>
      <c r="L34" t="n">
        <v>1</v>
      </c>
      <c r="M34" t="n">
        <v>0</v>
      </c>
    </row>
    <row r="35" spans="1:13">
      <c r="A35" s="1">
        <f>HYPERLINK("http://www.twitter.com/NathanBLawrence/status/998666609400205314", "998666609400205314")</f>
        <v/>
      </c>
      <c r="B35" s="2" t="n">
        <v>43241.8662962963</v>
      </c>
      <c r="C35" t="n">
        <v>0</v>
      </c>
      <c r="D35" t="n">
        <v>24</v>
      </c>
      <c r="E35" t="s">
        <v>46</v>
      </c>
      <c r="F35" t="s"/>
      <c r="G35" t="s"/>
      <c r="H35" t="s"/>
      <c r="I35" t="s"/>
      <c r="J35" t="n">
        <v>0.6588000000000001</v>
      </c>
      <c r="K35" t="n">
        <v>0</v>
      </c>
      <c r="L35" t="n">
        <v>0.646</v>
      </c>
      <c r="M35" t="n">
        <v>0.354</v>
      </c>
    </row>
    <row r="36" spans="1:13">
      <c r="A36" s="1">
        <f>HYPERLINK("http://www.twitter.com/NathanBLawrence/status/998662584701280256", "998662584701280256")</f>
        <v/>
      </c>
      <c r="B36" s="2" t="n">
        <v>43241.85519675926</v>
      </c>
      <c r="C36" t="n">
        <v>0</v>
      </c>
      <c r="D36" t="n">
        <v>7</v>
      </c>
      <c r="E36" t="s">
        <v>47</v>
      </c>
      <c r="F36" t="s"/>
      <c r="G36" t="s"/>
      <c r="H36" t="s"/>
      <c r="I36" t="s"/>
      <c r="J36" t="n">
        <v>-0.5719</v>
      </c>
      <c r="K36" t="n">
        <v>0.144</v>
      </c>
      <c r="L36" t="n">
        <v>0.856</v>
      </c>
      <c r="M36" t="n">
        <v>0</v>
      </c>
    </row>
    <row r="37" spans="1:13">
      <c r="A37" s="1">
        <f>HYPERLINK("http://www.twitter.com/NathanBLawrence/status/998662486474838016", "998662486474838016")</f>
        <v/>
      </c>
      <c r="B37" s="2" t="n">
        <v>43241.85491898148</v>
      </c>
      <c r="C37" t="n">
        <v>0</v>
      </c>
      <c r="D37" t="n">
        <v>9</v>
      </c>
      <c r="E37" t="s">
        <v>48</v>
      </c>
      <c r="F37" t="s"/>
      <c r="G37" t="s"/>
      <c r="H37" t="s"/>
      <c r="I37" t="s"/>
      <c r="J37" t="n">
        <v>-0.3612</v>
      </c>
      <c r="K37" t="n">
        <v>0.106</v>
      </c>
      <c r="L37" t="n">
        <v>0.894</v>
      </c>
      <c r="M37" t="n">
        <v>0</v>
      </c>
    </row>
    <row r="38" spans="1:13">
      <c r="A38" s="1">
        <f>HYPERLINK("http://www.twitter.com/NathanBLawrence/status/998641917125693442", "998641917125693442")</f>
        <v/>
      </c>
      <c r="B38" s="2" t="n">
        <v>43241.79815972222</v>
      </c>
      <c r="C38" t="n">
        <v>0</v>
      </c>
      <c r="D38" t="n">
        <v>2</v>
      </c>
      <c r="E38" t="s">
        <v>49</v>
      </c>
      <c r="F38" t="s"/>
      <c r="G38" t="s"/>
      <c r="H38" t="s"/>
      <c r="I38" t="s"/>
      <c r="J38" t="n">
        <v>0</v>
      </c>
      <c r="K38" t="n">
        <v>0</v>
      </c>
      <c r="L38" t="n">
        <v>1</v>
      </c>
      <c r="M38" t="n">
        <v>0</v>
      </c>
    </row>
    <row r="39" spans="1:13">
      <c r="A39" s="1">
        <f>HYPERLINK("http://www.twitter.com/NathanBLawrence/status/998641421514100736", "998641421514100736")</f>
        <v/>
      </c>
      <c r="B39" s="2" t="n">
        <v>43241.79679398148</v>
      </c>
      <c r="C39" t="n">
        <v>0</v>
      </c>
      <c r="D39" t="n">
        <v>9</v>
      </c>
      <c r="E39" t="s">
        <v>50</v>
      </c>
      <c r="F39">
        <f>HYPERLINK("http://pbs.twimg.com/media/DduzUTxU8AAwrQT.jpg", "http://pbs.twimg.com/media/DduzUTxU8AAwrQT.jpg")</f>
        <v/>
      </c>
      <c r="G39" t="s"/>
      <c r="H39" t="s"/>
      <c r="I39" t="s"/>
      <c r="J39" t="n">
        <v>0</v>
      </c>
      <c r="K39" t="n">
        <v>0</v>
      </c>
      <c r="L39" t="n">
        <v>1</v>
      </c>
      <c r="M39" t="n">
        <v>0</v>
      </c>
    </row>
    <row r="40" spans="1:13">
      <c r="A40" s="1">
        <f>HYPERLINK("http://www.twitter.com/NathanBLawrence/status/998641277498527744", "998641277498527744")</f>
        <v/>
      </c>
      <c r="B40" s="2" t="n">
        <v>43241.79640046296</v>
      </c>
      <c r="C40" t="n">
        <v>0</v>
      </c>
      <c r="D40" t="n">
        <v>17</v>
      </c>
      <c r="E40" t="s">
        <v>51</v>
      </c>
      <c r="F40">
        <f>HYPERLINK("http://pbs.twimg.com/media/DdurkRqU0AASyPs.jpg", "http://pbs.twimg.com/media/DdurkRqU0AASyPs.jpg")</f>
        <v/>
      </c>
      <c r="G40" t="s"/>
      <c r="H40" t="s"/>
      <c r="I40" t="s"/>
      <c r="J40" t="n">
        <v>-0.4696</v>
      </c>
      <c r="K40" t="n">
        <v>0.127</v>
      </c>
      <c r="L40" t="n">
        <v>0.873</v>
      </c>
      <c r="M40" t="n">
        <v>0</v>
      </c>
    </row>
    <row r="41" spans="1:13">
      <c r="A41" s="1">
        <f>HYPERLINK("http://www.twitter.com/NathanBLawrence/status/998616199465521152", "998616199465521152")</f>
        <v/>
      </c>
      <c r="B41" s="2" t="n">
        <v>43241.72719907408</v>
      </c>
      <c r="C41" t="n">
        <v>0</v>
      </c>
      <c r="D41" t="n">
        <v>1</v>
      </c>
      <c r="E41" t="s">
        <v>52</v>
      </c>
      <c r="F41" t="s"/>
      <c r="G41" t="s"/>
      <c r="H41" t="s"/>
      <c r="I41" t="s"/>
      <c r="J41" t="n">
        <v>0</v>
      </c>
      <c r="K41" t="n">
        <v>0</v>
      </c>
      <c r="L41" t="n">
        <v>1</v>
      </c>
      <c r="M41" t="n">
        <v>0</v>
      </c>
    </row>
    <row r="42" spans="1:13">
      <c r="A42" s="1">
        <f>HYPERLINK("http://www.twitter.com/NathanBLawrence/status/998406255856312320", "998406255856312320")</f>
        <v/>
      </c>
      <c r="B42" s="2" t="n">
        <v>43241.1478587963</v>
      </c>
      <c r="C42" t="n">
        <v>0</v>
      </c>
      <c r="D42" t="n">
        <v>8</v>
      </c>
      <c r="E42" t="s">
        <v>53</v>
      </c>
      <c r="F42">
        <f>HYPERLINK("http://pbs.twimg.com/media/DdrOZbDUwAIs4yI.jpg", "http://pbs.twimg.com/media/DdrOZbDUwAIs4yI.jpg")</f>
        <v/>
      </c>
      <c r="G42" t="s"/>
      <c r="H42" t="s"/>
      <c r="I42" t="s"/>
      <c r="J42" t="n">
        <v>-0.4767</v>
      </c>
      <c r="K42" t="n">
        <v>0.163</v>
      </c>
      <c r="L42" t="n">
        <v>0.837</v>
      </c>
      <c r="M42" t="n">
        <v>0</v>
      </c>
    </row>
    <row r="43" spans="1:13">
      <c r="A43" s="1">
        <f>HYPERLINK("http://www.twitter.com/NathanBLawrence/status/998405945884659712", "998405945884659712")</f>
        <v/>
      </c>
      <c r="B43" s="2" t="n">
        <v>43241.14700231481</v>
      </c>
      <c r="C43" t="n">
        <v>0</v>
      </c>
      <c r="D43" t="n">
        <v>4</v>
      </c>
      <c r="E43" t="s">
        <v>54</v>
      </c>
      <c r="F43" t="s"/>
      <c r="G43" t="s"/>
      <c r="H43" t="s"/>
      <c r="I43" t="s"/>
      <c r="J43" t="n">
        <v>0</v>
      </c>
      <c r="K43" t="n">
        <v>0</v>
      </c>
      <c r="L43" t="n">
        <v>1</v>
      </c>
      <c r="M43" t="n">
        <v>0</v>
      </c>
    </row>
    <row r="44" spans="1:13">
      <c r="A44" s="1">
        <f>HYPERLINK("http://www.twitter.com/NathanBLawrence/status/998405194202406912", "998405194202406912")</f>
        <v/>
      </c>
      <c r="B44" s="2" t="n">
        <v>43241.14493055556</v>
      </c>
      <c r="C44" t="n">
        <v>0</v>
      </c>
      <c r="D44" t="n">
        <v>103</v>
      </c>
      <c r="E44" t="s">
        <v>55</v>
      </c>
      <c r="F44" t="s"/>
      <c r="G44" t="s"/>
      <c r="H44" t="s"/>
      <c r="I44" t="s"/>
      <c r="J44" t="n">
        <v>-0.7925</v>
      </c>
      <c r="K44" t="n">
        <v>0.321</v>
      </c>
      <c r="L44" t="n">
        <v>0.679</v>
      </c>
      <c r="M44" t="n">
        <v>0</v>
      </c>
    </row>
    <row r="45" spans="1:13">
      <c r="A45" s="1">
        <f>HYPERLINK("http://www.twitter.com/NathanBLawrence/status/998404359259123715", "998404359259123715")</f>
        <v/>
      </c>
      <c r="B45" s="2" t="n">
        <v>43241.14262731482</v>
      </c>
      <c r="C45" t="n">
        <v>0</v>
      </c>
      <c r="D45" t="n">
        <v>7</v>
      </c>
      <c r="E45" t="s">
        <v>56</v>
      </c>
      <c r="F45" t="s"/>
      <c r="G45" t="s"/>
      <c r="H45" t="s"/>
      <c r="I45" t="s"/>
      <c r="J45" t="n">
        <v>0</v>
      </c>
      <c r="K45" t="n">
        <v>0</v>
      </c>
      <c r="L45" t="n">
        <v>1</v>
      </c>
      <c r="M45" t="n">
        <v>0</v>
      </c>
    </row>
    <row r="46" spans="1:13">
      <c r="A46" s="1">
        <f>HYPERLINK("http://www.twitter.com/NathanBLawrence/status/998369384598003712", "998369384598003712")</f>
        <v/>
      </c>
      <c r="B46" s="2" t="n">
        <v>43241.04611111111</v>
      </c>
      <c r="C46" t="n">
        <v>0</v>
      </c>
      <c r="D46" t="n">
        <v>463</v>
      </c>
      <c r="E46" t="s">
        <v>57</v>
      </c>
      <c r="F46" t="s"/>
      <c r="G46" t="s"/>
      <c r="H46" t="s"/>
      <c r="I46" t="s"/>
      <c r="J46" t="n">
        <v>-0.1027</v>
      </c>
      <c r="K46" t="n">
        <v>0.142</v>
      </c>
      <c r="L46" t="n">
        <v>0.766</v>
      </c>
      <c r="M46" t="n">
        <v>0.091</v>
      </c>
    </row>
    <row r="47" spans="1:13">
      <c r="A47" s="1">
        <f>HYPERLINK("http://www.twitter.com/NathanBLawrence/status/998319241395933187", "998319241395933187")</f>
        <v/>
      </c>
      <c r="B47" s="2" t="n">
        <v>43240.90774305556</v>
      </c>
      <c r="C47" t="n">
        <v>0</v>
      </c>
      <c r="D47" t="n">
        <v>10</v>
      </c>
      <c r="E47" t="s">
        <v>58</v>
      </c>
      <c r="F47">
        <f>HYPERLINK("http://pbs.twimg.com/media/Ddpv03AV4AApcOy.png", "http://pbs.twimg.com/media/Ddpv03AV4AApcOy.png")</f>
        <v/>
      </c>
      <c r="G47" t="s"/>
      <c r="H47" t="s"/>
      <c r="I47" t="s"/>
      <c r="J47" t="n">
        <v>-0.2263</v>
      </c>
      <c r="K47" t="n">
        <v>0.083</v>
      </c>
      <c r="L47" t="n">
        <v>0.917</v>
      </c>
      <c r="M47" t="n">
        <v>0</v>
      </c>
    </row>
    <row r="48" spans="1:13">
      <c r="A48" s="1">
        <f>HYPERLINK("http://www.twitter.com/NathanBLawrence/status/998317568254533634", "998317568254533634")</f>
        <v/>
      </c>
      <c r="B48" s="2" t="n">
        <v>43240.903125</v>
      </c>
      <c r="C48" t="n">
        <v>0</v>
      </c>
      <c r="D48" t="n">
        <v>6</v>
      </c>
      <c r="E48" t="s">
        <v>59</v>
      </c>
      <c r="F48" t="s"/>
      <c r="G48" t="s"/>
      <c r="H48" t="s"/>
      <c r="I48" t="s"/>
      <c r="J48" t="n">
        <v>0.4404</v>
      </c>
      <c r="K48" t="n">
        <v>0</v>
      </c>
      <c r="L48" t="n">
        <v>0.837</v>
      </c>
      <c r="M48" t="n">
        <v>0.163</v>
      </c>
    </row>
    <row r="49" spans="1:13">
      <c r="A49" s="1">
        <f>HYPERLINK("http://www.twitter.com/NathanBLawrence/status/998317210748715010", "998317210748715010")</f>
        <v/>
      </c>
      <c r="B49" s="2" t="n">
        <v>43240.9021412037</v>
      </c>
      <c r="C49" t="n">
        <v>0</v>
      </c>
      <c r="D49" t="n">
        <v>16</v>
      </c>
      <c r="E49" t="s">
        <v>60</v>
      </c>
      <c r="F49">
        <f>HYPERLINK("http://pbs.twimg.com/media/DdpzWo8VMAAcJx7.jpg", "http://pbs.twimg.com/media/DdpzWo8VMAAcJx7.jpg")</f>
        <v/>
      </c>
      <c r="G49" t="s"/>
      <c r="H49" t="s"/>
      <c r="I49" t="s"/>
      <c r="J49" t="n">
        <v>0.34</v>
      </c>
      <c r="K49" t="n">
        <v>0</v>
      </c>
      <c r="L49" t="n">
        <v>0.888</v>
      </c>
      <c r="M49" t="n">
        <v>0.112</v>
      </c>
    </row>
    <row r="50" spans="1:13">
      <c r="A50" s="1">
        <f>HYPERLINK("http://www.twitter.com/NathanBLawrence/status/998316959707131904", "998316959707131904")</f>
        <v/>
      </c>
      <c r="B50" s="2" t="n">
        <v>43240.90144675926</v>
      </c>
      <c r="C50" t="n">
        <v>0</v>
      </c>
      <c r="D50" t="n">
        <v>72</v>
      </c>
      <c r="E50" t="s">
        <v>61</v>
      </c>
      <c r="F50" t="s"/>
      <c r="G50" t="s"/>
      <c r="H50" t="s"/>
      <c r="I50" t="s"/>
      <c r="J50" t="n">
        <v>0.34</v>
      </c>
      <c r="K50" t="n">
        <v>0.115</v>
      </c>
      <c r="L50" t="n">
        <v>0.65</v>
      </c>
      <c r="M50" t="n">
        <v>0.235</v>
      </c>
    </row>
    <row r="51" spans="1:13">
      <c r="A51" s="1">
        <f>HYPERLINK("http://www.twitter.com/NathanBLawrence/status/998278065011773440", "998278065011773440")</f>
        <v/>
      </c>
      <c r="B51" s="2" t="n">
        <v>43240.79412037037</v>
      </c>
      <c r="C51" t="n">
        <v>1</v>
      </c>
      <c r="D51" t="n">
        <v>0</v>
      </c>
      <c r="E51" t="s">
        <v>62</v>
      </c>
      <c r="F51" t="s"/>
      <c r="G51" t="s"/>
      <c r="H51" t="s"/>
      <c r="I51" t="s"/>
      <c r="J51" t="n">
        <v>0.3612</v>
      </c>
      <c r="K51" t="n">
        <v>0</v>
      </c>
      <c r="L51" t="n">
        <v>0.706</v>
      </c>
      <c r="M51" t="n">
        <v>0.294</v>
      </c>
    </row>
    <row r="52" spans="1:13">
      <c r="A52" s="1">
        <f>HYPERLINK("http://www.twitter.com/NathanBLawrence/status/998269173317939200", "998269173317939200")</f>
        <v/>
      </c>
      <c r="B52" s="2" t="n">
        <v>43240.76958333333</v>
      </c>
      <c r="C52" t="n">
        <v>0</v>
      </c>
      <c r="D52" t="n">
        <v>11</v>
      </c>
      <c r="E52" t="s">
        <v>63</v>
      </c>
      <c r="F52">
        <f>HYPERLINK("http://pbs.twimg.com/media/DdiHjdpU8AAothn.jpg", "http://pbs.twimg.com/media/DdiHjdpU8AAothn.jpg")</f>
        <v/>
      </c>
      <c r="G52" t="s"/>
      <c r="H52" t="s"/>
      <c r="I52" t="s"/>
      <c r="J52" t="n">
        <v>0.8012</v>
      </c>
      <c r="K52" t="n">
        <v>0</v>
      </c>
      <c r="L52" t="n">
        <v>0.703</v>
      </c>
      <c r="M52" t="n">
        <v>0.297</v>
      </c>
    </row>
    <row r="53" spans="1:13">
      <c r="A53" s="1">
        <f>HYPERLINK("http://www.twitter.com/NathanBLawrence/status/998268017439068160", "998268017439068160")</f>
        <v/>
      </c>
      <c r="B53" s="2" t="n">
        <v>43240.76638888889</v>
      </c>
      <c r="C53" t="n">
        <v>0</v>
      </c>
      <c r="D53" t="n">
        <v>9712</v>
      </c>
      <c r="E53" t="s">
        <v>64</v>
      </c>
      <c r="F53">
        <f>HYPERLINK("http://pbs.twimg.com/media/DdnTZERUQAAM9uE.jpg", "http://pbs.twimg.com/media/DdnTZERUQAAM9uE.jpg")</f>
        <v/>
      </c>
      <c r="G53" t="s"/>
      <c r="H53" t="s"/>
      <c r="I53" t="s"/>
      <c r="J53" t="n">
        <v>0</v>
      </c>
      <c r="K53" t="n">
        <v>0</v>
      </c>
      <c r="L53" t="n">
        <v>1</v>
      </c>
      <c r="M53" t="n">
        <v>0</v>
      </c>
    </row>
    <row r="54" spans="1:13">
      <c r="A54" s="1">
        <f>HYPERLINK("http://www.twitter.com/NathanBLawrence/status/998219835829030912", "998219835829030912")</f>
        <v/>
      </c>
      <c r="B54" s="2" t="n">
        <v>43240.6334375</v>
      </c>
      <c r="C54" t="n">
        <v>1</v>
      </c>
      <c r="D54" t="n">
        <v>0</v>
      </c>
      <c r="E54" t="s">
        <v>65</v>
      </c>
      <c r="F54" t="s"/>
      <c r="G54" t="s"/>
      <c r="H54" t="s"/>
      <c r="I54" t="s"/>
      <c r="J54" t="n">
        <v>0.2598</v>
      </c>
      <c r="K54" t="n">
        <v>0.06900000000000001</v>
      </c>
      <c r="L54" t="n">
        <v>0.745</v>
      </c>
      <c r="M54" t="n">
        <v>0.186</v>
      </c>
    </row>
    <row r="55" spans="1:13">
      <c r="A55" s="1">
        <f>HYPERLINK("http://www.twitter.com/NathanBLawrence/status/998208231901196288", "998208231901196288")</f>
        <v/>
      </c>
      <c r="B55" s="2" t="n">
        <v>43240.60141203704</v>
      </c>
      <c r="C55" t="n">
        <v>0</v>
      </c>
      <c r="D55" t="n">
        <v>2660</v>
      </c>
      <c r="E55" t="s">
        <v>66</v>
      </c>
      <c r="F55" t="s"/>
      <c r="G55" t="s"/>
      <c r="H55" t="s"/>
      <c r="I55" t="s"/>
      <c r="J55" t="n">
        <v>0.34</v>
      </c>
      <c r="K55" t="n">
        <v>0</v>
      </c>
      <c r="L55" t="n">
        <v>0.897</v>
      </c>
      <c r="M55" t="n">
        <v>0.103</v>
      </c>
    </row>
    <row r="56" spans="1:13">
      <c r="A56" s="1">
        <f>HYPERLINK("http://www.twitter.com/NathanBLawrence/status/998204002209882113", "998204002209882113")</f>
        <v/>
      </c>
      <c r="B56" s="2" t="n">
        <v>43240.58974537037</v>
      </c>
      <c r="C56" t="n">
        <v>0</v>
      </c>
      <c r="D56" t="n">
        <v>5</v>
      </c>
      <c r="E56" t="s">
        <v>67</v>
      </c>
      <c r="F56" t="s"/>
      <c r="G56" t="s"/>
      <c r="H56" t="s"/>
      <c r="I56" t="s"/>
      <c r="J56" t="n">
        <v>-0.3016</v>
      </c>
      <c r="K56" t="n">
        <v>0.156</v>
      </c>
      <c r="L56" t="n">
        <v>0.728</v>
      </c>
      <c r="M56" t="n">
        <v>0.116</v>
      </c>
    </row>
    <row r="57" spans="1:13">
      <c r="A57" s="1">
        <f>HYPERLINK("http://www.twitter.com/NathanBLawrence/status/998203643433246722", "998203643433246722")</f>
        <v/>
      </c>
      <c r="B57" s="2" t="n">
        <v>43240.58875</v>
      </c>
      <c r="C57" t="n">
        <v>0</v>
      </c>
      <c r="D57" t="n">
        <v>2</v>
      </c>
      <c r="E57" t="s">
        <v>68</v>
      </c>
      <c r="F57" t="s"/>
      <c r="G57" t="s"/>
      <c r="H57" t="s"/>
      <c r="I57" t="s"/>
      <c r="J57" t="n">
        <v>0.6705</v>
      </c>
      <c r="K57" t="n">
        <v>0</v>
      </c>
      <c r="L57" t="n">
        <v>0.766</v>
      </c>
      <c r="M57" t="n">
        <v>0.234</v>
      </c>
    </row>
    <row r="58" spans="1:13">
      <c r="A58" s="1">
        <f>HYPERLINK("http://www.twitter.com/NathanBLawrence/status/998202624922017793", "998202624922017793")</f>
        <v/>
      </c>
      <c r="B58" s="2" t="n">
        <v>43240.58594907408</v>
      </c>
      <c r="C58" t="n">
        <v>0</v>
      </c>
      <c r="D58" t="n">
        <v>3</v>
      </c>
      <c r="E58" t="s">
        <v>69</v>
      </c>
      <c r="F58" t="s"/>
      <c r="G58" t="s"/>
      <c r="H58" t="s"/>
      <c r="I58" t="s"/>
      <c r="J58" t="n">
        <v>0.4389</v>
      </c>
      <c r="K58" t="n">
        <v>0</v>
      </c>
      <c r="L58" t="n">
        <v>0.847</v>
      </c>
      <c r="M58" t="n">
        <v>0.153</v>
      </c>
    </row>
    <row r="59" spans="1:13">
      <c r="A59" s="1">
        <f>HYPERLINK("http://www.twitter.com/NathanBLawrence/status/998202577610248193", "998202577610248193")</f>
        <v/>
      </c>
      <c r="B59" s="2" t="n">
        <v>43240.58581018518</v>
      </c>
      <c r="C59" t="n">
        <v>0</v>
      </c>
      <c r="D59" t="n">
        <v>14</v>
      </c>
      <c r="E59" t="s">
        <v>70</v>
      </c>
      <c r="F59" t="s"/>
      <c r="G59" t="s"/>
      <c r="H59" t="s"/>
      <c r="I59" t="s"/>
      <c r="J59" t="n">
        <v>0.2878</v>
      </c>
      <c r="K59" t="n">
        <v>0</v>
      </c>
      <c r="L59" t="n">
        <v>0.902</v>
      </c>
      <c r="M59" t="n">
        <v>0.098</v>
      </c>
    </row>
    <row r="60" spans="1:13">
      <c r="A60" s="1">
        <f>HYPERLINK("http://www.twitter.com/NathanBLawrence/status/997956970014359552", "997956970014359552")</f>
        <v/>
      </c>
      <c r="B60" s="2" t="n">
        <v>43239.90806712963</v>
      </c>
      <c r="C60" t="n">
        <v>0</v>
      </c>
      <c r="D60" t="n">
        <v>11</v>
      </c>
      <c r="E60" t="s">
        <v>71</v>
      </c>
      <c r="F60" t="s"/>
      <c r="G60" t="s"/>
      <c r="H60" t="s"/>
      <c r="I60" t="s"/>
      <c r="J60" t="n">
        <v>-0.34</v>
      </c>
      <c r="K60" t="n">
        <v>0.175</v>
      </c>
      <c r="L60" t="n">
        <v>0.825</v>
      </c>
      <c r="M60" t="n">
        <v>0</v>
      </c>
    </row>
    <row r="61" spans="1:13">
      <c r="A61" s="1">
        <f>HYPERLINK("http://www.twitter.com/NathanBLawrence/status/997956564530159616", "997956564530159616")</f>
        <v/>
      </c>
      <c r="B61" s="2" t="n">
        <v>43239.90694444445</v>
      </c>
      <c r="C61" t="n">
        <v>0</v>
      </c>
      <c r="D61" t="n">
        <v>6</v>
      </c>
      <c r="E61" t="s">
        <v>72</v>
      </c>
      <c r="F61" t="s"/>
      <c r="G61" t="s"/>
      <c r="H61" t="s"/>
      <c r="I61" t="s"/>
      <c r="J61" t="n">
        <v>-0.3595</v>
      </c>
      <c r="K61" t="n">
        <v>0.135</v>
      </c>
      <c r="L61" t="n">
        <v>0.865</v>
      </c>
      <c r="M61" t="n">
        <v>0</v>
      </c>
    </row>
    <row r="62" spans="1:13">
      <c r="A62" s="1">
        <f>HYPERLINK("http://www.twitter.com/NathanBLawrence/status/997955794745331713", "997955794745331713")</f>
        <v/>
      </c>
      <c r="B62" s="2" t="n">
        <v>43239.90482638889</v>
      </c>
      <c r="C62" t="n">
        <v>0</v>
      </c>
      <c r="D62" t="n">
        <v>1</v>
      </c>
      <c r="E62" t="s">
        <v>73</v>
      </c>
      <c r="F62" t="s"/>
      <c r="G62" t="s"/>
      <c r="H62" t="s"/>
      <c r="I62" t="s"/>
      <c r="J62" t="n">
        <v>0.6705</v>
      </c>
      <c r="K62" t="n">
        <v>0</v>
      </c>
      <c r="L62" t="n">
        <v>0.756</v>
      </c>
      <c r="M62" t="n">
        <v>0.244</v>
      </c>
    </row>
    <row r="63" spans="1:13">
      <c r="A63" s="1">
        <f>HYPERLINK("http://www.twitter.com/NathanBLawrence/status/997955488288530434", "997955488288530434")</f>
        <v/>
      </c>
      <c r="B63" s="2" t="n">
        <v>43239.90398148148</v>
      </c>
      <c r="C63" t="n">
        <v>0</v>
      </c>
      <c r="D63" t="n">
        <v>9</v>
      </c>
      <c r="E63" t="s">
        <v>74</v>
      </c>
      <c r="F63" t="s"/>
      <c r="G63" t="s"/>
      <c r="H63" t="s"/>
      <c r="I63" t="s"/>
      <c r="J63" t="n">
        <v>0.5321</v>
      </c>
      <c r="K63" t="n">
        <v>0.067</v>
      </c>
      <c r="L63" t="n">
        <v>0.727</v>
      </c>
      <c r="M63" t="n">
        <v>0.206</v>
      </c>
    </row>
    <row r="64" spans="1:13">
      <c r="A64" s="1">
        <f>HYPERLINK("http://www.twitter.com/NathanBLawrence/status/997955055960641537", "997955055960641537")</f>
        <v/>
      </c>
      <c r="B64" s="2" t="n">
        <v>43239.90278935185</v>
      </c>
      <c r="C64" t="n">
        <v>0</v>
      </c>
      <c r="D64" t="n">
        <v>4</v>
      </c>
      <c r="E64" t="s">
        <v>75</v>
      </c>
      <c r="F64" t="s"/>
      <c r="G64" t="s"/>
      <c r="H64" t="s"/>
      <c r="I64" t="s"/>
      <c r="J64" t="n">
        <v>-0.5106000000000001</v>
      </c>
      <c r="K64" t="n">
        <v>0.17</v>
      </c>
      <c r="L64" t="n">
        <v>0.83</v>
      </c>
      <c r="M64" t="n">
        <v>0</v>
      </c>
    </row>
    <row r="65" spans="1:13">
      <c r="A65" s="1">
        <f>HYPERLINK("http://www.twitter.com/NathanBLawrence/status/997949234669375488", "997949234669375488")</f>
        <v/>
      </c>
      <c r="B65" s="2" t="n">
        <v>43239.88672453703</v>
      </c>
      <c r="C65" t="n">
        <v>0</v>
      </c>
      <c r="D65" t="n">
        <v>5</v>
      </c>
      <c r="E65" t="s">
        <v>76</v>
      </c>
      <c r="F65" t="s"/>
      <c r="G65" t="s"/>
      <c r="H65" t="s"/>
      <c r="I65" t="s"/>
      <c r="J65" t="n">
        <v>0.34</v>
      </c>
      <c r="K65" t="n">
        <v>0</v>
      </c>
      <c r="L65" t="n">
        <v>0.87</v>
      </c>
      <c r="M65" t="n">
        <v>0.13</v>
      </c>
    </row>
    <row r="66" spans="1:13">
      <c r="A66" s="1">
        <f>HYPERLINK("http://www.twitter.com/NathanBLawrence/status/997915104904609798", "997915104904609798")</f>
        <v/>
      </c>
      <c r="B66" s="2" t="n">
        <v>43239.7925462963</v>
      </c>
      <c r="C66" t="n">
        <v>0</v>
      </c>
      <c r="D66" t="n">
        <v>0</v>
      </c>
      <c r="E66" t="s">
        <v>77</v>
      </c>
      <c r="F66" t="s"/>
      <c r="G66" t="s"/>
      <c r="H66" t="s"/>
      <c r="I66" t="s"/>
      <c r="J66" t="n">
        <v>0.7494</v>
      </c>
      <c r="K66" t="n">
        <v>0</v>
      </c>
      <c r="L66" t="n">
        <v>0.633</v>
      </c>
      <c r="M66" t="n">
        <v>0.367</v>
      </c>
    </row>
    <row r="67" spans="1:13">
      <c r="A67" s="1">
        <f>HYPERLINK("http://www.twitter.com/NathanBLawrence/status/997914239632371712", "997914239632371712")</f>
        <v/>
      </c>
      <c r="B67" s="2" t="n">
        <v>43239.79015046296</v>
      </c>
      <c r="C67" t="n">
        <v>0</v>
      </c>
      <c r="D67" t="n">
        <v>1</v>
      </c>
      <c r="E67" t="s">
        <v>78</v>
      </c>
      <c r="F67" t="s"/>
      <c r="G67" t="s"/>
      <c r="H67" t="s"/>
      <c r="I67" t="s"/>
      <c r="J67" t="n">
        <v>0.8270999999999999</v>
      </c>
      <c r="K67" t="n">
        <v>0</v>
      </c>
      <c r="L67" t="n">
        <v>0.607</v>
      </c>
      <c r="M67" t="n">
        <v>0.393</v>
      </c>
    </row>
    <row r="68" spans="1:13">
      <c r="A68" s="1">
        <f>HYPERLINK("http://www.twitter.com/NathanBLawrence/status/997914209311690752", "997914209311690752")</f>
        <v/>
      </c>
      <c r="B68" s="2" t="n">
        <v>43239.79006944445</v>
      </c>
      <c r="C68" t="n">
        <v>0</v>
      </c>
      <c r="D68" t="n">
        <v>0</v>
      </c>
      <c r="E68" t="s">
        <v>79</v>
      </c>
      <c r="F68" t="s"/>
      <c r="G68" t="s"/>
      <c r="H68" t="s"/>
      <c r="I68" t="s"/>
      <c r="J68" t="n">
        <v>0.0936</v>
      </c>
      <c r="K68" t="n">
        <v>0.078</v>
      </c>
      <c r="L68" t="n">
        <v>0.803</v>
      </c>
      <c r="M68" t="n">
        <v>0.119</v>
      </c>
    </row>
    <row r="69" spans="1:13">
      <c r="A69" s="1">
        <f>HYPERLINK("http://www.twitter.com/NathanBLawrence/status/997904033259184128", "997904033259184128")</f>
        <v/>
      </c>
      <c r="B69" s="2" t="n">
        <v>43239.76199074074</v>
      </c>
      <c r="C69" t="n">
        <v>1</v>
      </c>
      <c r="D69" t="n">
        <v>0</v>
      </c>
      <c r="E69" t="s">
        <v>80</v>
      </c>
      <c r="F69" t="s"/>
      <c r="G69" t="s"/>
      <c r="H69" t="s"/>
      <c r="I69" t="s"/>
      <c r="J69" t="n">
        <v>0</v>
      </c>
      <c r="K69" t="n">
        <v>0</v>
      </c>
      <c r="L69" t="n">
        <v>1</v>
      </c>
      <c r="M69" t="n">
        <v>0</v>
      </c>
    </row>
    <row r="70" spans="1:13">
      <c r="A70" s="1">
        <f>HYPERLINK("http://www.twitter.com/NathanBLawrence/status/997903094435508224", "997903094435508224")</f>
        <v/>
      </c>
      <c r="B70" s="2" t="n">
        <v>43239.75939814815</v>
      </c>
      <c r="C70" t="n">
        <v>5</v>
      </c>
      <c r="D70" t="n">
        <v>4</v>
      </c>
      <c r="E70" t="s">
        <v>81</v>
      </c>
      <c r="F70" t="s"/>
      <c r="G70" t="s"/>
      <c r="H70" t="s"/>
      <c r="I70" t="s"/>
      <c r="J70" t="n">
        <v>0.6856</v>
      </c>
      <c r="K70" t="n">
        <v>0.063</v>
      </c>
      <c r="L70" t="n">
        <v>0.753</v>
      </c>
      <c r="M70" t="n">
        <v>0.184</v>
      </c>
    </row>
    <row r="71" spans="1:13">
      <c r="A71" s="1">
        <f>HYPERLINK("http://www.twitter.com/NathanBLawrence/status/997902077425790976", "997902077425790976")</f>
        <v/>
      </c>
      <c r="B71" s="2" t="n">
        <v>43239.75659722222</v>
      </c>
      <c r="C71" t="n">
        <v>0</v>
      </c>
      <c r="D71" t="n">
        <v>15</v>
      </c>
      <c r="E71" t="s">
        <v>82</v>
      </c>
      <c r="F71" t="s"/>
      <c r="G71" t="s"/>
      <c r="H71" t="s"/>
      <c r="I71" t="s"/>
      <c r="J71" t="n">
        <v>0.1969</v>
      </c>
      <c r="K71" t="n">
        <v>0.055</v>
      </c>
      <c r="L71" t="n">
        <v>0.855</v>
      </c>
      <c r="M71" t="n">
        <v>0.09</v>
      </c>
    </row>
    <row r="72" spans="1:13">
      <c r="A72" s="1">
        <f>HYPERLINK("http://www.twitter.com/NathanBLawrence/status/997899583022825473", "997899583022825473")</f>
        <v/>
      </c>
      <c r="B72" s="2" t="n">
        <v>43239.74971064815</v>
      </c>
      <c r="C72" t="n">
        <v>6</v>
      </c>
      <c r="D72" t="n">
        <v>4</v>
      </c>
      <c r="E72" t="s">
        <v>83</v>
      </c>
      <c r="F72" t="s"/>
      <c r="G72" t="s"/>
      <c r="H72" t="s"/>
      <c r="I72" t="s"/>
      <c r="J72" t="n">
        <v>0.5719</v>
      </c>
      <c r="K72" t="n">
        <v>0.041</v>
      </c>
      <c r="L72" t="n">
        <v>0.806</v>
      </c>
      <c r="M72" t="n">
        <v>0.153</v>
      </c>
    </row>
    <row r="73" spans="1:13">
      <c r="A73" s="1">
        <f>HYPERLINK("http://www.twitter.com/NathanBLawrence/status/997879566562746369", "997879566562746369")</f>
        <v/>
      </c>
      <c r="B73" s="2" t="n">
        <v>43239.69447916667</v>
      </c>
      <c r="C73" t="n">
        <v>0</v>
      </c>
      <c r="D73" t="n">
        <v>5</v>
      </c>
      <c r="E73" t="s">
        <v>84</v>
      </c>
      <c r="F73">
        <f>HYPERLINK("http://pbs.twimg.com/media/Ddkk3VLU8AEnmfz.jpg", "http://pbs.twimg.com/media/Ddkk3VLU8AEnmfz.jpg")</f>
        <v/>
      </c>
      <c r="G73" t="s"/>
      <c r="H73" t="s"/>
      <c r="I73" t="s"/>
      <c r="J73" t="n">
        <v>0</v>
      </c>
      <c r="K73" t="n">
        <v>0</v>
      </c>
      <c r="L73" t="n">
        <v>1</v>
      </c>
      <c r="M73" t="n">
        <v>0</v>
      </c>
    </row>
    <row r="74" spans="1:13">
      <c r="A74" s="1">
        <f>HYPERLINK("http://www.twitter.com/NathanBLawrence/status/997877552646631424", "997877552646631424")</f>
        <v/>
      </c>
      <c r="B74" s="2" t="n">
        <v>43239.68891203704</v>
      </c>
      <c r="C74" t="n">
        <v>0</v>
      </c>
      <c r="D74" t="n">
        <v>3</v>
      </c>
      <c r="E74" t="s">
        <v>85</v>
      </c>
      <c r="F74" t="s"/>
      <c r="G74" t="s"/>
      <c r="H74" t="s"/>
      <c r="I74" t="s"/>
      <c r="J74" t="n">
        <v>0.0258</v>
      </c>
      <c r="K74" t="n">
        <v>0.184</v>
      </c>
      <c r="L74" t="n">
        <v>0.583</v>
      </c>
      <c r="M74" t="n">
        <v>0.233</v>
      </c>
    </row>
    <row r="75" spans="1:13">
      <c r="A75" s="1">
        <f>HYPERLINK("http://www.twitter.com/NathanBLawrence/status/997874512816492544", "997874512816492544")</f>
        <v/>
      </c>
      <c r="B75" s="2" t="n">
        <v>43239.68053240741</v>
      </c>
      <c r="C75" t="n">
        <v>0</v>
      </c>
      <c r="D75" t="n">
        <v>89</v>
      </c>
      <c r="E75" t="s">
        <v>86</v>
      </c>
      <c r="F75" t="s"/>
      <c r="G75" t="s"/>
      <c r="H75" t="s"/>
      <c r="I75" t="s"/>
      <c r="J75" t="n">
        <v>0.2023</v>
      </c>
      <c r="K75" t="n">
        <v>0.075</v>
      </c>
      <c r="L75" t="n">
        <v>0.821</v>
      </c>
      <c r="M75" t="n">
        <v>0.104</v>
      </c>
    </row>
    <row r="76" spans="1:13">
      <c r="A76" s="1">
        <f>HYPERLINK("http://www.twitter.com/NathanBLawrence/status/997874426120110080", "997874426120110080")</f>
        <v/>
      </c>
      <c r="B76" s="2" t="n">
        <v>43239.68028935185</v>
      </c>
      <c r="C76" t="n">
        <v>0</v>
      </c>
      <c r="D76" t="n">
        <v>93</v>
      </c>
      <c r="E76" t="s">
        <v>87</v>
      </c>
      <c r="F76" t="s"/>
      <c r="G76" t="s"/>
      <c r="H76" t="s"/>
      <c r="I76" t="s"/>
      <c r="J76" t="n">
        <v>-0.836</v>
      </c>
      <c r="K76" t="n">
        <v>0.308</v>
      </c>
      <c r="L76" t="n">
        <v>0.6919999999999999</v>
      </c>
      <c r="M76" t="n">
        <v>0</v>
      </c>
    </row>
    <row r="77" spans="1:13">
      <c r="A77" s="1">
        <f>HYPERLINK("http://www.twitter.com/NathanBLawrence/status/997867271975555072", "997867271975555072")</f>
        <v/>
      </c>
      <c r="B77" s="2" t="n">
        <v>43239.66054398148</v>
      </c>
      <c r="C77" t="n">
        <v>1</v>
      </c>
      <c r="D77" t="n">
        <v>0</v>
      </c>
      <c r="E77" t="s">
        <v>88</v>
      </c>
      <c r="F77" t="s"/>
      <c r="G77" t="s"/>
      <c r="H77" t="s"/>
      <c r="I77" t="s"/>
      <c r="J77" t="n">
        <v>-0.8201000000000001</v>
      </c>
      <c r="K77" t="n">
        <v>0.229</v>
      </c>
      <c r="L77" t="n">
        <v>0.771</v>
      </c>
      <c r="M77" t="n">
        <v>0</v>
      </c>
    </row>
    <row r="78" spans="1:13">
      <c r="A78" s="1">
        <f>HYPERLINK("http://www.twitter.com/NathanBLawrence/status/997864806257430528", "997864806257430528")</f>
        <v/>
      </c>
      <c r="B78" s="2" t="n">
        <v>43239.65373842593</v>
      </c>
      <c r="C78" t="n">
        <v>0</v>
      </c>
      <c r="D78" t="n">
        <v>5</v>
      </c>
      <c r="E78" t="s">
        <v>89</v>
      </c>
      <c r="F78" t="s"/>
      <c r="G78" t="s"/>
      <c r="H78" t="s"/>
      <c r="I78" t="s"/>
      <c r="J78" t="n">
        <v>0</v>
      </c>
      <c r="K78" t="n">
        <v>0</v>
      </c>
      <c r="L78" t="n">
        <v>1</v>
      </c>
      <c r="M78" t="n">
        <v>0</v>
      </c>
    </row>
    <row r="79" spans="1:13">
      <c r="A79" s="1">
        <f>HYPERLINK("http://www.twitter.com/NathanBLawrence/status/997709201773400064", "997709201773400064")</f>
        <v/>
      </c>
      <c r="B79" s="2" t="n">
        <v>43239.22435185185</v>
      </c>
      <c r="C79" t="n">
        <v>0</v>
      </c>
      <c r="D79" t="n">
        <v>6</v>
      </c>
      <c r="E79" t="s">
        <v>90</v>
      </c>
      <c r="F79" t="s"/>
      <c r="G79" t="s"/>
      <c r="H79" t="s"/>
      <c r="I79" t="s"/>
      <c r="J79" t="n">
        <v>0</v>
      </c>
      <c r="K79" t="n">
        <v>0</v>
      </c>
      <c r="L79" t="n">
        <v>1</v>
      </c>
      <c r="M79" t="n">
        <v>0</v>
      </c>
    </row>
    <row r="80" spans="1:13">
      <c r="A80" s="1">
        <f>HYPERLINK("http://www.twitter.com/NathanBLawrence/status/997705597314322437", "997705597314322437")</f>
        <v/>
      </c>
      <c r="B80" s="2" t="n">
        <v>43239.21440972222</v>
      </c>
      <c r="C80" t="n">
        <v>0</v>
      </c>
      <c r="D80" t="n">
        <v>20</v>
      </c>
      <c r="E80" t="s">
        <v>91</v>
      </c>
      <c r="F80" t="s"/>
      <c r="G80" t="s"/>
      <c r="H80" t="s"/>
      <c r="I80" t="s"/>
      <c r="J80" t="n">
        <v>0.5719</v>
      </c>
      <c r="K80" t="n">
        <v>0</v>
      </c>
      <c r="L80" t="n">
        <v>0.824</v>
      </c>
      <c r="M80" t="n">
        <v>0.176</v>
      </c>
    </row>
    <row r="81" spans="1:13">
      <c r="A81" s="1">
        <f>HYPERLINK("http://www.twitter.com/NathanBLawrence/status/997704408573018114", "997704408573018114")</f>
        <v/>
      </c>
      <c r="B81" s="2" t="n">
        <v>43239.21113425926</v>
      </c>
      <c r="C81" t="n">
        <v>0</v>
      </c>
      <c r="D81" t="n">
        <v>36</v>
      </c>
      <c r="E81" t="s">
        <v>92</v>
      </c>
      <c r="F81" t="s"/>
      <c r="G81" t="s"/>
      <c r="H81" t="s"/>
      <c r="I81" t="s"/>
      <c r="J81" t="n">
        <v>0.2732</v>
      </c>
      <c r="K81" t="n">
        <v>0</v>
      </c>
      <c r="L81" t="n">
        <v>0.877</v>
      </c>
      <c r="M81" t="n">
        <v>0.123</v>
      </c>
    </row>
    <row r="82" spans="1:13">
      <c r="A82" s="1">
        <f>HYPERLINK("http://www.twitter.com/NathanBLawrence/status/997704309218344960", "997704309218344960")</f>
        <v/>
      </c>
      <c r="B82" s="2" t="n">
        <v>43239.21085648148</v>
      </c>
      <c r="C82" t="n">
        <v>0</v>
      </c>
      <c r="D82" t="n">
        <v>3</v>
      </c>
      <c r="E82" t="s">
        <v>93</v>
      </c>
      <c r="F82" t="s"/>
      <c r="G82" t="s"/>
      <c r="H82" t="s"/>
      <c r="I82" t="s"/>
      <c r="J82" t="n">
        <v>0</v>
      </c>
      <c r="K82" t="n">
        <v>0</v>
      </c>
      <c r="L82" t="n">
        <v>1</v>
      </c>
      <c r="M82" t="n">
        <v>0</v>
      </c>
    </row>
    <row r="83" spans="1:13">
      <c r="A83" s="1">
        <f>HYPERLINK("http://www.twitter.com/NathanBLawrence/status/997703811346165760", "997703811346165760")</f>
        <v/>
      </c>
      <c r="B83" s="2" t="n">
        <v>43239.20947916667</v>
      </c>
      <c r="C83" t="n">
        <v>1</v>
      </c>
      <c r="D83" t="n">
        <v>0</v>
      </c>
      <c r="E83" t="s">
        <v>94</v>
      </c>
      <c r="F83" t="s"/>
      <c r="G83" t="s"/>
      <c r="H83" t="s"/>
      <c r="I83" t="s"/>
      <c r="J83" t="n">
        <v>-0.5562</v>
      </c>
      <c r="K83" t="n">
        <v>0.32</v>
      </c>
      <c r="L83" t="n">
        <v>0.556</v>
      </c>
      <c r="M83" t="n">
        <v>0.124</v>
      </c>
    </row>
    <row r="84" spans="1:13">
      <c r="A84" s="1">
        <f>HYPERLINK("http://www.twitter.com/NathanBLawrence/status/997687796373508097", "997687796373508097")</f>
        <v/>
      </c>
      <c r="B84" s="2" t="n">
        <v>43239.16528935185</v>
      </c>
      <c r="C84" t="n">
        <v>0</v>
      </c>
      <c r="D84" t="n">
        <v>78</v>
      </c>
      <c r="E84" t="s">
        <v>95</v>
      </c>
      <c r="F84" t="s"/>
      <c r="G84" t="s"/>
      <c r="H84" t="s"/>
      <c r="I84" t="s"/>
      <c r="J84" t="n">
        <v>0</v>
      </c>
      <c r="K84" t="n">
        <v>0</v>
      </c>
      <c r="L84" t="n">
        <v>1</v>
      </c>
      <c r="M84" t="n">
        <v>0</v>
      </c>
    </row>
    <row r="85" spans="1:13">
      <c r="A85" s="1">
        <f>HYPERLINK("http://www.twitter.com/NathanBLawrence/status/997687731525439488", "997687731525439488")</f>
        <v/>
      </c>
      <c r="B85" s="2" t="n">
        <v>43239.16510416667</v>
      </c>
      <c r="C85" t="n">
        <v>0</v>
      </c>
      <c r="D85" t="n">
        <v>11</v>
      </c>
      <c r="E85" t="s">
        <v>96</v>
      </c>
      <c r="F85">
        <f>HYPERLINK("http://pbs.twimg.com/media/DdcwKkOUQAAfQve.jpg", "http://pbs.twimg.com/media/DdcwKkOUQAAfQve.jpg")</f>
        <v/>
      </c>
      <c r="G85" t="s"/>
      <c r="H85" t="s"/>
      <c r="I85" t="s"/>
      <c r="J85" t="n">
        <v>-0.4767</v>
      </c>
      <c r="K85" t="n">
        <v>0.134</v>
      </c>
      <c r="L85" t="n">
        <v>0.866</v>
      </c>
      <c r="M85" t="n">
        <v>0</v>
      </c>
    </row>
    <row r="86" spans="1:13">
      <c r="A86" s="1">
        <f>HYPERLINK("http://www.twitter.com/NathanBLawrence/status/997687508300369921", "997687508300369921")</f>
        <v/>
      </c>
      <c r="B86" s="2" t="n">
        <v>43239.16449074074</v>
      </c>
      <c r="C86" t="n">
        <v>0</v>
      </c>
      <c r="D86" t="n">
        <v>1</v>
      </c>
      <c r="E86" t="s">
        <v>97</v>
      </c>
      <c r="F86">
        <f>HYPERLINK("http://pbs.twimg.com/media/Ddh4cRvWsAAwwkW.jpg", "http://pbs.twimg.com/media/Ddh4cRvWsAAwwkW.jpg")</f>
        <v/>
      </c>
      <c r="G86" t="s"/>
      <c r="H86" t="s"/>
      <c r="I86" t="s"/>
      <c r="J86" t="n">
        <v>0</v>
      </c>
      <c r="K86" t="n">
        <v>0</v>
      </c>
      <c r="L86" t="n">
        <v>1</v>
      </c>
      <c r="M86" t="n">
        <v>0</v>
      </c>
    </row>
    <row r="87" spans="1:13">
      <c r="A87" s="1">
        <f>HYPERLINK("http://www.twitter.com/NathanBLawrence/status/997687263369756672", "997687263369756672")</f>
        <v/>
      </c>
      <c r="B87" s="2" t="n">
        <v>43239.16381944445</v>
      </c>
      <c r="C87" t="n">
        <v>0</v>
      </c>
      <c r="D87" t="n">
        <v>3</v>
      </c>
      <c r="E87" t="s">
        <v>98</v>
      </c>
      <c r="F87" t="s"/>
      <c r="G87" t="s"/>
      <c r="H87" t="s"/>
      <c r="I87" t="s"/>
      <c r="J87" t="n">
        <v>-0.8885</v>
      </c>
      <c r="K87" t="n">
        <v>0.356</v>
      </c>
      <c r="L87" t="n">
        <v>0.644</v>
      </c>
      <c r="M87" t="n">
        <v>0</v>
      </c>
    </row>
    <row r="88" spans="1:13">
      <c r="A88" s="1">
        <f>HYPERLINK("http://www.twitter.com/NathanBLawrence/status/997687237910384640", "997687237910384640")</f>
        <v/>
      </c>
      <c r="B88" s="2" t="n">
        <v>43239.16375</v>
      </c>
      <c r="C88" t="n">
        <v>0</v>
      </c>
      <c r="D88" t="n">
        <v>3</v>
      </c>
      <c r="E88" t="s">
        <v>99</v>
      </c>
      <c r="F88" t="s"/>
      <c r="G88" t="s"/>
      <c r="H88" t="s"/>
      <c r="I88" t="s"/>
      <c r="J88" t="n">
        <v>0</v>
      </c>
      <c r="K88" t="n">
        <v>0</v>
      </c>
      <c r="L88" t="n">
        <v>1</v>
      </c>
      <c r="M88" t="n">
        <v>0</v>
      </c>
    </row>
    <row r="89" spans="1:13">
      <c r="A89" s="1">
        <f>HYPERLINK("http://www.twitter.com/NathanBLawrence/status/997684910545604609", "997684910545604609")</f>
        <v/>
      </c>
      <c r="B89" s="2" t="n">
        <v>43239.15732638889</v>
      </c>
      <c r="C89" t="n">
        <v>0</v>
      </c>
      <c r="D89" t="n">
        <v>1789</v>
      </c>
      <c r="E89" t="s">
        <v>100</v>
      </c>
      <c r="F89" t="s"/>
      <c r="G89" t="s"/>
      <c r="H89" t="s"/>
      <c r="I89" t="s"/>
      <c r="J89" t="n">
        <v>0.34</v>
      </c>
      <c r="K89" t="n">
        <v>0</v>
      </c>
      <c r="L89" t="n">
        <v>0.897</v>
      </c>
      <c r="M89" t="n">
        <v>0.103</v>
      </c>
    </row>
    <row r="90" spans="1:13">
      <c r="A90" s="1">
        <f>HYPERLINK("http://www.twitter.com/NathanBLawrence/status/997684359523168257", "997684359523168257")</f>
        <v/>
      </c>
      <c r="B90" s="2" t="n">
        <v>43239.15581018518</v>
      </c>
      <c r="C90" t="n">
        <v>0</v>
      </c>
      <c r="D90" t="n">
        <v>1</v>
      </c>
      <c r="E90" t="s">
        <v>101</v>
      </c>
      <c r="F90" t="s"/>
      <c r="G90" t="s"/>
      <c r="H90" t="s"/>
      <c r="I90" t="s"/>
      <c r="J90" t="n">
        <v>0.2057</v>
      </c>
      <c r="K90" t="n">
        <v>0</v>
      </c>
      <c r="L90" t="n">
        <v>0.878</v>
      </c>
      <c r="M90" t="n">
        <v>0.122</v>
      </c>
    </row>
    <row r="91" spans="1:13">
      <c r="A91" s="1">
        <f>HYPERLINK("http://www.twitter.com/NathanBLawrence/status/997680414302113794", "997680414302113794")</f>
        <v/>
      </c>
      <c r="B91" s="2" t="n">
        <v>43239.14491898148</v>
      </c>
      <c r="C91" t="n">
        <v>0</v>
      </c>
      <c r="D91" t="n">
        <v>4509</v>
      </c>
      <c r="E91" t="s">
        <v>102</v>
      </c>
      <c r="F91" t="s"/>
      <c r="G91" t="s"/>
      <c r="H91" t="s"/>
      <c r="I91" t="s"/>
      <c r="J91" t="n">
        <v>-0.34</v>
      </c>
      <c r="K91" t="n">
        <v>0.091</v>
      </c>
      <c r="L91" t="n">
        <v>0.909</v>
      </c>
      <c r="M91" t="n">
        <v>0</v>
      </c>
    </row>
    <row r="92" spans="1:13">
      <c r="A92" s="1">
        <f>HYPERLINK("http://www.twitter.com/NathanBLawrence/status/997680242285215747", "997680242285215747")</f>
        <v/>
      </c>
      <c r="B92" s="2" t="n">
        <v>43239.14444444444</v>
      </c>
      <c r="C92" t="n">
        <v>0</v>
      </c>
      <c r="D92" t="n">
        <v>2</v>
      </c>
      <c r="E92" t="s">
        <v>103</v>
      </c>
      <c r="F92" t="s"/>
      <c r="G92" t="s"/>
      <c r="H92" t="s"/>
      <c r="I92" t="s"/>
      <c r="J92" t="n">
        <v>0</v>
      </c>
      <c r="K92" t="n">
        <v>0</v>
      </c>
      <c r="L92" t="n">
        <v>1</v>
      </c>
      <c r="M92" t="n">
        <v>0</v>
      </c>
    </row>
    <row r="93" spans="1:13">
      <c r="A93" s="1">
        <f>HYPERLINK("http://www.twitter.com/NathanBLawrence/status/997680001309921281", "997680001309921281")</f>
        <v/>
      </c>
      <c r="B93" s="2" t="n">
        <v>43239.14377314815</v>
      </c>
      <c r="C93" t="n">
        <v>0</v>
      </c>
      <c r="D93" t="n">
        <v>4834</v>
      </c>
      <c r="E93" t="s">
        <v>104</v>
      </c>
      <c r="F93" t="s"/>
      <c r="G93" t="s"/>
      <c r="H93" t="s"/>
      <c r="I93" t="s"/>
      <c r="J93" t="n">
        <v>0.5994</v>
      </c>
      <c r="K93" t="n">
        <v>0</v>
      </c>
      <c r="L93" t="n">
        <v>0.795</v>
      </c>
      <c r="M93" t="n">
        <v>0.205</v>
      </c>
    </row>
    <row r="94" spans="1:13">
      <c r="A94" s="1">
        <f>HYPERLINK("http://www.twitter.com/NathanBLawrence/status/997678069937733632", "997678069937733632")</f>
        <v/>
      </c>
      <c r="B94" s="2" t="n">
        <v>43239.13844907407</v>
      </c>
      <c r="C94" t="n">
        <v>0</v>
      </c>
      <c r="D94" t="n">
        <v>7</v>
      </c>
      <c r="E94" t="s">
        <v>105</v>
      </c>
      <c r="F94" t="s"/>
      <c r="G94" t="s"/>
      <c r="H94" t="s"/>
      <c r="I94" t="s"/>
      <c r="J94" t="n">
        <v>0.7088</v>
      </c>
      <c r="K94" t="n">
        <v>0</v>
      </c>
      <c r="L94" t="n">
        <v>0.796</v>
      </c>
      <c r="M94" t="n">
        <v>0.204</v>
      </c>
    </row>
    <row r="95" spans="1:13">
      <c r="A95" s="1">
        <f>HYPERLINK("http://www.twitter.com/NathanBLawrence/status/997677601333436416", "997677601333436416")</f>
        <v/>
      </c>
      <c r="B95" s="2" t="n">
        <v>43239.13715277778</v>
      </c>
      <c r="C95" t="n">
        <v>1</v>
      </c>
      <c r="D95" t="n">
        <v>0</v>
      </c>
      <c r="E95" t="s">
        <v>106</v>
      </c>
      <c r="F95" t="s"/>
      <c r="G95" t="s"/>
      <c r="H95" t="s"/>
      <c r="I95" t="s"/>
      <c r="J95" t="n">
        <v>0.3382</v>
      </c>
      <c r="K95" t="n">
        <v>0</v>
      </c>
      <c r="L95" t="n">
        <v>0.455</v>
      </c>
      <c r="M95" t="n">
        <v>0.545</v>
      </c>
    </row>
    <row r="96" spans="1:13">
      <c r="A96" s="1">
        <f>HYPERLINK("http://www.twitter.com/NathanBLawrence/status/997677501479575553", "997677501479575553")</f>
        <v/>
      </c>
      <c r="B96" s="2" t="n">
        <v>43239.136875</v>
      </c>
      <c r="C96" t="n">
        <v>0</v>
      </c>
      <c r="D96" t="n">
        <v>9</v>
      </c>
      <c r="E96" t="s">
        <v>107</v>
      </c>
      <c r="F96" t="s"/>
      <c r="G96" t="s"/>
      <c r="H96" t="s"/>
      <c r="I96" t="s"/>
      <c r="J96" t="n">
        <v>0.5719</v>
      </c>
      <c r="K96" t="n">
        <v>0.107</v>
      </c>
      <c r="L96" t="n">
        <v>0.657</v>
      </c>
      <c r="M96" t="n">
        <v>0.235</v>
      </c>
    </row>
    <row r="97" spans="1:13">
      <c r="A97" s="1">
        <f>HYPERLINK("http://www.twitter.com/NathanBLawrence/status/997676729148686337", "997676729148686337")</f>
        <v/>
      </c>
      <c r="B97" s="2" t="n">
        <v>43239.13474537037</v>
      </c>
      <c r="C97" t="n">
        <v>3</v>
      </c>
      <c r="D97" t="n">
        <v>1</v>
      </c>
      <c r="E97" t="s">
        <v>108</v>
      </c>
      <c r="F97" t="s"/>
      <c r="G97" t="s"/>
      <c r="H97" t="s"/>
      <c r="I97" t="s"/>
      <c r="J97" t="n">
        <v>0</v>
      </c>
      <c r="K97" t="n">
        <v>0</v>
      </c>
      <c r="L97" t="n">
        <v>1</v>
      </c>
      <c r="M97" t="n">
        <v>0</v>
      </c>
    </row>
    <row r="98" spans="1:13">
      <c r="A98" s="1">
        <f>HYPERLINK("http://www.twitter.com/NathanBLawrence/status/997665583536771072", "997665583536771072")</f>
        <v/>
      </c>
      <c r="B98" s="2" t="n">
        <v>43239.10399305556</v>
      </c>
      <c r="C98" t="n">
        <v>0</v>
      </c>
      <c r="D98" t="n">
        <v>8</v>
      </c>
      <c r="E98" t="s">
        <v>109</v>
      </c>
      <c r="F98" t="s"/>
      <c r="G98" t="s"/>
      <c r="H98" t="s"/>
      <c r="I98" t="s"/>
      <c r="J98" t="n">
        <v>-0.4966</v>
      </c>
      <c r="K98" t="n">
        <v>0.161</v>
      </c>
      <c r="L98" t="n">
        <v>0.839</v>
      </c>
      <c r="M98" t="n">
        <v>0</v>
      </c>
    </row>
    <row r="99" spans="1:13">
      <c r="A99" s="1">
        <f>HYPERLINK("http://www.twitter.com/NathanBLawrence/status/997665439311425536", "997665439311425536")</f>
        <v/>
      </c>
      <c r="B99" s="2" t="n">
        <v>43239.10359953704</v>
      </c>
      <c r="C99" t="n">
        <v>0</v>
      </c>
      <c r="D99" t="n">
        <v>18</v>
      </c>
      <c r="E99" t="s">
        <v>110</v>
      </c>
      <c r="F99" t="s"/>
      <c r="G99" t="s"/>
      <c r="H99" t="s"/>
      <c r="I99" t="s"/>
      <c r="J99" t="n">
        <v>-0.3182</v>
      </c>
      <c r="K99" t="n">
        <v>0.108</v>
      </c>
      <c r="L99" t="n">
        <v>0.892</v>
      </c>
      <c r="M99" t="n">
        <v>0</v>
      </c>
    </row>
    <row r="100" spans="1:13">
      <c r="A100" s="1">
        <f>HYPERLINK("http://www.twitter.com/NathanBLawrence/status/997619549209022464", "997619549209022464")</f>
        <v/>
      </c>
      <c r="B100" s="2" t="n">
        <v>43238.97696759259</v>
      </c>
      <c r="C100" t="n">
        <v>0</v>
      </c>
      <c r="D100" t="n">
        <v>16</v>
      </c>
      <c r="E100" t="s">
        <v>111</v>
      </c>
      <c r="F100" t="s"/>
      <c r="G100" t="s"/>
      <c r="H100" t="s"/>
      <c r="I100" t="s"/>
      <c r="J100" t="n">
        <v>0</v>
      </c>
      <c r="K100" t="n">
        <v>0</v>
      </c>
      <c r="L100" t="n">
        <v>1</v>
      </c>
      <c r="M100" t="n">
        <v>0</v>
      </c>
    </row>
    <row r="101" spans="1:13">
      <c r="A101" s="1">
        <f>HYPERLINK("http://www.twitter.com/NathanBLawrence/status/997568480936374275", "997568480936374275")</f>
        <v/>
      </c>
      <c r="B101" s="2" t="n">
        <v>43238.83604166667</v>
      </c>
      <c r="C101" t="n">
        <v>0</v>
      </c>
      <c r="D101" t="n">
        <v>5</v>
      </c>
      <c r="E101" t="s">
        <v>112</v>
      </c>
      <c r="F101" t="s"/>
      <c r="G101" t="s"/>
      <c r="H101" t="s"/>
      <c r="I101" t="s"/>
      <c r="J101" t="n">
        <v>-0.5266999999999999</v>
      </c>
      <c r="K101" t="n">
        <v>0.221</v>
      </c>
      <c r="L101" t="n">
        <v>0.779</v>
      </c>
      <c r="M101" t="n">
        <v>0</v>
      </c>
    </row>
    <row r="102" spans="1:13">
      <c r="A102" s="1">
        <f>HYPERLINK("http://www.twitter.com/NathanBLawrence/status/997568196180938752", "997568196180938752")</f>
        <v/>
      </c>
      <c r="B102" s="2" t="n">
        <v>43238.83525462963</v>
      </c>
      <c r="C102" t="n">
        <v>0</v>
      </c>
      <c r="D102" t="n">
        <v>19535</v>
      </c>
      <c r="E102" t="s">
        <v>113</v>
      </c>
      <c r="F102" t="s"/>
      <c r="G102" t="s"/>
      <c r="H102" t="s"/>
      <c r="I102" t="s"/>
      <c r="J102" t="n">
        <v>-0.9349</v>
      </c>
      <c r="K102" t="n">
        <v>0.536</v>
      </c>
      <c r="L102" t="n">
        <v>0.464</v>
      </c>
      <c r="M102" t="n">
        <v>0</v>
      </c>
    </row>
    <row r="103" spans="1:13">
      <c r="A103" s="1">
        <f>HYPERLINK("http://www.twitter.com/NathanBLawrence/status/997558570228084738", "997558570228084738")</f>
        <v/>
      </c>
      <c r="B103" s="2" t="n">
        <v>43238.80869212963</v>
      </c>
      <c r="C103" t="n">
        <v>1</v>
      </c>
      <c r="D103" t="n">
        <v>1</v>
      </c>
      <c r="E103" t="s">
        <v>114</v>
      </c>
      <c r="F103" t="s"/>
      <c r="G103" t="s"/>
      <c r="H103" t="s"/>
      <c r="I103" t="s"/>
      <c r="J103" t="n">
        <v>-0.7096</v>
      </c>
      <c r="K103" t="n">
        <v>0.197</v>
      </c>
      <c r="L103" t="n">
        <v>0.803</v>
      </c>
      <c r="M103" t="n">
        <v>0</v>
      </c>
    </row>
    <row r="104" spans="1:13">
      <c r="A104" s="1">
        <f>HYPERLINK("http://www.twitter.com/NathanBLawrence/status/997544464116838401", "997544464116838401")</f>
        <v/>
      </c>
      <c r="B104" s="2" t="n">
        <v>43238.76976851852</v>
      </c>
      <c r="C104" t="n">
        <v>0</v>
      </c>
      <c r="D104" t="n">
        <v>9</v>
      </c>
      <c r="E104" t="s">
        <v>115</v>
      </c>
      <c r="F104" t="s"/>
      <c r="G104" t="s"/>
      <c r="H104" t="s"/>
      <c r="I104" t="s"/>
      <c r="J104" t="n">
        <v>0.2023</v>
      </c>
      <c r="K104" t="n">
        <v>0</v>
      </c>
      <c r="L104" t="n">
        <v>0.878</v>
      </c>
      <c r="M104" t="n">
        <v>0.122</v>
      </c>
    </row>
    <row r="105" spans="1:13">
      <c r="A105" s="1">
        <f>HYPERLINK("http://www.twitter.com/NathanBLawrence/status/997544291135361024", "997544291135361024")</f>
        <v/>
      </c>
      <c r="B105" s="2" t="n">
        <v>43238.76929398148</v>
      </c>
      <c r="C105" t="n">
        <v>3</v>
      </c>
      <c r="D105" t="n">
        <v>1</v>
      </c>
      <c r="E105" t="s">
        <v>116</v>
      </c>
      <c r="F105" t="s"/>
      <c r="G105" t="s"/>
      <c r="H105" t="s"/>
      <c r="I105" t="s"/>
      <c r="J105" t="n">
        <v>0.1027</v>
      </c>
      <c r="K105" t="n">
        <v>0.08500000000000001</v>
      </c>
      <c r="L105" t="n">
        <v>0.8159999999999999</v>
      </c>
      <c r="M105" t="n">
        <v>0.099</v>
      </c>
    </row>
    <row r="106" spans="1:13">
      <c r="A106" s="1">
        <f>HYPERLINK("http://www.twitter.com/NathanBLawrence/status/997542280239243266", "997542280239243266")</f>
        <v/>
      </c>
      <c r="B106" s="2" t="n">
        <v>43238.76373842593</v>
      </c>
      <c r="C106" t="n">
        <v>0</v>
      </c>
      <c r="D106" t="n">
        <v>35</v>
      </c>
      <c r="E106" t="s">
        <v>117</v>
      </c>
      <c r="F106" t="s"/>
      <c r="G106" t="s"/>
      <c r="H106" t="s"/>
      <c r="I106" t="s"/>
      <c r="J106" t="n">
        <v>0.5943000000000001</v>
      </c>
      <c r="K106" t="n">
        <v>0</v>
      </c>
      <c r="L106" t="n">
        <v>0.825</v>
      </c>
      <c r="M106" t="n">
        <v>0.175</v>
      </c>
    </row>
    <row r="107" spans="1:13">
      <c r="A107" s="1">
        <f>HYPERLINK("http://www.twitter.com/NathanBLawrence/status/997538737230876672", "997538737230876672")</f>
        <v/>
      </c>
      <c r="B107" s="2" t="n">
        <v>43238.75395833333</v>
      </c>
      <c r="C107" t="n">
        <v>0</v>
      </c>
      <c r="D107" t="n">
        <v>7</v>
      </c>
      <c r="E107" t="s">
        <v>118</v>
      </c>
      <c r="F107" t="s"/>
      <c r="G107" t="s"/>
      <c r="H107" t="s"/>
      <c r="I107" t="s"/>
      <c r="J107" t="n">
        <v>0.3612</v>
      </c>
      <c r="K107" t="n">
        <v>0</v>
      </c>
      <c r="L107" t="n">
        <v>0.884</v>
      </c>
      <c r="M107" t="n">
        <v>0.116</v>
      </c>
    </row>
    <row r="108" spans="1:13">
      <c r="A108" s="1">
        <f>HYPERLINK("http://www.twitter.com/NathanBLawrence/status/997537768082432000", "997537768082432000")</f>
        <v/>
      </c>
      <c r="B108" s="2" t="n">
        <v>43238.75128472222</v>
      </c>
      <c r="C108" t="n">
        <v>0</v>
      </c>
      <c r="D108" t="n">
        <v>28</v>
      </c>
      <c r="E108" t="s">
        <v>119</v>
      </c>
      <c r="F108">
        <f>HYPERLINK("http://pbs.twimg.com/media/DdfbSGJVMAAk_MB.jpg", "http://pbs.twimg.com/media/DdfbSGJVMAAk_MB.jpg")</f>
        <v/>
      </c>
      <c r="G108">
        <f>HYPERLINK("http://pbs.twimg.com/media/DdfbTEpU0AAyBuJ.jpg", "http://pbs.twimg.com/media/DdfbTEpU0AAyBuJ.jpg")</f>
        <v/>
      </c>
      <c r="H108" t="s"/>
      <c r="I108" t="s"/>
      <c r="J108" t="n">
        <v>0.5558999999999999</v>
      </c>
      <c r="K108" t="n">
        <v>0</v>
      </c>
      <c r="L108" t="n">
        <v>0.797</v>
      </c>
      <c r="M108" t="n">
        <v>0.203</v>
      </c>
    </row>
    <row r="109" spans="1:13">
      <c r="A109" s="1">
        <f>HYPERLINK("http://www.twitter.com/NathanBLawrence/status/997536284297125891", "997536284297125891")</f>
        <v/>
      </c>
      <c r="B109" s="2" t="n">
        <v>43238.74719907407</v>
      </c>
      <c r="C109" t="n">
        <v>0</v>
      </c>
      <c r="D109" t="n">
        <v>16</v>
      </c>
      <c r="E109" t="s">
        <v>120</v>
      </c>
      <c r="F109" t="s"/>
      <c r="G109" t="s"/>
      <c r="H109" t="s"/>
      <c r="I109" t="s"/>
      <c r="J109" t="n">
        <v>0.8469</v>
      </c>
      <c r="K109" t="n">
        <v>0</v>
      </c>
      <c r="L109" t="n">
        <v>0.72</v>
      </c>
      <c r="M109" t="n">
        <v>0.28</v>
      </c>
    </row>
    <row r="110" spans="1:13">
      <c r="A110" s="1">
        <f>HYPERLINK("http://www.twitter.com/NathanBLawrence/status/997536038334681093", "997536038334681093")</f>
        <v/>
      </c>
      <c r="B110" s="2" t="n">
        <v>43238.7465162037</v>
      </c>
      <c r="C110" t="n">
        <v>0</v>
      </c>
      <c r="D110" t="n">
        <v>308</v>
      </c>
      <c r="E110" t="s">
        <v>121</v>
      </c>
      <c r="F110">
        <f>HYPERLINK("https://video.twimg.com/ext_tw_video/997201208304521216/pu/vid/240x240/UkHll7I_gi6X5Sry.mp4?tag=3", "https://video.twimg.com/ext_tw_video/997201208304521216/pu/vid/240x240/UkHll7I_gi6X5Sry.mp4?tag=3")</f>
        <v/>
      </c>
      <c r="G110" t="s"/>
      <c r="H110" t="s"/>
      <c r="I110" t="s"/>
      <c r="J110" t="n">
        <v>0.5719</v>
      </c>
      <c r="K110" t="n">
        <v>0</v>
      </c>
      <c r="L110" t="n">
        <v>0.793</v>
      </c>
      <c r="M110" t="n">
        <v>0.207</v>
      </c>
    </row>
    <row r="111" spans="1:13">
      <c r="A111" s="1">
        <f>HYPERLINK("http://www.twitter.com/NathanBLawrence/status/997514360825229317", "997514360825229317")</f>
        <v/>
      </c>
      <c r="B111" s="2" t="n">
        <v>43238.68670138889</v>
      </c>
      <c r="C111" t="n">
        <v>0</v>
      </c>
      <c r="D111" t="n">
        <v>15</v>
      </c>
      <c r="E111" t="s">
        <v>122</v>
      </c>
      <c r="F111">
        <f>HYPERLINK("http://pbs.twimg.com/media/DdfJF3VU8AAJguQ.jpg", "http://pbs.twimg.com/media/DdfJF3VU8AAJguQ.jpg")</f>
        <v/>
      </c>
      <c r="G111" t="s"/>
      <c r="H111" t="s"/>
      <c r="I111" t="s"/>
      <c r="J111" t="n">
        <v>0.4404</v>
      </c>
      <c r="K111" t="n">
        <v>0</v>
      </c>
      <c r="L111" t="n">
        <v>0.892</v>
      </c>
      <c r="M111" t="n">
        <v>0.108</v>
      </c>
    </row>
    <row r="112" spans="1:13">
      <c r="A112" s="1">
        <f>HYPERLINK("http://www.twitter.com/NathanBLawrence/status/997505026342969345", "997505026342969345")</f>
        <v/>
      </c>
      <c r="B112" s="2" t="n">
        <v>43238.6609375</v>
      </c>
      <c r="C112" t="n">
        <v>0</v>
      </c>
      <c r="D112" t="n">
        <v>32</v>
      </c>
      <c r="E112" t="s">
        <v>123</v>
      </c>
      <c r="F112" t="s"/>
      <c r="G112" t="s"/>
      <c r="H112" t="s"/>
      <c r="I112" t="s"/>
      <c r="J112" t="n">
        <v>-0.2462</v>
      </c>
      <c r="K112" t="n">
        <v>0.135</v>
      </c>
      <c r="L112" t="n">
        <v>0.777</v>
      </c>
      <c r="M112" t="n">
        <v>0.08699999999999999</v>
      </c>
    </row>
    <row r="113" spans="1:13">
      <c r="A113" s="1">
        <f>HYPERLINK("http://www.twitter.com/NathanBLawrence/status/997502176619573248", "997502176619573248")</f>
        <v/>
      </c>
      <c r="B113" s="2" t="n">
        <v>43238.6530787037</v>
      </c>
      <c r="C113" t="n">
        <v>0</v>
      </c>
      <c r="D113" t="n">
        <v>21</v>
      </c>
      <c r="E113" t="s">
        <v>124</v>
      </c>
      <c r="F113" t="s"/>
      <c r="G113" t="s"/>
      <c r="H113" t="s"/>
      <c r="I113" t="s"/>
      <c r="J113" t="n">
        <v>0.1531</v>
      </c>
      <c r="K113" t="n">
        <v>0</v>
      </c>
      <c r="L113" t="n">
        <v>0.9379999999999999</v>
      </c>
      <c r="M113" t="n">
        <v>0.062</v>
      </c>
    </row>
    <row r="114" spans="1:13">
      <c r="A114" s="1">
        <f>HYPERLINK("http://www.twitter.com/NathanBLawrence/status/997498271299002371", "997498271299002371")</f>
        <v/>
      </c>
      <c r="B114" s="2" t="n">
        <v>43238.64230324074</v>
      </c>
      <c r="C114" t="n">
        <v>0</v>
      </c>
      <c r="D114" t="n">
        <v>7</v>
      </c>
      <c r="E114" t="s">
        <v>125</v>
      </c>
      <c r="F114" t="s"/>
      <c r="G114" t="s"/>
      <c r="H114" t="s"/>
      <c r="I114" t="s"/>
      <c r="J114" t="n">
        <v>0.0516</v>
      </c>
      <c r="K114" t="n">
        <v>0.095</v>
      </c>
      <c r="L114" t="n">
        <v>0.802</v>
      </c>
      <c r="M114" t="n">
        <v>0.103</v>
      </c>
    </row>
    <row r="115" spans="1:13">
      <c r="A115" s="1">
        <f>HYPERLINK("http://www.twitter.com/NathanBLawrence/status/997306645263912962", "997306645263912962")</f>
        <v/>
      </c>
      <c r="B115" s="2" t="n">
        <v>43238.11350694444</v>
      </c>
      <c r="C115" t="n">
        <v>0</v>
      </c>
      <c r="D115" t="n">
        <v>16</v>
      </c>
      <c r="E115" t="s">
        <v>126</v>
      </c>
      <c r="F115" t="s"/>
      <c r="G115" t="s"/>
      <c r="H115" t="s"/>
      <c r="I115" t="s"/>
      <c r="J115" t="n">
        <v>-0.5423</v>
      </c>
      <c r="K115" t="n">
        <v>0.153</v>
      </c>
      <c r="L115" t="n">
        <v>0.847</v>
      </c>
      <c r="M115" t="n">
        <v>0</v>
      </c>
    </row>
    <row r="116" spans="1:13">
      <c r="A116" s="1">
        <f>HYPERLINK("http://www.twitter.com/NathanBLawrence/status/997303094693244928", "997303094693244928")</f>
        <v/>
      </c>
      <c r="B116" s="2" t="n">
        <v>43238.10371527778</v>
      </c>
      <c r="C116" t="n">
        <v>0</v>
      </c>
      <c r="D116" t="n">
        <v>8</v>
      </c>
      <c r="E116" t="s">
        <v>127</v>
      </c>
      <c r="F116">
        <f>HYPERLINK("http://pbs.twimg.com/media/DdbYGqaUQAAaabw.jpg", "http://pbs.twimg.com/media/DdbYGqaUQAAaabw.jpg")</f>
        <v/>
      </c>
      <c r="G116" t="s"/>
      <c r="H116" t="s"/>
      <c r="I116" t="s"/>
      <c r="J116" t="n">
        <v>0</v>
      </c>
      <c r="K116" t="n">
        <v>0</v>
      </c>
      <c r="L116" t="n">
        <v>1</v>
      </c>
      <c r="M116" t="n">
        <v>0</v>
      </c>
    </row>
    <row r="117" spans="1:13">
      <c r="A117" s="1">
        <f>HYPERLINK("http://www.twitter.com/NathanBLawrence/status/997284026535895041", "997284026535895041")</f>
        <v/>
      </c>
      <c r="B117" s="2" t="n">
        <v>43238.05109953704</v>
      </c>
      <c r="C117" t="n">
        <v>0</v>
      </c>
      <c r="D117" t="n">
        <v>15</v>
      </c>
      <c r="E117" t="s">
        <v>128</v>
      </c>
      <c r="F117" t="s"/>
      <c r="G117" t="s"/>
      <c r="H117" t="s"/>
      <c r="I117" t="s"/>
      <c r="J117" t="n">
        <v>-0.3034</v>
      </c>
      <c r="K117" t="n">
        <v>0.122</v>
      </c>
      <c r="L117" t="n">
        <v>0.878</v>
      </c>
      <c r="M117" t="n">
        <v>0</v>
      </c>
    </row>
    <row r="118" spans="1:13">
      <c r="A118" s="1">
        <f>HYPERLINK("http://www.twitter.com/NathanBLawrence/status/997223488694968320", "997223488694968320")</f>
        <v/>
      </c>
      <c r="B118" s="2" t="n">
        <v>43237.88403935185</v>
      </c>
      <c r="C118" t="n">
        <v>5</v>
      </c>
      <c r="D118" t="n">
        <v>0</v>
      </c>
      <c r="E118" t="s">
        <v>129</v>
      </c>
      <c r="F118" t="s"/>
      <c r="G118" t="s"/>
      <c r="H118" t="s"/>
      <c r="I118" t="s"/>
      <c r="J118" t="n">
        <v>0.5983000000000001</v>
      </c>
      <c r="K118" t="n">
        <v>0</v>
      </c>
      <c r="L118" t="n">
        <v>0.782</v>
      </c>
      <c r="M118" t="n">
        <v>0.218</v>
      </c>
    </row>
    <row r="119" spans="1:13">
      <c r="A119" s="1">
        <f>HYPERLINK("http://www.twitter.com/NathanBLawrence/status/997210744818208770", "997210744818208770")</f>
        <v/>
      </c>
      <c r="B119" s="2" t="n">
        <v>43237.84887731481</v>
      </c>
      <c r="C119" t="n">
        <v>0</v>
      </c>
      <c r="D119" t="n">
        <v>13</v>
      </c>
      <c r="E119" t="s">
        <v>130</v>
      </c>
      <c r="F119">
        <f>HYPERLINK("https://video.twimg.com/ext_tw_video/997202367824084993/pu/vid/240x240/W8QrrZx51cAl8PDE.mp4?tag=3", "https://video.twimg.com/ext_tw_video/997202367824084993/pu/vid/240x240/W8QrrZx51cAl8PDE.mp4?tag=3")</f>
        <v/>
      </c>
      <c r="G119" t="s"/>
      <c r="H119" t="s"/>
      <c r="I119" t="s"/>
      <c r="J119" t="n">
        <v>0.4767</v>
      </c>
      <c r="K119" t="n">
        <v>0</v>
      </c>
      <c r="L119" t="n">
        <v>0.881</v>
      </c>
      <c r="M119" t="n">
        <v>0.119</v>
      </c>
    </row>
    <row r="120" spans="1:13">
      <c r="A120" s="1">
        <f>HYPERLINK("http://www.twitter.com/NathanBLawrence/status/997189570574897154", "997189570574897154")</f>
        <v/>
      </c>
      <c r="B120" s="2" t="n">
        <v>43237.79045138889</v>
      </c>
      <c r="C120" t="n">
        <v>0</v>
      </c>
      <c r="D120" t="n">
        <v>1</v>
      </c>
      <c r="E120" t="s">
        <v>131</v>
      </c>
      <c r="F120" t="s"/>
      <c r="G120" t="s"/>
      <c r="H120" t="s"/>
      <c r="I120" t="s"/>
      <c r="J120" t="n">
        <v>0.2003</v>
      </c>
      <c r="K120" t="n">
        <v>0.104</v>
      </c>
      <c r="L120" t="n">
        <v>0.755</v>
      </c>
      <c r="M120" t="n">
        <v>0.141</v>
      </c>
    </row>
    <row r="121" spans="1:13">
      <c r="A121" s="1">
        <f>HYPERLINK("http://www.twitter.com/NathanBLawrence/status/997176718162001925", "997176718162001925")</f>
        <v/>
      </c>
      <c r="B121" s="2" t="n">
        <v>43237.75497685185</v>
      </c>
      <c r="C121" t="n">
        <v>0</v>
      </c>
      <c r="D121" t="n">
        <v>2</v>
      </c>
      <c r="E121" t="s">
        <v>132</v>
      </c>
      <c r="F121" t="s"/>
      <c r="G121" t="s"/>
      <c r="H121" t="s"/>
      <c r="I121" t="s"/>
      <c r="J121" t="n">
        <v>-0.2462</v>
      </c>
      <c r="K121" t="n">
        <v>0.135</v>
      </c>
      <c r="L121" t="n">
        <v>0.777</v>
      </c>
      <c r="M121" t="n">
        <v>0.08699999999999999</v>
      </c>
    </row>
    <row r="122" spans="1:13">
      <c r="A122" s="1">
        <f>HYPERLINK("http://www.twitter.com/NathanBLawrence/status/997170471773884417", "997170471773884417")</f>
        <v/>
      </c>
      <c r="B122" s="2" t="n">
        <v>43237.73774305556</v>
      </c>
      <c r="C122" t="n">
        <v>5</v>
      </c>
      <c r="D122" t="n">
        <v>1</v>
      </c>
      <c r="E122" t="s">
        <v>133</v>
      </c>
      <c r="F122" t="s"/>
      <c r="G122" t="s"/>
      <c r="H122" t="s"/>
      <c r="I122" t="s"/>
      <c r="J122" t="n">
        <v>0.0772</v>
      </c>
      <c r="K122" t="n">
        <v>0.056</v>
      </c>
      <c r="L122" t="n">
        <v>0.883</v>
      </c>
      <c r="M122" t="n">
        <v>0.061</v>
      </c>
    </row>
    <row r="123" spans="1:13">
      <c r="A123" s="1">
        <f>HYPERLINK("http://www.twitter.com/NathanBLawrence/status/997168090180997120", "997168090180997120")</f>
        <v/>
      </c>
      <c r="B123" s="2" t="n">
        <v>43237.73116898148</v>
      </c>
      <c r="C123" t="n">
        <v>0</v>
      </c>
      <c r="D123" t="n">
        <v>2</v>
      </c>
      <c r="E123" t="s">
        <v>134</v>
      </c>
      <c r="F123" t="s"/>
      <c r="G123" t="s"/>
      <c r="H123" t="s"/>
      <c r="I123" t="s"/>
      <c r="J123" t="n">
        <v>0.4019</v>
      </c>
      <c r="K123" t="n">
        <v>0</v>
      </c>
      <c r="L123" t="n">
        <v>0.829</v>
      </c>
      <c r="M123" t="n">
        <v>0.171</v>
      </c>
    </row>
    <row r="124" spans="1:13">
      <c r="A124" s="1">
        <f>HYPERLINK("http://www.twitter.com/NathanBLawrence/status/997163908556296193", "997163908556296193")</f>
        <v/>
      </c>
      <c r="B124" s="2" t="n">
        <v>43237.71962962963</v>
      </c>
      <c r="C124" t="n">
        <v>2</v>
      </c>
      <c r="D124" t="n">
        <v>1</v>
      </c>
      <c r="E124" t="s">
        <v>135</v>
      </c>
      <c r="F124" t="s"/>
      <c r="G124" t="s"/>
      <c r="H124" t="s"/>
      <c r="I124" t="s"/>
      <c r="J124" t="n">
        <v>-0.5423</v>
      </c>
      <c r="K124" t="n">
        <v>0.179</v>
      </c>
      <c r="L124" t="n">
        <v>0.821</v>
      </c>
      <c r="M124" t="n">
        <v>0</v>
      </c>
    </row>
    <row r="125" spans="1:13">
      <c r="A125" s="1">
        <f>HYPERLINK("http://www.twitter.com/NathanBLawrence/status/997151277061738497", "997151277061738497")</f>
        <v/>
      </c>
      <c r="B125" s="2" t="n">
        <v>43237.68478009259</v>
      </c>
      <c r="C125" t="n">
        <v>0</v>
      </c>
      <c r="D125" t="n">
        <v>13</v>
      </c>
      <c r="E125" t="s">
        <v>136</v>
      </c>
      <c r="F125">
        <f>HYPERLINK("http://pbs.twimg.com/media/DdaLr1qWAAEVRSp.jpg", "http://pbs.twimg.com/media/DdaLr1qWAAEVRSp.jpg")</f>
        <v/>
      </c>
      <c r="G125" t="s"/>
      <c r="H125" t="s"/>
      <c r="I125" t="s"/>
      <c r="J125" t="n">
        <v>-0.743</v>
      </c>
      <c r="K125" t="n">
        <v>0.215</v>
      </c>
      <c r="L125" t="n">
        <v>0.785</v>
      </c>
      <c r="M125" t="n">
        <v>0</v>
      </c>
    </row>
    <row r="126" spans="1:13">
      <c r="A126" s="1">
        <f>HYPERLINK("http://www.twitter.com/NathanBLawrence/status/997142775186575361", "997142775186575361")</f>
        <v/>
      </c>
      <c r="B126" s="2" t="n">
        <v>43237.66131944444</v>
      </c>
      <c r="C126" t="n">
        <v>7</v>
      </c>
      <c r="D126" t="n">
        <v>4</v>
      </c>
      <c r="E126" t="s">
        <v>137</v>
      </c>
      <c r="F126" t="s"/>
      <c r="G126" t="s"/>
      <c r="H126" t="s"/>
      <c r="I126" t="s"/>
      <c r="J126" t="n">
        <v>0.4738</v>
      </c>
      <c r="K126" t="n">
        <v>0</v>
      </c>
      <c r="L126" t="n">
        <v>0.927</v>
      </c>
      <c r="M126" t="n">
        <v>0.073</v>
      </c>
    </row>
    <row r="127" spans="1:13">
      <c r="A127" s="1">
        <f>HYPERLINK("http://www.twitter.com/NathanBLawrence/status/997140983497285633", "997140983497285633")</f>
        <v/>
      </c>
      <c r="B127" s="2" t="n">
        <v>43237.65637731482</v>
      </c>
      <c r="C127" t="n">
        <v>2</v>
      </c>
      <c r="D127" t="n">
        <v>1</v>
      </c>
      <c r="E127" t="s">
        <v>138</v>
      </c>
      <c r="F127" t="s"/>
      <c r="G127" t="s"/>
      <c r="H127" t="s"/>
      <c r="I127" t="s"/>
      <c r="J127" t="n">
        <v>-0.34</v>
      </c>
      <c r="K127" t="n">
        <v>0.068</v>
      </c>
      <c r="L127" t="n">
        <v>0.9320000000000001</v>
      </c>
      <c r="M127" t="n">
        <v>0</v>
      </c>
    </row>
    <row r="128" spans="1:13">
      <c r="A128" s="1">
        <f>HYPERLINK("http://www.twitter.com/NathanBLawrence/status/997139245629403137", "997139245629403137")</f>
        <v/>
      </c>
      <c r="B128" s="2" t="n">
        <v>43237.65157407407</v>
      </c>
      <c r="C128" t="n">
        <v>0</v>
      </c>
      <c r="D128" t="n">
        <v>226</v>
      </c>
      <c r="E128" t="s">
        <v>139</v>
      </c>
      <c r="F128" t="s"/>
      <c r="G128" t="s"/>
      <c r="H128" t="s"/>
      <c r="I128" t="s"/>
      <c r="J128" t="n">
        <v>0</v>
      </c>
      <c r="K128" t="n">
        <v>0</v>
      </c>
      <c r="L128" t="n">
        <v>1</v>
      </c>
      <c r="M128" t="n">
        <v>0</v>
      </c>
    </row>
    <row r="129" spans="1:13">
      <c r="A129" s="1">
        <f>HYPERLINK("http://www.twitter.com/NathanBLawrence/status/996985849370890240", "996985849370890240")</f>
        <v/>
      </c>
      <c r="B129" s="2" t="n">
        <v>43237.22828703704</v>
      </c>
      <c r="C129" t="n">
        <v>0</v>
      </c>
      <c r="D129" t="n">
        <v>4</v>
      </c>
      <c r="E129" t="s">
        <v>140</v>
      </c>
      <c r="F129" t="s"/>
      <c r="G129" t="s"/>
      <c r="H129" t="s"/>
      <c r="I129" t="s"/>
      <c r="J129" t="n">
        <v>0</v>
      </c>
      <c r="K129" t="n">
        <v>0</v>
      </c>
      <c r="L129" t="n">
        <v>1</v>
      </c>
      <c r="M129" t="n">
        <v>0</v>
      </c>
    </row>
    <row r="130" spans="1:13">
      <c r="A130" s="1">
        <f>HYPERLINK("http://www.twitter.com/NathanBLawrence/status/996982673796141057", "996982673796141057")</f>
        <v/>
      </c>
      <c r="B130" s="2" t="n">
        <v>43237.21952546296</v>
      </c>
      <c r="C130" t="n">
        <v>0</v>
      </c>
      <c r="D130" t="n">
        <v>5</v>
      </c>
      <c r="E130" t="s">
        <v>141</v>
      </c>
      <c r="F130" t="s"/>
      <c r="G130" t="s"/>
      <c r="H130" t="s"/>
      <c r="I130" t="s"/>
      <c r="J130" t="n">
        <v>-0.1027</v>
      </c>
      <c r="K130" t="n">
        <v>0.119</v>
      </c>
      <c r="L130" t="n">
        <v>0.779</v>
      </c>
      <c r="M130" t="n">
        <v>0.102</v>
      </c>
    </row>
    <row r="131" spans="1:13">
      <c r="A131" s="1">
        <f>HYPERLINK("http://www.twitter.com/NathanBLawrence/status/996962487122759680", "996962487122759680")</f>
        <v/>
      </c>
      <c r="B131" s="2" t="n">
        <v>43237.16381944445</v>
      </c>
      <c r="C131" t="n">
        <v>0</v>
      </c>
      <c r="D131" t="n">
        <v>5</v>
      </c>
      <c r="E131" t="s">
        <v>142</v>
      </c>
      <c r="F131" t="s"/>
      <c r="G131" t="s"/>
      <c r="H131" t="s"/>
      <c r="I131" t="s"/>
      <c r="J131" t="n">
        <v>-0.7351</v>
      </c>
      <c r="K131" t="n">
        <v>0.309</v>
      </c>
      <c r="L131" t="n">
        <v>0.637</v>
      </c>
      <c r="M131" t="n">
        <v>0.054</v>
      </c>
    </row>
    <row r="132" spans="1:13">
      <c r="A132" s="1">
        <f>HYPERLINK("http://www.twitter.com/NathanBLawrence/status/996960690337452032", "996960690337452032")</f>
        <v/>
      </c>
      <c r="B132" s="2" t="n">
        <v>43237.15885416666</v>
      </c>
      <c r="C132" t="n">
        <v>0</v>
      </c>
      <c r="D132" t="n">
        <v>15</v>
      </c>
      <c r="E132" t="s">
        <v>143</v>
      </c>
      <c r="F132" t="s"/>
      <c r="G132" t="s"/>
      <c r="H132" t="s"/>
      <c r="I132" t="s"/>
      <c r="J132" t="n">
        <v>0.5707</v>
      </c>
      <c r="K132" t="n">
        <v>0</v>
      </c>
      <c r="L132" t="n">
        <v>0.822</v>
      </c>
      <c r="M132" t="n">
        <v>0.178</v>
      </c>
    </row>
    <row r="133" spans="1:13">
      <c r="A133" s="1">
        <f>HYPERLINK("http://www.twitter.com/NathanBLawrence/status/996959516355907584", "996959516355907584")</f>
        <v/>
      </c>
      <c r="B133" s="2" t="n">
        <v>43237.15561342592</v>
      </c>
      <c r="C133" t="n">
        <v>0</v>
      </c>
      <c r="D133" t="n">
        <v>14</v>
      </c>
      <c r="E133" t="s">
        <v>144</v>
      </c>
      <c r="F133" t="s"/>
      <c r="G133" t="s"/>
      <c r="H133" t="s"/>
      <c r="I133" t="s"/>
      <c r="J133" t="n">
        <v>-0.2732</v>
      </c>
      <c r="K133" t="n">
        <v>0.091</v>
      </c>
      <c r="L133" t="n">
        <v>0.909</v>
      </c>
      <c r="M133" t="n">
        <v>0</v>
      </c>
    </row>
    <row r="134" spans="1:13">
      <c r="A134" s="1">
        <f>HYPERLINK("http://www.twitter.com/NathanBLawrence/status/996959463260205056", "996959463260205056")</f>
        <v/>
      </c>
      <c r="B134" s="2" t="n">
        <v>43237.15547453704</v>
      </c>
      <c r="C134" t="n">
        <v>0</v>
      </c>
      <c r="D134" t="n">
        <v>112</v>
      </c>
      <c r="E134" t="s">
        <v>145</v>
      </c>
      <c r="F134">
        <f>HYPERLINK("http://pbs.twimg.com/media/DdXO_GYVQAADaZQ.jpg", "http://pbs.twimg.com/media/DdXO_GYVQAADaZQ.jpg")</f>
        <v/>
      </c>
      <c r="G134" t="s"/>
      <c r="H134" t="s"/>
      <c r="I134" t="s"/>
      <c r="J134" t="n">
        <v>0.3612</v>
      </c>
      <c r="K134" t="n">
        <v>0</v>
      </c>
      <c r="L134" t="n">
        <v>0.898</v>
      </c>
      <c r="M134" t="n">
        <v>0.102</v>
      </c>
    </row>
    <row r="135" spans="1:13">
      <c r="A135" s="1">
        <f>HYPERLINK("http://www.twitter.com/NathanBLawrence/status/996959233974431745", "996959233974431745")</f>
        <v/>
      </c>
      <c r="B135" s="2" t="n">
        <v>43237.15483796296</v>
      </c>
      <c r="C135" t="n">
        <v>0</v>
      </c>
      <c r="D135" t="n">
        <v>13</v>
      </c>
      <c r="E135" t="s">
        <v>146</v>
      </c>
      <c r="F135" t="s"/>
      <c r="G135" t="s"/>
      <c r="H135" t="s"/>
      <c r="I135" t="s"/>
      <c r="J135" t="n">
        <v>0</v>
      </c>
      <c r="K135" t="n">
        <v>0</v>
      </c>
      <c r="L135" t="n">
        <v>1</v>
      </c>
      <c r="M135" t="n">
        <v>0</v>
      </c>
    </row>
    <row r="136" spans="1:13">
      <c r="A136" s="1">
        <f>HYPERLINK("http://www.twitter.com/NathanBLawrence/status/996958667512729602", "996958667512729602")</f>
        <v/>
      </c>
      <c r="B136" s="2" t="n">
        <v>43237.15327546297</v>
      </c>
      <c r="C136" t="n">
        <v>0</v>
      </c>
      <c r="D136" t="n">
        <v>35</v>
      </c>
      <c r="E136" t="s">
        <v>147</v>
      </c>
      <c r="F136" t="s"/>
      <c r="G136" t="s"/>
      <c r="H136" t="s"/>
      <c r="I136" t="s"/>
      <c r="J136" t="n">
        <v>-0.8016</v>
      </c>
      <c r="K136" t="n">
        <v>0.304</v>
      </c>
      <c r="L136" t="n">
        <v>0.696</v>
      </c>
      <c r="M136" t="n">
        <v>0</v>
      </c>
    </row>
    <row r="137" spans="1:13">
      <c r="A137" s="1">
        <f>HYPERLINK("http://www.twitter.com/NathanBLawrence/status/996938916522536960", "996938916522536960")</f>
        <v/>
      </c>
      <c r="B137" s="2" t="n">
        <v>43237.09877314815</v>
      </c>
      <c r="C137" t="n">
        <v>0</v>
      </c>
      <c r="D137" t="n">
        <v>19</v>
      </c>
      <c r="E137" t="s">
        <v>148</v>
      </c>
      <c r="F137" t="s"/>
      <c r="G137" t="s"/>
      <c r="H137" t="s"/>
      <c r="I137" t="s"/>
      <c r="J137" t="n">
        <v>0.4939</v>
      </c>
      <c r="K137" t="n">
        <v>0</v>
      </c>
      <c r="L137" t="n">
        <v>0.862</v>
      </c>
      <c r="M137" t="n">
        <v>0.138</v>
      </c>
    </row>
    <row r="138" spans="1:13">
      <c r="A138" s="1">
        <f>HYPERLINK("http://www.twitter.com/NathanBLawrence/status/996919437138759682", "996919437138759682")</f>
        <v/>
      </c>
      <c r="B138" s="2" t="n">
        <v>43237.04502314814</v>
      </c>
      <c r="C138" t="n">
        <v>0</v>
      </c>
      <c r="D138" t="n">
        <v>6</v>
      </c>
      <c r="E138" t="s">
        <v>149</v>
      </c>
      <c r="F138" t="s"/>
      <c r="G138" t="s"/>
      <c r="H138" t="s"/>
      <c r="I138" t="s"/>
      <c r="J138" t="n">
        <v>-0.0864</v>
      </c>
      <c r="K138" t="n">
        <v>0.178</v>
      </c>
      <c r="L138" t="n">
        <v>0.653</v>
      </c>
      <c r="M138" t="n">
        <v>0.168</v>
      </c>
    </row>
    <row r="139" spans="1:13">
      <c r="A139" s="1">
        <f>HYPERLINK("http://www.twitter.com/NathanBLawrence/status/996919358625591303", "996919358625591303")</f>
        <v/>
      </c>
      <c r="B139" s="2" t="n">
        <v>43237.04480324074</v>
      </c>
      <c r="C139" t="n">
        <v>0</v>
      </c>
      <c r="D139" t="n">
        <v>885</v>
      </c>
      <c r="E139" t="s">
        <v>150</v>
      </c>
      <c r="F139" t="s"/>
      <c r="G139" t="s"/>
      <c r="H139" t="s"/>
      <c r="I139" t="s"/>
      <c r="J139" t="n">
        <v>-0.8555</v>
      </c>
      <c r="K139" t="n">
        <v>0.36</v>
      </c>
      <c r="L139" t="n">
        <v>0.552</v>
      </c>
      <c r="M139" t="n">
        <v>0.08799999999999999</v>
      </c>
    </row>
    <row r="140" spans="1:13">
      <c r="A140" s="1">
        <f>HYPERLINK("http://www.twitter.com/NathanBLawrence/status/996919309342560256", "996919309342560256")</f>
        <v/>
      </c>
      <c r="B140" s="2" t="n">
        <v>43237.04466435185</v>
      </c>
      <c r="C140" t="n">
        <v>0</v>
      </c>
      <c r="D140" t="n">
        <v>12</v>
      </c>
      <c r="E140" t="s">
        <v>151</v>
      </c>
      <c r="F140" t="s"/>
      <c r="G140" t="s"/>
      <c r="H140" t="s"/>
      <c r="I140" t="s"/>
      <c r="J140" t="n">
        <v>-0.5574</v>
      </c>
      <c r="K140" t="n">
        <v>0.159</v>
      </c>
      <c r="L140" t="n">
        <v>0.841</v>
      </c>
      <c r="M140" t="n">
        <v>0</v>
      </c>
    </row>
    <row r="141" spans="1:13">
      <c r="A141" s="1">
        <f>HYPERLINK("http://www.twitter.com/NathanBLawrence/status/996916179116666881", "996916179116666881")</f>
        <v/>
      </c>
      <c r="B141" s="2" t="n">
        <v>43237.03603009259</v>
      </c>
      <c r="C141" t="n">
        <v>0</v>
      </c>
      <c r="D141" t="n">
        <v>7</v>
      </c>
      <c r="E141" t="s">
        <v>152</v>
      </c>
      <c r="F141">
        <f>HYPERLINK("http://pbs.twimg.com/media/DdW7H2rWkAERjav.jpg", "http://pbs.twimg.com/media/DdW7H2rWkAERjav.jpg")</f>
        <v/>
      </c>
      <c r="G141" t="s"/>
      <c r="H141" t="s"/>
      <c r="I141" t="s"/>
      <c r="J141" t="n">
        <v>0</v>
      </c>
      <c r="K141" t="n">
        <v>0</v>
      </c>
      <c r="L141" t="n">
        <v>1</v>
      </c>
      <c r="M141" t="n">
        <v>0</v>
      </c>
    </row>
    <row r="142" spans="1:13">
      <c r="A142" s="1">
        <f>HYPERLINK("http://www.twitter.com/NathanBLawrence/status/996907099794935813", "996907099794935813")</f>
        <v/>
      </c>
      <c r="B142" s="2" t="n">
        <v>43237.01097222222</v>
      </c>
      <c r="C142" t="n">
        <v>0</v>
      </c>
      <c r="D142" t="n">
        <v>10</v>
      </c>
      <c r="E142" t="s">
        <v>153</v>
      </c>
      <c r="F142">
        <f>HYPERLINK("http://pbs.twimg.com/media/DdW2eNpVAAAqYaJ.jpg", "http://pbs.twimg.com/media/DdW2eNpVAAAqYaJ.jpg")</f>
        <v/>
      </c>
      <c r="G142" t="s"/>
      <c r="H142" t="s"/>
      <c r="I142" t="s"/>
      <c r="J142" t="n">
        <v>0</v>
      </c>
      <c r="K142" t="n">
        <v>0</v>
      </c>
      <c r="L142" t="n">
        <v>1</v>
      </c>
      <c r="M142" t="n">
        <v>0</v>
      </c>
    </row>
    <row r="143" spans="1:13">
      <c r="A143" s="1">
        <f>HYPERLINK("http://www.twitter.com/NathanBLawrence/status/996866574173851648", "996866574173851648")</f>
        <v/>
      </c>
      <c r="B143" s="2" t="n">
        <v>43236.89914351852</v>
      </c>
      <c r="C143" t="n">
        <v>0</v>
      </c>
      <c r="D143" t="n">
        <v>2</v>
      </c>
      <c r="E143" t="s">
        <v>154</v>
      </c>
      <c r="F143" t="s"/>
      <c r="G143" t="s"/>
      <c r="H143" t="s"/>
      <c r="I143" t="s"/>
      <c r="J143" t="n">
        <v>-0.5106000000000001</v>
      </c>
      <c r="K143" t="n">
        <v>0.142</v>
      </c>
      <c r="L143" t="n">
        <v>0.858</v>
      </c>
      <c r="M143" t="n">
        <v>0</v>
      </c>
    </row>
    <row r="144" spans="1:13">
      <c r="A144" s="1">
        <f>HYPERLINK("http://www.twitter.com/NathanBLawrence/status/996865226707537920", "996865226707537920")</f>
        <v/>
      </c>
      <c r="B144" s="2" t="n">
        <v>43236.89542824074</v>
      </c>
      <c r="C144" t="n">
        <v>0</v>
      </c>
      <c r="D144" t="n">
        <v>9</v>
      </c>
      <c r="E144" t="s">
        <v>155</v>
      </c>
      <c r="F144" t="s"/>
      <c r="G144" t="s"/>
      <c r="H144" t="s"/>
      <c r="I144" t="s"/>
      <c r="J144" t="n">
        <v>0.2057</v>
      </c>
      <c r="K144" t="n">
        <v>0</v>
      </c>
      <c r="L144" t="n">
        <v>0.904</v>
      </c>
      <c r="M144" t="n">
        <v>0.096</v>
      </c>
    </row>
    <row r="145" spans="1:13">
      <c r="A145" s="1">
        <f>HYPERLINK("http://www.twitter.com/NathanBLawrence/status/996830202054488064", "996830202054488064")</f>
        <v/>
      </c>
      <c r="B145" s="2" t="n">
        <v>43236.79878472222</v>
      </c>
      <c r="C145" t="n">
        <v>0</v>
      </c>
      <c r="D145" t="n">
        <v>8</v>
      </c>
      <c r="E145" t="s">
        <v>156</v>
      </c>
      <c r="F145" t="s"/>
      <c r="G145" t="s"/>
      <c r="H145" t="s"/>
      <c r="I145" t="s"/>
      <c r="J145" t="n">
        <v>0</v>
      </c>
      <c r="K145" t="n">
        <v>0</v>
      </c>
      <c r="L145" t="n">
        <v>1</v>
      </c>
      <c r="M145" t="n">
        <v>0</v>
      </c>
    </row>
    <row r="146" spans="1:13">
      <c r="A146" s="1">
        <f>HYPERLINK("http://www.twitter.com/NathanBLawrence/status/996829222009212929", "996829222009212929")</f>
        <v/>
      </c>
      <c r="B146" s="2" t="n">
        <v>43236.79607638889</v>
      </c>
      <c r="C146" t="n">
        <v>0</v>
      </c>
      <c r="D146" t="n">
        <v>8</v>
      </c>
      <c r="E146" t="s">
        <v>157</v>
      </c>
      <c r="F146" t="s"/>
      <c r="G146" t="s"/>
      <c r="H146" t="s"/>
      <c r="I146" t="s"/>
      <c r="J146" t="n">
        <v>0</v>
      </c>
      <c r="K146" t="n">
        <v>0</v>
      </c>
      <c r="L146" t="n">
        <v>1</v>
      </c>
      <c r="M146" t="n">
        <v>0</v>
      </c>
    </row>
    <row r="147" spans="1:13">
      <c r="A147" s="1">
        <f>HYPERLINK("http://www.twitter.com/NathanBLawrence/status/996821891255021573", "996821891255021573")</f>
        <v/>
      </c>
      <c r="B147" s="2" t="n">
        <v>43236.77584490741</v>
      </c>
      <c r="C147" t="n">
        <v>1</v>
      </c>
      <c r="D147" t="n">
        <v>1</v>
      </c>
      <c r="E147" t="s">
        <v>158</v>
      </c>
      <c r="F147" t="s"/>
      <c r="G147" t="s"/>
      <c r="H147" t="s"/>
      <c r="I147" t="s"/>
      <c r="J147" t="n">
        <v>-0.6808</v>
      </c>
      <c r="K147" t="n">
        <v>0.262</v>
      </c>
      <c r="L147" t="n">
        <v>0.615</v>
      </c>
      <c r="M147" t="n">
        <v>0.123</v>
      </c>
    </row>
    <row r="148" spans="1:13">
      <c r="A148" s="1">
        <f>HYPERLINK("http://www.twitter.com/NathanBLawrence/status/996821308540379141", "996821308540379141")</f>
        <v/>
      </c>
      <c r="B148" s="2" t="n">
        <v>43236.77423611111</v>
      </c>
      <c r="C148" t="n">
        <v>0</v>
      </c>
      <c r="D148" t="n">
        <v>15</v>
      </c>
      <c r="E148" t="s">
        <v>159</v>
      </c>
      <c r="F148" t="s"/>
      <c r="G148" t="s"/>
      <c r="H148" t="s"/>
      <c r="I148" t="s"/>
      <c r="J148" t="n">
        <v>-0.0516</v>
      </c>
      <c r="K148" t="n">
        <v>0.081</v>
      </c>
      <c r="L148" t="n">
        <v>0.846</v>
      </c>
      <c r="M148" t="n">
        <v>0.073</v>
      </c>
    </row>
    <row r="149" spans="1:13">
      <c r="A149" s="1">
        <f>HYPERLINK("http://www.twitter.com/NathanBLawrence/status/996820920047230977", "996820920047230977")</f>
        <v/>
      </c>
      <c r="B149" s="2" t="n">
        <v>43236.7731712963</v>
      </c>
      <c r="C149" t="n">
        <v>0</v>
      </c>
      <c r="D149" t="n">
        <v>5</v>
      </c>
      <c r="E149" t="s">
        <v>160</v>
      </c>
      <c r="F149" t="s"/>
      <c r="G149" t="s"/>
      <c r="H149" t="s"/>
      <c r="I149" t="s"/>
      <c r="J149" t="n">
        <v>-0.4019</v>
      </c>
      <c r="K149" t="n">
        <v>0.119</v>
      </c>
      <c r="L149" t="n">
        <v>0.881</v>
      </c>
      <c r="M149" t="n">
        <v>0</v>
      </c>
    </row>
    <row r="150" spans="1:13">
      <c r="A150" s="1">
        <f>HYPERLINK("http://www.twitter.com/NathanBLawrence/status/996820226846216192", "996820226846216192")</f>
        <v/>
      </c>
      <c r="B150" s="2" t="n">
        <v>43236.77125</v>
      </c>
      <c r="C150" t="n">
        <v>0</v>
      </c>
      <c r="D150" t="n">
        <v>7579</v>
      </c>
      <c r="E150" t="s">
        <v>161</v>
      </c>
      <c r="F150" t="s"/>
      <c r="G150" t="s"/>
      <c r="H150" t="s"/>
      <c r="I150" t="s"/>
      <c r="J150" t="n">
        <v>-0.5719</v>
      </c>
      <c r="K150" t="n">
        <v>0.183</v>
      </c>
      <c r="L150" t="n">
        <v>0.8169999999999999</v>
      </c>
      <c r="M150" t="n">
        <v>0</v>
      </c>
    </row>
    <row r="151" spans="1:13">
      <c r="A151" s="1">
        <f>HYPERLINK("http://www.twitter.com/NathanBLawrence/status/996819617103470594", "996819617103470594")</f>
        <v/>
      </c>
      <c r="B151" s="2" t="n">
        <v>43236.76957175926</v>
      </c>
      <c r="C151" t="n">
        <v>0</v>
      </c>
      <c r="D151" t="n">
        <v>16</v>
      </c>
      <c r="E151" t="s">
        <v>162</v>
      </c>
      <c r="F151">
        <f>HYPERLINK("http://pbs.twimg.com/media/DdVoL0IXcAAr1Ph.jpg", "http://pbs.twimg.com/media/DdVoL0IXcAAr1Ph.jpg")</f>
        <v/>
      </c>
      <c r="G151" t="s"/>
      <c r="H151" t="s"/>
      <c r="I151" t="s"/>
      <c r="J151" t="n">
        <v>-0.6114000000000001</v>
      </c>
      <c r="K151" t="n">
        <v>0.192</v>
      </c>
      <c r="L151" t="n">
        <v>0.8080000000000001</v>
      </c>
      <c r="M151" t="n">
        <v>0</v>
      </c>
    </row>
    <row r="152" spans="1:13">
      <c r="A152" s="1">
        <f>HYPERLINK("http://www.twitter.com/NathanBLawrence/status/996819410559094784", "996819410559094784")</f>
        <v/>
      </c>
      <c r="B152" s="2" t="n">
        <v>43236.76900462963</v>
      </c>
      <c r="C152" t="n">
        <v>4</v>
      </c>
      <c r="D152" t="n">
        <v>2</v>
      </c>
      <c r="E152" t="s">
        <v>163</v>
      </c>
      <c r="F152" t="s"/>
      <c r="G152" t="s"/>
      <c r="H152" t="s"/>
      <c r="I152" t="s"/>
      <c r="J152" t="n">
        <v>0.2942</v>
      </c>
      <c r="K152" t="n">
        <v>0.034</v>
      </c>
      <c r="L152" t="n">
        <v>0.899</v>
      </c>
      <c r="M152" t="n">
        <v>0.067</v>
      </c>
    </row>
    <row r="153" spans="1:13">
      <c r="A153" s="1">
        <f>HYPERLINK("http://www.twitter.com/NathanBLawrence/status/996818414659358720", "996818414659358720")</f>
        <v/>
      </c>
      <c r="B153" s="2" t="n">
        <v>43236.76625</v>
      </c>
      <c r="C153" t="n">
        <v>0</v>
      </c>
      <c r="D153" t="n">
        <v>2</v>
      </c>
      <c r="E153" t="s">
        <v>164</v>
      </c>
      <c r="F153" t="s"/>
      <c r="G153" t="s"/>
      <c r="H153" t="s"/>
      <c r="I153" t="s"/>
      <c r="J153" t="n">
        <v>0.4019</v>
      </c>
      <c r="K153" t="n">
        <v>0</v>
      </c>
      <c r="L153" t="n">
        <v>0.886</v>
      </c>
      <c r="M153" t="n">
        <v>0.114</v>
      </c>
    </row>
    <row r="154" spans="1:13">
      <c r="A154" s="1">
        <f>HYPERLINK("http://www.twitter.com/NathanBLawrence/status/996816826641408000", "996816826641408000")</f>
        <v/>
      </c>
      <c r="B154" s="2" t="n">
        <v>43236.761875</v>
      </c>
      <c r="C154" t="n">
        <v>2</v>
      </c>
      <c r="D154" t="n">
        <v>1</v>
      </c>
      <c r="E154" t="s">
        <v>165</v>
      </c>
      <c r="F154" t="s"/>
      <c r="G154" t="s"/>
      <c r="H154" t="s"/>
      <c r="I154" t="s"/>
      <c r="J154" t="n">
        <v>0</v>
      </c>
      <c r="K154" t="n">
        <v>0</v>
      </c>
      <c r="L154" t="n">
        <v>1</v>
      </c>
      <c r="M154" t="n">
        <v>0</v>
      </c>
    </row>
    <row r="155" spans="1:13">
      <c r="A155" s="1">
        <f>HYPERLINK("http://www.twitter.com/NathanBLawrence/status/996816487955550208", "996816487955550208")</f>
        <v/>
      </c>
      <c r="B155" s="2" t="n">
        <v>43236.7609375</v>
      </c>
      <c r="C155" t="n">
        <v>0</v>
      </c>
      <c r="D155" t="n">
        <v>2</v>
      </c>
      <c r="E155" t="s">
        <v>166</v>
      </c>
      <c r="F155" t="s"/>
      <c r="G155" t="s"/>
      <c r="H155" t="s"/>
      <c r="I155" t="s"/>
      <c r="J155" t="n">
        <v>0.1027</v>
      </c>
      <c r="K155" t="n">
        <v>0.089</v>
      </c>
      <c r="L155" t="n">
        <v>0.805</v>
      </c>
      <c r="M155" t="n">
        <v>0.106</v>
      </c>
    </row>
    <row r="156" spans="1:13">
      <c r="A156" s="1">
        <f>HYPERLINK("http://www.twitter.com/NathanBLawrence/status/996816123311075328", "996816123311075328")</f>
        <v/>
      </c>
      <c r="B156" s="2" t="n">
        <v>43236.75993055556</v>
      </c>
      <c r="C156" t="n">
        <v>0</v>
      </c>
      <c r="D156" t="n">
        <v>10</v>
      </c>
      <c r="E156" t="s">
        <v>167</v>
      </c>
      <c r="F156">
        <f>HYPERLINK("http://pbs.twimg.com/media/DdVAbpjU0AEI-Nd.jpg", "http://pbs.twimg.com/media/DdVAbpjU0AEI-Nd.jpg")</f>
        <v/>
      </c>
      <c r="G156" t="s"/>
      <c r="H156" t="s"/>
      <c r="I156" t="s"/>
      <c r="J156" t="n">
        <v>0.3818</v>
      </c>
      <c r="K156" t="n">
        <v>0</v>
      </c>
      <c r="L156" t="n">
        <v>0.885</v>
      </c>
      <c r="M156" t="n">
        <v>0.115</v>
      </c>
    </row>
    <row r="157" spans="1:13">
      <c r="A157" s="1">
        <f>HYPERLINK("http://www.twitter.com/NathanBLawrence/status/996815915294576640", "996815915294576640")</f>
        <v/>
      </c>
      <c r="B157" s="2" t="n">
        <v>43236.75935185186</v>
      </c>
      <c r="C157" t="n">
        <v>0</v>
      </c>
      <c r="D157" t="n">
        <v>9</v>
      </c>
      <c r="E157" t="s">
        <v>168</v>
      </c>
      <c r="F157">
        <f>HYPERLINK("http://pbs.twimg.com/media/DdVBM6jU8AEnQVJ.jpg", "http://pbs.twimg.com/media/DdVBM6jU8AEnQVJ.jpg")</f>
        <v/>
      </c>
      <c r="G157" t="s"/>
      <c r="H157" t="s"/>
      <c r="I157" t="s"/>
      <c r="J157" t="n">
        <v>0</v>
      </c>
      <c r="K157" t="n">
        <v>0</v>
      </c>
      <c r="L157" t="n">
        <v>1</v>
      </c>
      <c r="M157" t="n">
        <v>0</v>
      </c>
    </row>
    <row r="158" spans="1:13">
      <c r="A158" s="1">
        <f>HYPERLINK("http://www.twitter.com/NathanBLawrence/status/996814795222417409", "996814795222417409")</f>
        <v/>
      </c>
      <c r="B158" s="2" t="n">
        <v>43236.75626157408</v>
      </c>
      <c r="C158" t="n">
        <v>0</v>
      </c>
      <c r="D158" t="n">
        <v>2</v>
      </c>
      <c r="E158" t="s">
        <v>169</v>
      </c>
      <c r="F158" t="s"/>
      <c r="G158" t="s"/>
      <c r="H158" t="s"/>
      <c r="I158" t="s"/>
      <c r="J158" t="n">
        <v>0.0772</v>
      </c>
      <c r="K158" t="n">
        <v>0</v>
      </c>
      <c r="L158" t="n">
        <v>0.9360000000000001</v>
      </c>
      <c r="M158" t="n">
        <v>0.064</v>
      </c>
    </row>
    <row r="159" spans="1:13">
      <c r="A159" s="1">
        <f>HYPERLINK("http://www.twitter.com/NathanBLawrence/status/996814734556061696", "996814734556061696")</f>
        <v/>
      </c>
      <c r="B159" s="2" t="n">
        <v>43236.75609953704</v>
      </c>
      <c r="C159" t="n">
        <v>0</v>
      </c>
      <c r="D159" t="n">
        <v>2768</v>
      </c>
      <c r="E159" t="s">
        <v>170</v>
      </c>
      <c r="F159" t="s"/>
      <c r="G159" t="s"/>
      <c r="H159" t="s"/>
      <c r="I159" t="s"/>
      <c r="J159" t="n">
        <v>-0.4939</v>
      </c>
      <c r="K159" t="n">
        <v>0.174</v>
      </c>
      <c r="L159" t="n">
        <v>0.826</v>
      </c>
      <c r="M159" t="n">
        <v>0</v>
      </c>
    </row>
    <row r="160" spans="1:13">
      <c r="A160" s="1">
        <f>HYPERLINK("http://www.twitter.com/NathanBLawrence/status/996814090826846210", "996814090826846210")</f>
        <v/>
      </c>
      <c r="B160" s="2" t="n">
        <v>43236.75431712963</v>
      </c>
      <c r="C160" t="n">
        <v>0</v>
      </c>
      <c r="D160" t="n">
        <v>823</v>
      </c>
      <c r="E160" t="s">
        <v>171</v>
      </c>
      <c r="F160" t="s"/>
      <c r="G160" t="s"/>
      <c r="H160" t="s"/>
      <c r="I160" t="s"/>
      <c r="J160" t="n">
        <v>0</v>
      </c>
      <c r="K160" t="n">
        <v>0</v>
      </c>
      <c r="L160" t="n">
        <v>1</v>
      </c>
      <c r="M160" t="n">
        <v>0</v>
      </c>
    </row>
    <row r="161" spans="1:13">
      <c r="A161" s="1">
        <f>HYPERLINK("http://www.twitter.com/NathanBLawrence/status/996813025171648512", "996813025171648512")</f>
        <v/>
      </c>
      <c r="B161" s="2" t="n">
        <v>43236.75137731482</v>
      </c>
      <c r="C161" t="n">
        <v>0</v>
      </c>
      <c r="D161" t="n">
        <v>6</v>
      </c>
      <c r="E161" t="s">
        <v>172</v>
      </c>
      <c r="F161">
        <f>HYPERLINK("http://pbs.twimg.com/media/DdVZq0FVMAAfOln.jpg", "http://pbs.twimg.com/media/DdVZq0FVMAAfOln.jpg")</f>
        <v/>
      </c>
      <c r="G161" t="s"/>
      <c r="H161" t="s"/>
      <c r="I161" t="s"/>
      <c r="J161" t="n">
        <v>0</v>
      </c>
      <c r="K161" t="n">
        <v>0</v>
      </c>
      <c r="L161" t="n">
        <v>1</v>
      </c>
      <c r="M161" t="n">
        <v>0</v>
      </c>
    </row>
    <row r="162" spans="1:13">
      <c r="A162" s="1">
        <f>HYPERLINK("http://www.twitter.com/NathanBLawrence/status/996795341042221057", "996795341042221057")</f>
        <v/>
      </c>
      <c r="B162" s="2" t="n">
        <v>43236.70258101852</v>
      </c>
      <c r="C162" t="n">
        <v>0</v>
      </c>
      <c r="D162" t="n">
        <v>92</v>
      </c>
      <c r="E162" t="s">
        <v>173</v>
      </c>
      <c r="F162" t="s"/>
      <c r="G162" t="s"/>
      <c r="H162" t="s"/>
      <c r="I162" t="s"/>
      <c r="J162" t="n">
        <v>0.3544</v>
      </c>
      <c r="K162" t="n">
        <v>0</v>
      </c>
      <c r="L162" t="n">
        <v>0.866</v>
      </c>
      <c r="M162" t="n">
        <v>0.134</v>
      </c>
    </row>
    <row r="163" spans="1:13">
      <c r="A163" s="1">
        <f>HYPERLINK("http://www.twitter.com/NathanBLawrence/status/996793454935068672", "996793454935068672")</f>
        <v/>
      </c>
      <c r="B163" s="2" t="n">
        <v>43236.69737268519</v>
      </c>
      <c r="C163" t="n">
        <v>0</v>
      </c>
      <c r="D163" t="n">
        <v>4</v>
      </c>
      <c r="E163" t="s">
        <v>174</v>
      </c>
      <c r="F163" t="s"/>
      <c r="G163" t="s"/>
      <c r="H163" t="s"/>
      <c r="I163" t="s"/>
      <c r="J163" t="n">
        <v>0.0382</v>
      </c>
      <c r="K163" t="n">
        <v>0.096</v>
      </c>
      <c r="L163" t="n">
        <v>0.803</v>
      </c>
      <c r="M163" t="n">
        <v>0.101</v>
      </c>
    </row>
    <row r="164" spans="1:13">
      <c r="A164" s="1">
        <f>HYPERLINK("http://www.twitter.com/NathanBLawrence/status/996793406172090373", "996793406172090373")</f>
        <v/>
      </c>
      <c r="B164" s="2" t="n">
        <v>43236.69724537037</v>
      </c>
      <c r="C164" t="n">
        <v>0</v>
      </c>
      <c r="D164" t="n">
        <v>0</v>
      </c>
      <c r="E164" t="s">
        <v>175</v>
      </c>
      <c r="F164" t="s"/>
      <c r="G164" t="s"/>
      <c r="H164" t="s"/>
      <c r="I164" t="s"/>
      <c r="J164" t="n">
        <v>0.8122</v>
      </c>
      <c r="K164" t="n">
        <v>0.092</v>
      </c>
      <c r="L164" t="n">
        <v>0.639</v>
      </c>
      <c r="M164" t="n">
        <v>0.269</v>
      </c>
    </row>
    <row r="165" spans="1:13">
      <c r="A165" s="1">
        <f>HYPERLINK("http://www.twitter.com/NathanBLawrence/status/996791613061025792", "996791613061025792")</f>
        <v/>
      </c>
      <c r="B165" s="2" t="n">
        <v>43236.69229166667</v>
      </c>
      <c r="C165" t="n">
        <v>0</v>
      </c>
      <c r="D165" t="n">
        <v>6</v>
      </c>
      <c r="E165" t="s">
        <v>176</v>
      </c>
      <c r="F165" t="s"/>
      <c r="G165" t="s"/>
      <c r="H165" t="s"/>
      <c r="I165" t="s"/>
      <c r="J165" t="n">
        <v>-0.296</v>
      </c>
      <c r="K165" t="n">
        <v>0.203</v>
      </c>
      <c r="L165" t="n">
        <v>0.6899999999999999</v>
      </c>
      <c r="M165" t="n">
        <v>0.108</v>
      </c>
    </row>
    <row r="166" spans="1:13">
      <c r="A166" s="1">
        <f>HYPERLINK("http://www.twitter.com/NathanBLawrence/status/996784434165796865", "996784434165796865")</f>
        <v/>
      </c>
      <c r="B166" s="2" t="n">
        <v>43236.67248842592</v>
      </c>
      <c r="C166" t="n">
        <v>0</v>
      </c>
      <c r="D166" t="n">
        <v>1</v>
      </c>
      <c r="E166" t="s">
        <v>177</v>
      </c>
      <c r="F166" t="s"/>
      <c r="G166" t="s"/>
      <c r="H166" t="s"/>
      <c r="I166" t="s"/>
      <c r="J166" t="n">
        <v>-0.296</v>
      </c>
      <c r="K166" t="n">
        <v>0.08400000000000001</v>
      </c>
      <c r="L166" t="n">
        <v>0.916</v>
      </c>
      <c r="M166" t="n">
        <v>0</v>
      </c>
    </row>
    <row r="167" spans="1:13">
      <c r="A167" s="1">
        <f>HYPERLINK("http://www.twitter.com/NathanBLawrence/status/996784334689497094", "996784334689497094")</f>
        <v/>
      </c>
      <c r="B167" s="2" t="n">
        <v>43236.67221064815</v>
      </c>
      <c r="C167" t="n">
        <v>0</v>
      </c>
      <c r="D167" t="n">
        <v>5</v>
      </c>
      <c r="E167" t="s">
        <v>178</v>
      </c>
      <c r="F167">
        <f>HYPERLINK("http://pbs.twimg.com/media/DdUfcmjVMAAppQH.jpg", "http://pbs.twimg.com/media/DdUfcmjVMAAppQH.jpg")</f>
        <v/>
      </c>
      <c r="G167" t="s"/>
      <c r="H167" t="s"/>
      <c r="I167" t="s"/>
      <c r="J167" t="n">
        <v>-0.6597</v>
      </c>
      <c r="K167" t="n">
        <v>0.283</v>
      </c>
      <c r="L167" t="n">
        <v>0.637</v>
      </c>
      <c r="M167" t="n">
        <v>0.08</v>
      </c>
    </row>
    <row r="168" spans="1:13">
      <c r="A168" s="1">
        <f>HYPERLINK("http://www.twitter.com/NathanBLawrence/status/996783629786341378", "996783629786341378")</f>
        <v/>
      </c>
      <c r="B168" s="2" t="n">
        <v>43236.67026620371</v>
      </c>
      <c r="C168" t="n">
        <v>0</v>
      </c>
      <c r="D168" t="n">
        <v>4</v>
      </c>
      <c r="E168" t="s">
        <v>179</v>
      </c>
      <c r="F168" t="s"/>
      <c r="G168" t="s"/>
      <c r="H168" t="s"/>
      <c r="I168" t="s"/>
      <c r="J168" t="n">
        <v>-0.7096</v>
      </c>
      <c r="K168" t="n">
        <v>0.247</v>
      </c>
      <c r="L168" t="n">
        <v>0.753</v>
      </c>
      <c r="M168" t="n">
        <v>0</v>
      </c>
    </row>
    <row r="169" spans="1:13">
      <c r="A169" s="1">
        <f>HYPERLINK("http://www.twitter.com/NathanBLawrence/status/996783340912021510", "996783340912021510")</f>
        <v/>
      </c>
      <c r="B169" s="2" t="n">
        <v>43236.66946759259</v>
      </c>
      <c r="C169" t="n">
        <v>0</v>
      </c>
      <c r="D169" t="n">
        <v>106</v>
      </c>
      <c r="E169" t="s">
        <v>180</v>
      </c>
      <c r="F169" t="s"/>
      <c r="G169" t="s"/>
      <c r="H169" t="s"/>
      <c r="I169" t="s"/>
      <c r="J169" t="n">
        <v>0.3612</v>
      </c>
      <c r="K169" t="n">
        <v>0</v>
      </c>
      <c r="L169" t="n">
        <v>0.898</v>
      </c>
      <c r="M169" t="n">
        <v>0.102</v>
      </c>
    </row>
    <row r="170" spans="1:13">
      <c r="A170" s="1">
        <f>HYPERLINK("http://www.twitter.com/NathanBLawrence/status/996781789346713600", "996781789346713600")</f>
        <v/>
      </c>
      <c r="B170" s="2" t="n">
        <v>43236.66518518519</v>
      </c>
      <c r="C170" t="n">
        <v>0</v>
      </c>
      <c r="D170" t="n">
        <v>32709</v>
      </c>
      <c r="E170" t="s">
        <v>181</v>
      </c>
      <c r="F170">
        <f>HYPERLINK("https://video.twimg.com/ext_tw_video/996520791767502850/pu/vid/320x180/hrFCyw0l-Kj89tWa.mp4?tag=3", "https://video.twimg.com/ext_tw_video/996520791767502850/pu/vid/320x180/hrFCyw0l-Kj89tWa.mp4?tag=3")</f>
        <v/>
      </c>
      <c r="G170" t="s"/>
      <c r="H170" t="s"/>
      <c r="I170" t="s"/>
      <c r="J170" t="n">
        <v>-0.3919</v>
      </c>
      <c r="K170" t="n">
        <v>0.181</v>
      </c>
      <c r="L170" t="n">
        <v>0.819</v>
      </c>
      <c r="M170" t="n">
        <v>0</v>
      </c>
    </row>
    <row r="171" spans="1:13">
      <c r="A171" s="1">
        <f>HYPERLINK("http://www.twitter.com/NathanBLawrence/status/996774222667141120", "996774222667141120")</f>
        <v/>
      </c>
      <c r="B171" s="2" t="n">
        <v>43236.64430555556</v>
      </c>
      <c r="C171" t="n">
        <v>0</v>
      </c>
      <c r="D171" t="n">
        <v>5</v>
      </c>
      <c r="E171" t="s">
        <v>182</v>
      </c>
      <c r="F171" t="s"/>
      <c r="G171" t="s"/>
      <c r="H171" t="s"/>
      <c r="I171" t="s"/>
      <c r="J171" t="n">
        <v>0</v>
      </c>
      <c r="K171" t="n">
        <v>0</v>
      </c>
      <c r="L171" t="n">
        <v>1</v>
      </c>
      <c r="M171" t="n">
        <v>0</v>
      </c>
    </row>
    <row r="172" spans="1:13">
      <c r="A172" s="1">
        <f>HYPERLINK("http://www.twitter.com/NathanBLawrence/status/996614643048243202", "996614643048243202")</f>
        <v/>
      </c>
      <c r="B172" s="2" t="n">
        <v>43236.20394675926</v>
      </c>
      <c r="C172" t="n">
        <v>0</v>
      </c>
      <c r="D172" t="n">
        <v>12</v>
      </c>
      <c r="E172" t="s">
        <v>183</v>
      </c>
      <c r="F172">
        <f>HYPERLINK("http://pbs.twimg.com/media/DdSu3w3V0AEgg7k.jpg", "http://pbs.twimg.com/media/DdSu3w3V0AEgg7k.jpg")</f>
        <v/>
      </c>
      <c r="G172" t="s"/>
      <c r="H172" t="s"/>
      <c r="I172" t="s"/>
      <c r="J172" t="n">
        <v>0.4019</v>
      </c>
      <c r="K172" t="n">
        <v>0</v>
      </c>
      <c r="L172" t="n">
        <v>0.881</v>
      </c>
      <c r="M172" t="n">
        <v>0.119</v>
      </c>
    </row>
    <row r="173" spans="1:13">
      <c r="A173" s="1">
        <f>HYPERLINK("http://www.twitter.com/NathanBLawrence/status/996609575548792832", "996609575548792832")</f>
        <v/>
      </c>
      <c r="B173" s="2" t="n">
        <v>43236.18996527778</v>
      </c>
      <c r="C173" t="n">
        <v>0</v>
      </c>
      <c r="D173" t="n">
        <v>14</v>
      </c>
      <c r="E173" t="s">
        <v>184</v>
      </c>
      <c r="F173" t="s"/>
      <c r="G173" t="s"/>
      <c r="H173" t="s"/>
      <c r="I173" t="s"/>
      <c r="J173" t="n">
        <v>-0.4648</v>
      </c>
      <c r="K173" t="n">
        <v>0.121</v>
      </c>
      <c r="L173" t="n">
        <v>0.879</v>
      </c>
      <c r="M173" t="n">
        <v>0</v>
      </c>
    </row>
    <row r="174" spans="1:13">
      <c r="A174" s="1">
        <f>HYPERLINK("http://www.twitter.com/NathanBLawrence/status/996608788936445953", "996608788936445953")</f>
        <v/>
      </c>
      <c r="B174" s="2" t="n">
        <v>43236.18780092592</v>
      </c>
      <c r="C174" t="n">
        <v>0</v>
      </c>
      <c r="D174" t="n">
        <v>2</v>
      </c>
      <c r="E174" t="s">
        <v>185</v>
      </c>
      <c r="F174">
        <f>HYPERLINK("http://pbs.twimg.com/media/DdQueRjVwAAX8ZN.jpg", "http://pbs.twimg.com/media/DdQueRjVwAAX8ZN.jpg")</f>
        <v/>
      </c>
      <c r="G174" t="s"/>
      <c r="H174" t="s"/>
      <c r="I174" t="s"/>
      <c r="J174" t="n">
        <v>-0.3612</v>
      </c>
      <c r="K174" t="n">
        <v>0.128</v>
      </c>
      <c r="L174" t="n">
        <v>0.872</v>
      </c>
      <c r="M174" t="n">
        <v>0</v>
      </c>
    </row>
    <row r="175" spans="1:13">
      <c r="A175" s="1">
        <f>HYPERLINK("http://www.twitter.com/NathanBLawrence/status/996563231941513221", "996563231941513221")</f>
        <v/>
      </c>
      <c r="B175" s="2" t="n">
        <v>43236.06208333333</v>
      </c>
      <c r="C175" t="n">
        <v>0</v>
      </c>
      <c r="D175" t="n">
        <v>1951</v>
      </c>
      <c r="E175" t="s">
        <v>186</v>
      </c>
      <c r="F175" t="s"/>
      <c r="G175" t="s"/>
      <c r="H175" t="s"/>
      <c r="I175" t="s"/>
      <c r="J175" t="n">
        <v>-0.2682</v>
      </c>
      <c r="K175" t="n">
        <v>0.154</v>
      </c>
      <c r="L175" t="n">
        <v>0.735</v>
      </c>
      <c r="M175" t="n">
        <v>0.11</v>
      </c>
    </row>
    <row r="176" spans="1:13">
      <c r="A176" s="1">
        <f>HYPERLINK("http://www.twitter.com/NathanBLawrence/status/996562740373311491", "996562740373311491")</f>
        <v/>
      </c>
      <c r="B176" s="2" t="n">
        <v>43236.06072916667</v>
      </c>
      <c r="C176" t="n">
        <v>0</v>
      </c>
      <c r="D176" t="n">
        <v>15</v>
      </c>
      <c r="E176" t="s">
        <v>187</v>
      </c>
      <c r="F176" t="s"/>
      <c r="G176" t="s"/>
      <c r="H176" t="s"/>
      <c r="I176" t="s"/>
      <c r="J176" t="n">
        <v>0.1779</v>
      </c>
      <c r="K176" t="n">
        <v>0.08799999999999999</v>
      </c>
      <c r="L176" t="n">
        <v>0.797</v>
      </c>
      <c r="M176" t="n">
        <v>0.116</v>
      </c>
    </row>
    <row r="177" spans="1:13">
      <c r="A177" s="1">
        <f>HYPERLINK("http://www.twitter.com/NathanBLawrence/status/996552305142099968", "996552305142099968")</f>
        <v/>
      </c>
      <c r="B177" s="2" t="n">
        <v>43236.03193287037</v>
      </c>
      <c r="C177" t="n">
        <v>0</v>
      </c>
      <c r="D177" t="n">
        <v>10</v>
      </c>
      <c r="E177" t="s">
        <v>188</v>
      </c>
      <c r="F177" t="s"/>
      <c r="G177" t="s"/>
      <c r="H177" t="s"/>
      <c r="I177" t="s"/>
      <c r="J177" t="n">
        <v>0.0493</v>
      </c>
      <c r="K177" t="n">
        <v>0.229</v>
      </c>
      <c r="L177" t="n">
        <v>0.5659999999999999</v>
      </c>
      <c r="M177" t="n">
        <v>0.205</v>
      </c>
    </row>
    <row r="178" spans="1:13">
      <c r="A178" s="1">
        <f>HYPERLINK("http://www.twitter.com/NathanBLawrence/status/996542851583442946", "996542851583442946")</f>
        <v/>
      </c>
      <c r="B178" s="2" t="n">
        <v>43236.00584490741</v>
      </c>
      <c r="C178" t="n">
        <v>6</v>
      </c>
      <c r="D178" t="n">
        <v>3</v>
      </c>
      <c r="E178" t="s">
        <v>189</v>
      </c>
      <c r="F178" t="s"/>
      <c r="G178" t="s"/>
      <c r="H178" t="s"/>
      <c r="I178" t="s"/>
      <c r="J178" t="n">
        <v>-0.7009</v>
      </c>
      <c r="K178" t="n">
        <v>0.134</v>
      </c>
      <c r="L178" t="n">
        <v>0.866</v>
      </c>
      <c r="M178" t="n">
        <v>0</v>
      </c>
    </row>
    <row r="179" spans="1:13">
      <c r="A179" s="1">
        <f>HYPERLINK("http://www.twitter.com/NathanBLawrence/status/996526991577894913", "996526991577894913")</f>
        <v/>
      </c>
      <c r="B179" s="2" t="n">
        <v>43235.96208333333</v>
      </c>
      <c r="C179" t="n">
        <v>0</v>
      </c>
      <c r="D179" t="n">
        <v>7</v>
      </c>
      <c r="E179" t="s">
        <v>190</v>
      </c>
      <c r="F179">
        <f>HYPERLINK("http://pbs.twimg.com/media/DdRYEQ-W0AAh-o0.jpg", "http://pbs.twimg.com/media/DdRYEQ-W0AAh-o0.jpg")</f>
        <v/>
      </c>
      <c r="G179" t="s"/>
      <c r="H179" t="s"/>
      <c r="I179" t="s"/>
      <c r="J179" t="n">
        <v>0.4939</v>
      </c>
      <c r="K179" t="n">
        <v>0</v>
      </c>
      <c r="L179" t="n">
        <v>0.8139999999999999</v>
      </c>
      <c r="M179" t="n">
        <v>0.186</v>
      </c>
    </row>
    <row r="180" spans="1:13">
      <c r="A180" s="1">
        <f>HYPERLINK("http://www.twitter.com/NathanBLawrence/status/996519745846431745", "996519745846431745")</f>
        <v/>
      </c>
      <c r="B180" s="2" t="n">
        <v>43235.94208333334</v>
      </c>
      <c r="C180" t="n">
        <v>0</v>
      </c>
      <c r="D180" t="n">
        <v>4</v>
      </c>
      <c r="E180" t="s">
        <v>191</v>
      </c>
      <c r="F180" t="s"/>
      <c r="G180" t="s"/>
      <c r="H180" t="s"/>
      <c r="I180" t="s"/>
      <c r="J180" t="n">
        <v>0</v>
      </c>
      <c r="K180" t="n">
        <v>0</v>
      </c>
      <c r="L180" t="n">
        <v>1</v>
      </c>
      <c r="M180" t="n">
        <v>0</v>
      </c>
    </row>
    <row r="181" spans="1:13">
      <c r="A181" s="1">
        <f>HYPERLINK("http://www.twitter.com/NathanBLawrence/status/996512877283545088", "996512877283545088")</f>
        <v/>
      </c>
      <c r="B181" s="2" t="n">
        <v>43235.923125</v>
      </c>
      <c r="C181" t="n">
        <v>0</v>
      </c>
      <c r="D181" t="n">
        <v>29</v>
      </c>
      <c r="E181" t="s">
        <v>192</v>
      </c>
      <c r="F181" t="s"/>
      <c r="G181" t="s"/>
      <c r="H181" t="s"/>
      <c r="I181" t="s"/>
      <c r="J181" t="n">
        <v>-0.5994</v>
      </c>
      <c r="K181" t="n">
        <v>0.237</v>
      </c>
      <c r="L181" t="n">
        <v>0.763</v>
      </c>
      <c r="M181" t="n">
        <v>0</v>
      </c>
    </row>
    <row r="182" spans="1:13">
      <c r="A182" s="1">
        <f>HYPERLINK("http://www.twitter.com/NathanBLawrence/status/996510376517947392", "996510376517947392")</f>
        <v/>
      </c>
      <c r="B182" s="2" t="n">
        <v>43235.91622685185</v>
      </c>
      <c r="C182" t="n">
        <v>0</v>
      </c>
      <c r="D182" t="n">
        <v>60</v>
      </c>
      <c r="E182" t="s">
        <v>193</v>
      </c>
      <c r="F182" t="s"/>
      <c r="G182" t="s"/>
      <c r="H182" t="s"/>
      <c r="I182" t="s"/>
      <c r="J182" t="n">
        <v>0.6369</v>
      </c>
      <c r="K182" t="n">
        <v>0.092</v>
      </c>
      <c r="L182" t="n">
        <v>0.662</v>
      </c>
      <c r="M182" t="n">
        <v>0.246</v>
      </c>
    </row>
    <row r="183" spans="1:13">
      <c r="A183" s="1">
        <f>HYPERLINK("http://www.twitter.com/NathanBLawrence/status/996494102412890114", "996494102412890114")</f>
        <v/>
      </c>
      <c r="B183" s="2" t="n">
        <v>43235.87131944444</v>
      </c>
      <c r="C183" t="n">
        <v>0</v>
      </c>
      <c r="D183" t="n">
        <v>9</v>
      </c>
      <c r="E183" t="s">
        <v>194</v>
      </c>
      <c r="F183" t="s"/>
      <c r="G183" t="s"/>
      <c r="H183" t="s"/>
      <c r="I183" t="s"/>
      <c r="J183" t="n">
        <v>0.4404</v>
      </c>
      <c r="K183" t="n">
        <v>0.073</v>
      </c>
      <c r="L183" t="n">
        <v>0.759</v>
      </c>
      <c r="M183" t="n">
        <v>0.168</v>
      </c>
    </row>
    <row r="184" spans="1:13">
      <c r="A184" s="1">
        <f>HYPERLINK("http://www.twitter.com/NathanBLawrence/status/996493821084098563", "996493821084098563")</f>
        <v/>
      </c>
      <c r="B184" s="2" t="n">
        <v>43235.87054398148</v>
      </c>
      <c r="C184" t="n">
        <v>0</v>
      </c>
      <c r="D184" t="n">
        <v>11</v>
      </c>
      <c r="E184" t="s">
        <v>195</v>
      </c>
      <c r="F184" t="s"/>
      <c r="G184" t="s"/>
      <c r="H184" t="s"/>
      <c r="I184" t="s"/>
      <c r="J184" t="n">
        <v>0.4939</v>
      </c>
      <c r="K184" t="n">
        <v>0</v>
      </c>
      <c r="L184" t="n">
        <v>0.824</v>
      </c>
      <c r="M184" t="n">
        <v>0.176</v>
      </c>
    </row>
    <row r="185" spans="1:13">
      <c r="A185" s="1">
        <f>HYPERLINK("http://www.twitter.com/NathanBLawrence/status/996491843478130690", "996491843478130690")</f>
        <v/>
      </c>
      <c r="B185" s="2" t="n">
        <v>43235.86509259259</v>
      </c>
      <c r="C185" t="n">
        <v>3</v>
      </c>
      <c r="D185" t="n">
        <v>2</v>
      </c>
      <c r="E185" t="s">
        <v>196</v>
      </c>
      <c r="F185" t="s"/>
      <c r="G185" t="s"/>
      <c r="H185" t="s"/>
      <c r="I185" t="s"/>
      <c r="J185" t="n">
        <v>0.2732</v>
      </c>
      <c r="K185" t="n">
        <v>0.051</v>
      </c>
      <c r="L185" t="n">
        <v>0.873</v>
      </c>
      <c r="M185" t="n">
        <v>0.077</v>
      </c>
    </row>
    <row r="186" spans="1:13">
      <c r="A186" s="1">
        <f>HYPERLINK("http://www.twitter.com/NathanBLawrence/status/996489378208845829", "996489378208845829")</f>
        <v/>
      </c>
      <c r="B186" s="2" t="n">
        <v>43235.85828703704</v>
      </c>
      <c r="C186" t="n">
        <v>0</v>
      </c>
      <c r="D186" t="n">
        <v>1</v>
      </c>
      <c r="E186" t="s">
        <v>197</v>
      </c>
      <c r="F186" t="s"/>
      <c r="G186" t="s"/>
      <c r="H186" t="s"/>
      <c r="I186" t="s"/>
      <c r="J186" t="n">
        <v>-0.3818</v>
      </c>
      <c r="K186" t="n">
        <v>0.106</v>
      </c>
      <c r="L186" t="n">
        <v>0.894</v>
      </c>
      <c r="M186" t="n">
        <v>0</v>
      </c>
    </row>
    <row r="187" spans="1:13">
      <c r="A187" s="1">
        <f>HYPERLINK("http://www.twitter.com/NathanBLawrence/status/996487663355072512", "996487663355072512")</f>
        <v/>
      </c>
      <c r="B187" s="2" t="n">
        <v>43235.85355324074</v>
      </c>
      <c r="C187" t="n">
        <v>0</v>
      </c>
      <c r="D187" t="n">
        <v>116</v>
      </c>
      <c r="E187" t="s">
        <v>198</v>
      </c>
      <c r="F187" t="s"/>
      <c r="G187" t="s"/>
      <c r="H187" t="s"/>
      <c r="I187" t="s"/>
      <c r="J187" t="n">
        <v>-0.5849</v>
      </c>
      <c r="K187" t="n">
        <v>0.166</v>
      </c>
      <c r="L187" t="n">
        <v>0.834</v>
      </c>
      <c r="M187" t="n">
        <v>0</v>
      </c>
    </row>
    <row r="188" spans="1:13">
      <c r="A188" s="1">
        <f>HYPERLINK("http://www.twitter.com/NathanBLawrence/status/996475567271809026", "996475567271809026")</f>
        <v/>
      </c>
      <c r="B188" s="2" t="n">
        <v>43235.82017361111</v>
      </c>
      <c r="C188" t="n">
        <v>0</v>
      </c>
      <c r="D188" t="n">
        <v>3</v>
      </c>
      <c r="E188" t="s">
        <v>199</v>
      </c>
      <c r="F188" t="s"/>
      <c r="G188" t="s"/>
      <c r="H188" t="s"/>
      <c r="I188" t="s"/>
      <c r="J188" t="n">
        <v>0</v>
      </c>
      <c r="K188" t="n">
        <v>0</v>
      </c>
      <c r="L188" t="n">
        <v>1</v>
      </c>
      <c r="M188" t="n">
        <v>0</v>
      </c>
    </row>
    <row r="189" spans="1:13">
      <c r="A189" s="1">
        <f>HYPERLINK("http://www.twitter.com/NathanBLawrence/status/996473846021664770", "996473846021664770")</f>
        <v/>
      </c>
      <c r="B189" s="2" t="n">
        <v>43235.81542824074</v>
      </c>
      <c r="C189" t="n">
        <v>0</v>
      </c>
      <c r="D189" t="n">
        <v>4</v>
      </c>
      <c r="E189" t="s">
        <v>200</v>
      </c>
      <c r="F189" t="s"/>
      <c r="G189" t="s"/>
      <c r="H189" t="s"/>
      <c r="I189" t="s"/>
      <c r="J189" t="n">
        <v>0</v>
      </c>
      <c r="K189" t="n">
        <v>0</v>
      </c>
      <c r="L189" t="n">
        <v>1</v>
      </c>
      <c r="M189" t="n">
        <v>0</v>
      </c>
    </row>
    <row r="190" spans="1:13">
      <c r="A190" s="1">
        <f>HYPERLINK("http://www.twitter.com/NathanBLawrence/status/996473103051083776", "996473103051083776")</f>
        <v/>
      </c>
      <c r="B190" s="2" t="n">
        <v>43235.81336805555</v>
      </c>
      <c r="C190" t="n">
        <v>8</v>
      </c>
      <c r="D190" t="n">
        <v>7</v>
      </c>
      <c r="E190" t="s">
        <v>201</v>
      </c>
      <c r="F190" t="s"/>
      <c r="G190" t="s"/>
      <c r="H190" t="s"/>
      <c r="I190" t="s"/>
      <c r="J190" t="n">
        <v>-0.4767</v>
      </c>
      <c r="K190" t="n">
        <v>0.107</v>
      </c>
      <c r="L190" t="n">
        <v>0.893</v>
      </c>
      <c r="M190" t="n">
        <v>0</v>
      </c>
    </row>
    <row r="191" spans="1:13">
      <c r="A191" s="1">
        <f>HYPERLINK("http://www.twitter.com/NathanBLawrence/status/996466607177248768", "996466607177248768")</f>
        <v/>
      </c>
      <c r="B191" s="2" t="n">
        <v>43235.79545138889</v>
      </c>
      <c r="C191" t="n">
        <v>0</v>
      </c>
      <c r="D191" t="n">
        <v>10</v>
      </c>
      <c r="E191" t="s">
        <v>202</v>
      </c>
      <c r="F191" t="s"/>
      <c r="G191" t="s"/>
      <c r="H191" t="s"/>
      <c r="I191" t="s"/>
      <c r="J191" t="n">
        <v>-0.3818</v>
      </c>
      <c r="K191" t="n">
        <v>0.102</v>
      </c>
      <c r="L191" t="n">
        <v>0.898</v>
      </c>
      <c r="M191" t="n">
        <v>0</v>
      </c>
    </row>
    <row r="192" spans="1:13">
      <c r="A192" s="1">
        <f>HYPERLINK("http://www.twitter.com/NathanBLawrence/status/996457699452817408", "996457699452817408")</f>
        <v/>
      </c>
      <c r="B192" s="2" t="n">
        <v>43235.77086805556</v>
      </c>
      <c r="C192" t="n">
        <v>0</v>
      </c>
      <c r="D192" t="n">
        <v>4</v>
      </c>
      <c r="E192" t="s">
        <v>203</v>
      </c>
      <c r="F192" t="s"/>
      <c r="G192" t="s"/>
      <c r="H192" t="s"/>
      <c r="I192" t="s"/>
      <c r="J192" t="n">
        <v>0</v>
      </c>
      <c r="K192" t="n">
        <v>0</v>
      </c>
      <c r="L192" t="n">
        <v>1</v>
      </c>
      <c r="M192" t="n">
        <v>0</v>
      </c>
    </row>
    <row r="193" spans="1:13">
      <c r="A193" s="1">
        <f>HYPERLINK("http://www.twitter.com/NathanBLawrence/status/996457253556359170", "996457253556359170")</f>
        <v/>
      </c>
      <c r="B193" s="2" t="n">
        <v>43235.7696412037</v>
      </c>
      <c r="C193" t="n">
        <v>0</v>
      </c>
      <c r="D193" t="n">
        <v>1</v>
      </c>
      <c r="E193" t="s">
        <v>204</v>
      </c>
      <c r="F193" t="s"/>
      <c r="G193" t="s"/>
      <c r="H193" t="s"/>
      <c r="I193" t="s"/>
      <c r="J193" t="n">
        <v>0</v>
      </c>
      <c r="K193" t="n">
        <v>0</v>
      </c>
      <c r="L193" t="n">
        <v>1</v>
      </c>
      <c r="M193" t="n">
        <v>0</v>
      </c>
    </row>
    <row r="194" spans="1:13">
      <c r="A194" s="1">
        <f>HYPERLINK("http://www.twitter.com/NathanBLawrence/status/996455979549159424", "996455979549159424")</f>
        <v/>
      </c>
      <c r="B194" s="2" t="n">
        <v>43235.76612268519</v>
      </c>
      <c r="C194" t="n">
        <v>0</v>
      </c>
      <c r="D194" t="n">
        <v>8</v>
      </c>
      <c r="E194" t="s">
        <v>205</v>
      </c>
      <c r="F194" t="s"/>
      <c r="G194" t="s"/>
      <c r="H194" t="s"/>
      <c r="I194" t="s"/>
      <c r="J194" t="n">
        <v>0</v>
      </c>
      <c r="K194" t="n">
        <v>0</v>
      </c>
      <c r="L194" t="n">
        <v>1</v>
      </c>
      <c r="M194" t="n">
        <v>0</v>
      </c>
    </row>
    <row r="195" spans="1:13">
      <c r="A195" s="1">
        <f>HYPERLINK("http://www.twitter.com/NathanBLawrence/status/996455569975373825", "996455569975373825")</f>
        <v/>
      </c>
      <c r="B195" s="2" t="n">
        <v>43235.76498842592</v>
      </c>
      <c r="C195" t="n">
        <v>25</v>
      </c>
      <c r="D195" t="n">
        <v>14</v>
      </c>
      <c r="E195" t="s">
        <v>206</v>
      </c>
      <c r="F195" t="s"/>
      <c r="G195" t="s"/>
      <c r="H195" t="s"/>
      <c r="I195" t="s"/>
      <c r="J195" t="n">
        <v>0.5106000000000001</v>
      </c>
      <c r="K195" t="n">
        <v>0.07000000000000001</v>
      </c>
      <c r="L195" t="n">
        <v>0.762</v>
      </c>
      <c r="M195" t="n">
        <v>0.167</v>
      </c>
    </row>
    <row r="196" spans="1:13">
      <c r="A196" s="1">
        <f>HYPERLINK("http://www.twitter.com/NathanBLawrence/status/996454754892034048", "996454754892034048")</f>
        <v/>
      </c>
      <c r="B196" s="2" t="n">
        <v>43235.76274305556</v>
      </c>
      <c r="C196" t="n">
        <v>0</v>
      </c>
      <c r="D196" t="n">
        <v>25</v>
      </c>
      <c r="E196" t="s">
        <v>207</v>
      </c>
      <c r="F196">
        <f>HYPERLINK("http://pbs.twimg.com/media/DdQOBynV0AAO_wj.jpg", "http://pbs.twimg.com/media/DdQOBynV0AAO_wj.jpg")</f>
        <v/>
      </c>
      <c r="G196" t="s"/>
      <c r="H196" t="s"/>
      <c r="I196" t="s"/>
      <c r="J196" t="n">
        <v>0</v>
      </c>
      <c r="K196" t="n">
        <v>0</v>
      </c>
      <c r="L196" t="n">
        <v>1</v>
      </c>
      <c r="M196" t="n">
        <v>0</v>
      </c>
    </row>
    <row r="197" spans="1:13">
      <c r="A197" s="1">
        <f>HYPERLINK("http://www.twitter.com/NathanBLawrence/status/996454719471214592", "996454719471214592")</f>
        <v/>
      </c>
      <c r="B197" s="2" t="n">
        <v>43235.76265046297</v>
      </c>
      <c r="C197" t="n">
        <v>0</v>
      </c>
      <c r="D197" t="n">
        <v>7</v>
      </c>
      <c r="E197" t="s">
        <v>208</v>
      </c>
      <c r="F197" t="s"/>
      <c r="G197" t="s"/>
      <c r="H197" t="s"/>
      <c r="I197" t="s"/>
      <c r="J197" t="n">
        <v>-0.3987</v>
      </c>
      <c r="K197" t="n">
        <v>0.25</v>
      </c>
      <c r="L197" t="n">
        <v>0.581</v>
      </c>
      <c r="M197" t="n">
        <v>0.168</v>
      </c>
    </row>
    <row r="198" spans="1:13">
      <c r="A198" s="1">
        <f>HYPERLINK("http://www.twitter.com/NathanBLawrence/status/996454560129519618", "996454560129519618")</f>
        <v/>
      </c>
      <c r="B198" s="2" t="n">
        <v>43235.76221064815</v>
      </c>
      <c r="C198" t="n">
        <v>0</v>
      </c>
      <c r="D198" t="n">
        <v>49</v>
      </c>
      <c r="E198" t="s">
        <v>209</v>
      </c>
      <c r="F198" t="s"/>
      <c r="G198" t="s"/>
      <c r="H198" t="s"/>
      <c r="I198" t="s"/>
      <c r="J198" t="n">
        <v>-0.7184</v>
      </c>
      <c r="K198" t="n">
        <v>0.24</v>
      </c>
      <c r="L198" t="n">
        <v>0.76</v>
      </c>
      <c r="M198" t="n">
        <v>0</v>
      </c>
    </row>
    <row r="199" spans="1:13">
      <c r="A199" s="1">
        <f>HYPERLINK("http://www.twitter.com/NathanBLawrence/status/996453709478580224", "996453709478580224")</f>
        <v/>
      </c>
      <c r="B199" s="2" t="n">
        <v>43235.75986111111</v>
      </c>
      <c r="C199" t="n">
        <v>0</v>
      </c>
      <c r="D199" t="n">
        <v>6</v>
      </c>
      <c r="E199" t="s">
        <v>210</v>
      </c>
      <c r="F199" t="s"/>
      <c r="G199" t="s"/>
      <c r="H199" t="s"/>
      <c r="I199" t="s"/>
      <c r="J199" t="n">
        <v>-0.34</v>
      </c>
      <c r="K199" t="n">
        <v>0.129</v>
      </c>
      <c r="L199" t="n">
        <v>0.804</v>
      </c>
      <c r="M199" t="n">
        <v>0.067</v>
      </c>
    </row>
    <row r="200" spans="1:13">
      <c r="A200" s="1">
        <f>HYPERLINK("http://www.twitter.com/NathanBLawrence/status/996448617589329920", "996448617589329920")</f>
        <v/>
      </c>
      <c r="B200" s="2" t="n">
        <v>43235.74581018519</v>
      </c>
      <c r="C200" t="n">
        <v>0</v>
      </c>
      <c r="D200" t="n">
        <v>41</v>
      </c>
      <c r="E200" t="s">
        <v>211</v>
      </c>
      <c r="F200" t="s"/>
      <c r="G200" t="s"/>
      <c r="H200" t="s"/>
      <c r="I200" t="s"/>
      <c r="J200" t="n">
        <v>-0.0516</v>
      </c>
      <c r="K200" t="n">
        <v>0.192</v>
      </c>
      <c r="L200" t="n">
        <v>0.625</v>
      </c>
      <c r="M200" t="n">
        <v>0.183</v>
      </c>
    </row>
    <row r="201" spans="1:13">
      <c r="A201" s="1">
        <f>HYPERLINK("http://www.twitter.com/NathanBLawrence/status/996430375143591936", "996430375143591936")</f>
        <v/>
      </c>
      <c r="B201" s="2" t="n">
        <v>43235.69546296296</v>
      </c>
      <c r="C201" t="n">
        <v>1</v>
      </c>
      <c r="D201" t="n">
        <v>1</v>
      </c>
      <c r="E201" t="s">
        <v>212</v>
      </c>
      <c r="F201" t="s"/>
      <c r="G201" t="s"/>
      <c r="H201" t="s"/>
      <c r="I201" t="s"/>
      <c r="J201" t="n">
        <v>0.5859</v>
      </c>
      <c r="K201" t="n">
        <v>0.09</v>
      </c>
      <c r="L201" t="n">
        <v>0.6830000000000001</v>
      </c>
      <c r="M201" t="n">
        <v>0.227</v>
      </c>
    </row>
    <row r="202" spans="1:13">
      <c r="A202" s="1">
        <f>HYPERLINK("http://www.twitter.com/NathanBLawrence/status/996426647904706560", "996426647904706560")</f>
        <v/>
      </c>
      <c r="B202" s="2" t="n">
        <v>43235.68518518518</v>
      </c>
      <c r="C202" t="n">
        <v>1</v>
      </c>
      <c r="D202" t="n">
        <v>1</v>
      </c>
      <c r="E202" t="s">
        <v>213</v>
      </c>
      <c r="F202" t="s"/>
      <c r="G202" t="s"/>
      <c r="H202" t="s"/>
      <c r="I202" t="s"/>
      <c r="J202" t="n">
        <v>-0.128</v>
      </c>
      <c r="K202" t="n">
        <v>0.158</v>
      </c>
      <c r="L202" t="n">
        <v>0.71</v>
      </c>
      <c r="M202" t="n">
        <v>0.131</v>
      </c>
    </row>
    <row r="203" spans="1:13">
      <c r="A203" s="1">
        <f>HYPERLINK("http://www.twitter.com/NathanBLawrence/status/996420924789477377", "996420924789477377")</f>
        <v/>
      </c>
      <c r="B203" s="2" t="n">
        <v>43235.66938657407</v>
      </c>
      <c r="C203" t="n">
        <v>0</v>
      </c>
      <c r="D203" t="n">
        <v>10</v>
      </c>
      <c r="E203" t="s">
        <v>214</v>
      </c>
      <c r="F203">
        <f>HYPERLINK("http://pbs.twimg.com/media/DdPc57lVwAI5mAQ.jpg", "http://pbs.twimg.com/media/DdPc57lVwAI5mAQ.jpg")</f>
        <v/>
      </c>
      <c r="G203" t="s"/>
      <c r="H203" t="s"/>
      <c r="I203" t="s"/>
      <c r="J203" t="n">
        <v>-0.296</v>
      </c>
      <c r="K203" t="n">
        <v>0.08699999999999999</v>
      </c>
      <c r="L203" t="n">
        <v>0.913</v>
      </c>
      <c r="M203" t="n">
        <v>0</v>
      </c>
    </row>
    <row r="204" spans="1:13">
      <c r="A204" s="1">
        <f>HYPERLINK("http://www.twitter.com/NathanBLawrence/status/996420698519363584", "996420698519363584")</f>
        <v/>
      </c>
      <c r="B204" s="2" t="n">
        <v>43235.66876157407</v>
      </c>
      <c r="C204" t="n">
        <v>0</v>
      </c>
      <c r="D204" t="n">
        <v>32</v>
      </c>
      <c r="E204" t="s">
        <v>215</v>
      </c>
      <c r="F204">
        <f>HYPERLINK("http://pbs.twimg.com/media/DdPbtMgV0AEH44-.jpg", "http://pbs.twimg.com/media/DdPbtMgV0AEH44-.jpg")</f>
        <v/>
      </c>
      <c r="G204" t="s"/>
      <c r="H204" t="s"/>
      <c r="I204" t="s"/>
      <c r="J204" t="n">
        <v>-0.7783</v>
      </c>
      <c r="K204" t="n">
        <v>0.315</v>
      </c>
      <c r="L204" t="n">
        <v>0.6850000000000001</v>
      </c>
      <c r="M204" t="n">
        <v>0</v>
      </c>
    </row>
    <row r="205" spans="1:13">
      <c r="A205" s="1">
        <f>HYPERLINK("http://www.twitter.com/NathanBLawrence/status/996419677222993921", "996419677222993921")</f>
        <v/>
      </c>
      <c r="B205" s="2" t="n">
        <v>43235.66594907407</v>
      </c>
      <c r="C205" t="n">
        <v>0</v>
      </c>
      <c r="D205" t="n">
        <v>16</v>
      </c>
      <c r="E205" t="s">
        <v>216</v>
      </c>
      <c r="F205">
        <f>HYPERLINK("http://pbs.twimg.com/media/DdPzh3yVAAAdR--.jpg", "http://pbs.twimg.com/media/DdPzh3yVAAAdR--.jpg")</f>
        <v/>
      </c>
      <c r="G205" t="s"/>
      <c r="H205" t="s"/>
      <c r="I205" t="s"/>
      <c r="J205" t="n">
        <v>0.4019</v>
      </c>
      <c r="K205" t="n">
        <v>0</v>
      </c>
      <c r="L205" t="n">
        <v>0.87</v>
      </c>
      <c r="M205" t="n">
        <v>0.13</v>
      </c>
    </row>
    <row r="206" spans="1:13">
      <c r="A206" s="1">
        <f>HYPERLINK("http://www.twitter.com/NathanBLawrence/status/996418592605442048", "996418592605442048")</f>
        <v/>
      </c>
      <c r="B206" s="2" t="n">
        <v>43235.66295138889</v>
      </c>
      <c r="C206" t="n">
        <v>0</v>
      </c>
      <c r="D206" t="n">
        <v>16</v>
      </c>
      <c r="E206" t="s">
        <v>217</v>
      </c>
      <c r="F206" t="s"/>
      <c r="G206" t="s"/>
      <c r="H206" t="s"/>
      <c r="I206" t="s"/>
      <c r="J206" t="n">
        <v>0.2003</v>
      </c>
      <c r="K206" t="n">
        <v>0</v>
      </c>
      <c r="L206" t="n">
        <v>0.918</v>
      </c>
      <c r="M206" t="n">
        <v>0.082</v>
      </c>
    </row>
    <row r="207" spans="1:13">
      <c r="A207" s="1">
        <f>HYPERLINK("http://www.twitter.com/NathanBLawrence/status/996417504695279617", "996417504695279617")</f>
        <v/>
      </c>
      <c r="B207" s="2" t="n">
        <v>43235.6599537037</v>
      </c>
      <c r="C207" t="n">
        <v>0</v>
      </c>
      <c r="D207" t="n">
        <v>81</v>
      </c>
      <c r="E207" t="s">
        <v>218</v>
      </c>
      <c r="F207" t="s"/>
      <c r="G207" t="s"/>
      <c r="H207" t="s"/>
      <c r="I207" t="s"/>
      <c r="J207" t="n">
        <v>-0.6705</v>
      </c>
      <c r="K207" t="n">
        <v>0.208</v>
      </c>
      <c r="L207" t="n">
        <v>0.792</v>
      </c>
      <c r="M207" t="n">
        <v>0</v>
      </c>
    </row>
    <row r="208" spans="1:13">
      <c r="A208" s="1">
        <f>HYPERLINK("http://www.twitter.com/NathanBLawrence/status/996404499630776320", "996404499630776320")</f>
        <v/>
      </c>
      <c r="B208" s="2" t="n">
        <v>43235.6240625</v>
      </c>
      <c r="C208" t="n">
        <v>0</v>
      </c>
      <c r="D208" t="n">
        <v>12</v>
      </c>
      <c r="E208" t="s">
        <v>219</v>
      </c>
      <c r="F208" t="s"/>
      <c r="G208" t="s"/>
      <c r="H208" t="s"/>
      <c r="I208" t="s"/>
      <c r="J208" t="n">
        <v>0.4215</v>
      </c>
      <c r="K208" t="n">
        <v>0.08400000000000001</v>
      </c>
      <c r="L208" t="n">
        <v>0.6929999999999999</v>
      </c>
      <c r="M208" t="n">
        <v>0.223</v>
      </c>
    </row>
    <row r="209" spans="1:13">
      <c r="A209" s="1">
        <f>HYPERLINK("http://www.twitter.com/NathanBLawrence/status/996259109145063424", "996259109145063424")</f>
        <v/>
      </c>
      <c r="B209" s="2" t="n">
        <v>43235.2228587963</v>
      </c>
      <c r="C209" t="n">
        <v>1</v>
      </c>
      <c r="D209" t="n">
        <v>0</v>
      </c>
      <c r="E209" t="s">
        <v>220</v>
      </c>
      <c r="F209" t="s"/>
      <c r="G209" t="s"/>
      <c r="H209" t="s"/>
      <c r="I209" t="s"/>
      <c r="J209" t="n">
        <v>0.6239</v>
      </c>
      <c r="K209" t="n">
        <v>0</v>
      </c>
      <c r="L209" t="n">
        <v>0.595</v>
      </c>
      <c r="M209" t="n">
        <v>0.405</v>
      </c>
    </row>
    <row r="210" spans="1:13">
      <c r="A210" s="1">
        <f>HYPERLINK("http://www.twitter.com/NathanBLawrence/status/996253996141686784", "996253996141686784")</f>
        <v/>
      </c>
      <c r="B210" s="2" t="n">
        <v>43235.20875</v>
      </c>
      <c r="C210" t="n">
        <v>1</v>
      </c>
      <c r="D210" t="n">
        <v>0</v>
      </c>
      <c r="E210" t="s">
        <v>221</v>
      </c>
      <c r="F210" t="s"/>
      <c r="G210" t="s"/>
      <c r="H210" t="s"/>
      <c r="I210" t="s"/>
      <c r="J210" t="n">
        <v>-0.2023</v>
      </c>
      <c r="K210" t="n">
        <v>0.141</v>
      </c>
      <c r="L210" t="n">
        <v>0.859</v>
      </c>
      <c r="M210" t="n">
        <v>0</v>
      </c>
    </row>
    <row r="211" spans="1:13">
      <c r="A211" s="1">
        <f>HYPERLINK("http://www.twitter.com/NathanBLawrence/status/996244511767629824", "996244511767629824")</f>
        <v/>
      </c>
      <c r="B211" s="2" t="n">
        <v>43235.18258101852</v>
      </c>
      <c r="C211" t="n">
        <v>0</v>
      </c>
      <c r="D211" t="n">
        <v>3</v>
      </c>
      <c r="E211" t="s">
        <v>222</v>
      </c>
      <c r="F211" t="s"/>
      <c r="G211" t="s"/>
      <c r="H211" t="s"/>
      <c r="I211" t="s"/>
      <c r="J211" t="n">
        <v>-0.8217</v>
      </c>
      <c r="K211" t="n">
        <v>0.256</v>
      </c>
      <c r="L211" t="n">
        <v>0.744</v>
      </c>
      <c r="M211" t="n">
        <v>0</v>
      </c>
    </row>
    <row r="212" spans="1:13">
      <c r="A212" s="1">
        <f>HYPERLINK("http://www.twitter.com/NathanBLawrence/status/996240357854769153", "996240357854769153")</f>
        <v/>
      </c>
      <c r="B212" s="2" t="n">
        <v>43235.17112268518</v>
      </c>
      <c r="C212" t="n">
        <v>0</v>
      </c>
      <c r="D212" t="n">
        <v>14</v>
      </c>
      <c r="E212" t="s">
        <v>223</v>
      </c>
      <c r="F212" t="s"/>
      <c r="G212" t="s"/>
      <c r="H212" t="s"/>
      <c r="I212" t="s"/>
      <c r="J212" t="n">
        <v>0.4939</v>
      </c>
      <c r="K212" t="n">
        <v>0</v>
      </c>
      <c r="L212" t="n">
        <v>0.792</v>
      </c>
      <c r="M212" t="n">
        <v>0.208</v>
      </c>
    </row>
    <row r="213" spans="1:13">
      <c r="A213" s="1">
        <f>HYPERLINK("http://www.twitter.com/NathanBLawrence/status/996226167282728960", "996226167282728960")</f>
        <v/>
      </c>
      <c r="B213" s="2" t="n">
        <v>43235.13195601852</v>
      </c>
      <c r="C213" t="n">
        <v>0</v>
      </c>
      <c r="D213" t="n">
        <v>0</v>
      </c>
      <c r="E213" t="s">
        <v>224</v>
      </c>
      <c r="F213" t="s"/>
      <c r="G213" t="s"/>
      <c r="H213" t="s"/>
      <c r="I213" t="s"/>
      <c r="J213" t="n">
        <v>0</v>
      </c>
      <c r="K213" t="n">
        <v>0</v>
      </c>
      <c r="L213" t="n">
        <v>1</v>
      </c>
      <c r="M213" t="n">
        <v>0</v>
      </c>
    </row>
    <row r="214" spans="1:13">
      <c r="A214" s="1">
        <f>HYPERLINK("http://www.twitter.com/NathanBLawrence/status/996225179553497088", "996225179553497088")</f>
        <v/>
      </c>
      <c r="B214" s="2" t="n">
        <v>43235.12923611111</v>
      </c>
      <c r="C214" t="n">
        <v>0</v>
      </c>
      <c r="D214" t="n">
        <v>61</v>
      </c>
      <c r="E214" t="s">
        <v>225</v>
      </c>
      <c r="F214" t="s"/>
      <c r="G214" t="s"/>
      <c r="H214" t="s"/>
      <c r="I214" t="s"/>
      <c r="J214" t="n">
        <v>-0.3612</v>
      </c>
      <c r="K214" t="n">
        <v>0.106</v>
      </c>
      <c r="L214" t="n">
        <v>0.894</v>
      </c>
      <c r="M214" t="n">
        <v>0</v>
      </c>
    </row>
    <row r="215" spans="1:13">
      <c r="A215" s="1">
        <f>HYPERLINK("http://www.twitter.com/NathanBLawrence/status/996212332467511296", "996212332467511296")</f>
        <v/>
      </c>
      <c r="B215" s="2" t="n">
        <v>43235.09378472222</v>
      </c>
      <c r="C215" t="n">
        <v>0</v>
      </c>
      <c r="D215" t="n">
        <v>522</v>
      </c>
      <c r="E215" t="s">
        <v>226</v>
      </c>
      <c r="F215" t="s"/>
      <c r="G215" t="s"/>
      <c r="H215" t="s"/>
      <c r="I215" t="s"/>
      <c r="J215" t="n">
        <v>0.0516</v>
      </c>
      <c r="K215" t="n">
        <v>0.155</v>
      </c>
      <c r="L215" t="n">
        <v>0.6850000000000001</v>
      </c>
      <c r="M215" t="n">
        <v>0.161</v>
      </c>
    </row>
    <row r="216" spans="1:13">
      <c r="A216" s="1">
        <f>HYPERLINK("http://www.twitter.com/NathanBLawrence/status/996212074199048192", "996212074199048192")</f>
        <v/>
      </c>
      <c r="B216" s="2" t="n">
        <v>43235.09306712963</v>
      </c>
      <c r="C216" t="n">
        <v>1</v>
      </c>
      <c r="D216" t="n">
        <v>0</v>
      </c>
      <c r="E216" t="s">
        <v>227</v>
      </c>
      <c r="F216" t="s"/>
      <c r="G216" t="s"/>
      <c r="H216" t="s"/>
      <c r="I216" t="s"/>
      <c r="J216" t="n">
        <v>0.4753</v>
      </c>
      <c r="K216" t="n">
        <v>0</v>
      </c>
      <c r="L216" t="n">
        <v>0.764</v>
      </c>
      <c r="M216" t="n">
        <v>0.236</v>
      </c>
    </row>
    <row r="217" spans="1:13">
      <c r="A217" s="1">
        <f>HYPERLINK("http://www.twitter.com/NathanBLawrence/status/996202206624997376", "996202206624997376")</f>
        <v/>
      </c>
      <c r="B217" s="2" t="n">
        <v>43235.06584490741</v>
      </c>
      <c r="C217" t="n">
        <v>0</v>
      </c>
      <c r="D217" t="n">
        <v>30</v>
      </c>
      <c r="E217" t="s">
        <v>228</v>
      </c>
      <c r="F217" t="s"/>
      <c r="G217" t="s"/>
      <c r="H217" t="s"/>
      <c r="I217" t="s"/>
      <c r="J217" t="n">
        <v>-0.3182</v>
      </c>
      <c r="K217" t="n">
        <v>0.209</v>
      </c>
      <c r="L217" t="n">
        <v>0.672</v>
      </c>
      <c r="M217" t="n">
        <v>0.119</v>
      </c>
    </row>
    <row r="218" spans="1:13">
      <c r="A218" s="1">
        <f>HYPERLINK("http://www.twitter.com/NathanBLawrence/status/996191245696405504", "996191245696405504")</f>
        <v/>
      </c>
      <c r="B218" s="2" t="n">
        <v>43235.03559027778</v>
      </c>
      <c r="C218" t="n">
        <v>0</v>
      </c>
      <c r="D218" t="n">
        <v>13</v>
      </c>
      <c r="E218" t="s">
        <v>229</v>
      </c>
      <c r="F218" t="s"/>
      <c r="G218" t="s"/>
      <c r="H218" t="s"/>
      <c r="I218" t="s"/>
      <c r="J218" t="n">
        <v>0.3818</v>
      </c>
      <c r="K218" t="n">
        <v>0</v>
      </c>
      <c r="L218" t="n">
        <v>0.89</v>
      </c>
      <c r="M218" t="n">
        <v>0.11</v>
      </c>
    </row>
    <row r="219" spans="1:13">
      <c r="A219" s="1">
        <f>HYPERLINK("http://www.twitter.com/NathanBLawrence/status/996189516586213376", "996189516586213376")</f>
        <v/>
      </c>
      <c r="B219" s="2" t="n">
        <v>43235.03082175926</v>
      </c>
      <c r="C219" t="n">
        <v>0</v>
      </c>
      <c r="D219" t="n">
        <v>5</v>
      </c>
      <c r="E219" t="s">
        <v>230</v>
      </c>
      <c r="F219" t="s"/>
      <c r="G219" t="s"/>
      <c r="H219" t="s"/>
      <c r="I219" t="s"/>
      <c r="J219" t="n">
        <v>-0.3612</v>
      </c>
      <c r="K219" t="n">
        <v>0.122</v>
      </c>
      <c r="L219" t="n">
        <v>0.878</v>
      </c>
      <c r="M219" t="n">
        <v>0</v>
      </c>
    </row>
    <row r="220" spans="1:13">
      <c r="A220" s="1">
        <f>HYPERLINK("http://www.twitter.com/NathanBLawrence/status/996185260034535427", "996185260034535427")</f>
        <v/>
      </c>
      <c r="B220" s="2" t="n">
        <v>43235.01907407407</v>
      </c>
      <c r="C220" t="n">
        <v>0</v>
      </c>
      <c r="D220" t="n">
        <v>7</v>
      </c>
      <c r="E220" t="s">
        <v>231</v>
      </c>
      <c r="F220" t="s"/>
      <c r="G220" t="s"/>
      <c r="H220" t="s"/>
      <c r="I220" t="s"/>
      <c r="J220" t="n">
        <v>-0.0516</v>
      </c>
      <c r="K220" t="n">
        <v>0.151</v>
      </c>
      <c r="L220" t="n">
        <v>0.66</v>
      </c>
      <c r="M220" t="n">
        <v>0.189</v>
      </c>
    </row>
    <row r="221" spans="1:13">
      <c r="A221" s="1">
        <f>HYPERLINK("http://www.twitter.com/NathanBLawrence/status/996173879327514624", "996173879327514624")</f>
        <v/>
      </c>
      <c r="B221" s="2" t="n">
        <v>43234.98767361111</v>
      </c>
      <c r="C221" t="n">
        <v>0</v>
      </c>
      <c r="D221" t="n">
        <v>5</v>
      </c>
      <c r="E221" t="s">
        <v>232</v>
      </c>
      <c r="F221" t="s"/>
      <c r="G221" t="s"/>
      <c r="H221" t="s"/>
      <c r="I221" t="s"/>
      <c r="J221" t="n">
        <v>-0.0772</v>
      </c>
      <c r="K221" t="n">
        <v>0.06900000000000001</v>
      </c>
      <c r="L221" t="n">
        <v>0.876</v>
      </c>
      <c r="M221" t="n">
        <v>0.055</v>
      </c>
    </row>
    <row r="222" spans="1:13">
      <c r="A222" s="1">
        <f>HYPERLINK("http://www.twitter.com/NathanBLawrence/status/996173592344788992", "996173592344788992")</f>
        <v/>
      </c>
      <c r="B222" s="2" t="n">
        <v>43234.98688657407</v>
      </c>
      <c r="C222" t="n">
        <v>0</v>
      </c>
      <c r="D222" t="n">
        <v>16</v>
      </c>
      <c r="E222" t="s">
        <v>233</v>
      </c>
      <c r="F222" t="s"/>
      <c r="G222" t="s"/>
      <c r="H222" t="s"/>
      <c r="I222" t="s"/>
      <c r="J222" t="n">
        <v>0</v>
      </c>
      <c r="K222" t="n">
        <v>0</v>
      </c>
      <c r="L222" t="n">
        <v>1</v>
      </c>
      <c r="M222" t="n">
        <v>0</v>
      </c>
    </row>
    <row r="223" spans="1:13">
      <c r="A223" s="1">
        <f>HYPERLINK("http://www.twitter.com/NathanBLawrence/status/996173317735354368", "996173317735354368")</f>
        <v/>
      </c>
      <c r="B223" s="2" t="n">
        <v>43234.98612268519</v>
      </c>
      <c r="C223" t="n">
        <v>0</v>
      </c>
      <c r="D223" t="n">
        <v>13</v>
      </c>
      <c r="E223" t="s">
        <v>234</v>
      </c>
      <c r="F223" t="s"/>
      <c r="G223" t="s"/>
      <c r="H223" t="s"/>
      <c r="I223" t="s"/>
      <c r="J223" t="n">
        <v>0.8176</v>
      </c>
      <c r="K223" t="n">
        <v>0</v>
      </c>
      <c r="L223" t="n">
        <v>0.681</v>
      </c>
      <c r="M223" t="n">
        <v>0.319</v>
      </c>
    </row>
    <row r="224" spans="1:13">
      <c r="A224" s="1">
        <f>HYPERLINK("http://www.twitter.com/NathanBLawrence/status/996173066672713728", "996173066672713728")</f>
        <v/>
      </c>
      <c r="B224" s="2" t="n">
        <v>43234.98542824074</v>
      </c>
      <c r="C224" t="n">
        <v>0</v>
      </c>
      <c r="D224" t="n">
        <v>14</v>
      </c>
      <c r="E224" t="s">
        <v>235</v>
      </c>
      <c r="F224" t="s"/>
      <c r="G224" t="s"/>
      <c r="H224" t="s"/>
      <c r="I224" t="s"/>
      <c r="J224" t="n">
        <v>0.1531</v>
      </c>
      <c r="K224" t="n">
        <v>0.137</v>
      </c>
      <c r="L224" t="n">
        <v>0.703</v>
      </c>
      <c r="M224" t="n">
        <v>0.16</v>
      </c>
    </row>
    <row r="225" spans="1:13">
      <c r="A225" s="1">
        <f>HYPERLINK("http://www.twitter.com/NathanBLawrence/status/996171735216132098", "996171735216132098")</f>
        <v/>
      </c>
      <c r="B225" s="2" t="n">
        <v>43234.98175925926</v>
      </c>
      <c r="C225" t="n">
        <v>0</v>
      </c>
      <c r="D225" t="n">
        <v>4</v>
      </c>
      <c r="E225" t="s">
        <v>236</v>
      </c>
      <c r="F225" t="s"/>
      <c r="G225" t="s"/>
      <c r="H225" t="s"/>
      <c r="I225" t="s"/>
      <c r="J225" t="n">
        <v>0.3182</v>
      </c>
      <c r="K225" t="n">
        <v>0</v>
      </c>
      <c r="L225" t="n">
        <v>0.897</v>
      </c>
      <c r="M225" t="n">
        <v>0.103</v>
      </c>
    </row>
    <row r="226" spans="1:13">
      <c r="A226" s="1">
        <f>HYPERLINK("http://www.twitter.com/NathanBLawrence/status/996171626944266240", "996171626944266240")</f>
        <v/>
      </c>
      <c r="B226" s="2" t="n">
        <v>43234.98145833334</v>
      </c>
      <c r="C226" t="n">
        <v>0</v>
      </c>
      <c r="D226" t="n">
        <v>9</v>
      </c>
      <c r="E226" t="s">
        <v>237</v>
      </c>
      <c r="F226" t="s"/>
      <c r="G226" t="s"/>
      <c r="H226" t="s"/>
      <c r="I226" t="s"/>
      <c r="J226" t="n">
        <v>-0.9062</v>
      </c>
      <c r="K226" t="n">
        <v>0.359</v>
      </c>
      <c r="L226" t="n">
        <v>0.641</v>
      </c>
      <c r="M226" t="n">
        <v>0</v>
      </c>
    </row>
    <row r="227" spans="1:13">
      <c r="A227" s="1">
        <f>HYPERLINK("http://www.twitter.com/NathanBLawrence/status/996169131119423490", "996169131119423490")</f>
        <v/>
      </c>
      <c r="B227" s="2" t="n">
        <v>43234.97457175926</v>
      </c>
      <c r="C227" t="n">
        <v>0</v>
      </c>
      <c r="D227" t="n">
        <v>198</v>
      </c>
      <c r="E227" t="s">
        <v>238</v>
      </c>
      <c r="F227" t="s"/>
      <c r="G227" t="s"/>
      <c r="H227" t="s"/>
      <c r="I227" t="s"/>
      <c r="J227" t="n">
        <v>-0.8442</v>
      </c>
      <c r="K227" t="n">
        <v>0.336</v>
      </c>
      <c r="L227" t="n">
        <v>0.664</v>
      </c>
      <c r="M227" t="n">
        <v>0</v>
      </c>
    </row>
    <row r="228" spans="1:13">
      <c r="A228" s="1">
        <f>HYPERLINK("http://www.twitter.com/NathanBLawrence/status/996167991963406336", "996167991963406336")</f>
        <v/>
      </c>
      <c r="B228" s="2" t="n">
        <v>43234.97142361111</v>
      </c>
      <c r="C228" t="n">
        <v>40</v>
      </c>
      <c r="D228" t="n">
        <v>11</v>
      </c>
      <c r="E228" t="s">
        <v>239</v>
      </c>
      <c r="F228" t="s"/>
      <c r="G228" t="s"/>
      <c r="H228" t="s"/>
      <c r="I228" t="s"/>
      <c r="J228" t="n">
        <v>0.636</v>
      </c>
      <c r="K228" t="n">
        <v>0.099</v>
      </c>
      <c r="L228" t="n">
        <v>0.635</v>
      </c>
      <c r="M228" t="n">
        <v>0.266</v>
      </c>
    </row>
    <row r="229" spans="1:13">
      <c r="A229" s="1">
        <f>HYPERLINK("http://www.twitter.com/NathanBLawrence/status/996165274255708171", "996165274255708171")</f>
        <v/>
      </c>
      <c r="B229" s="2" t="n">
        <v>43234.96392361111</v>
      </c>
      <c r="C229" t="n">
        <v>0</v>
      </c>
      <c r="D229" t="n">
        <v>1</v>
      </c>
      <c r="E229" t="s">
        <v>240</v>
      </c>
      <c r="F229" t="s"/>
      <c r="G229" t="s"/>
      <c r="H229" t="s"/>
      <c r="I229" t="s"/>
      <c r="J229" t="n">
        <v>-0.2755</v>
      </c>
      <c r="K229" t="n">
        <v>0.105</v>
      </c>
      <c r="L229" t="n">
        <v>0.895</v>
      </c>
      <c r="M229" t="n">
        <v>0</v>
      </c>
    </row>
    <row r="230" spans="1:13">
      <c r="A230" s="1">
        <f>HYPERLINK("http://www.twitter.com/NathanBLawrence/status/996164409432014848", "996164409432014848")</f>
        <v/>
      </c>
      <c r="B230" s="2" t="n">
        <v>43234.96153935185</v>
      </c>
      <c r="C230" t="n">
        <v>0</v>
      </c>
      <c r="D230" t="n">
        <v>7</v>
      </c>
      <c r="E230" t="s">
        <v>241</v>
      </c>
      <c r="F230">
        <f>HYPERLINK("https://video.twimg.com/ext_tw_video/996160947734560771/pu/vid/1280x720/agmRQzcNAMuxngu1.mp4?tag=3", "https://video.twimg.com/ext_tw_video/996160947734560771/pu/vid/1280x720/agmRQzcNAMuxngu1.mp4?tag=3")</f>
        <v/>
      </c>
      <c r="G230" t="s"/>
      <c r="H230" t="s"/>
      <c r="I230" t="s"/>
      <c r="J230" t="n">
        <v>-0.4215</v>
      </c>
      <c r="K230" t="n">
        <v>0.135</v>
      </c>
      <c r="L230" t="n">
        <v>0.865</v>
      </c>
      <c r="M230" t="n">
        <v>0</v>
      </c>
    </row>
    <row r="231" spans="1:13">
      <c r="A231" s="1">
        <f>HYPERLINK("http://www.twitter.com/NathanBLawrence/status/996161046078525440", "996161046078525440")</f>
        <v/>
      </c>
      <c r="B231" s="2" t="n">
        <v>43234.95225694445</v>
      </c>
      <c r="C231" t="n">
        <v>0</v>
      </c>
      <c r="D231" t="n">
        <v>1</v>
      </c>
      <c r="E231" t="s">
        <v>242</v>
      </c>
      <c r="F231" t="s"/>
      <c r="G231" t="s"/>
      <c r="H231" t="s"/>
      <c r="I231" t="s"/>
      <c r="J231" t="n">
        <v>-0.4404</v>
      </c>
      <c r="K231" t="n">
        <v>0.132</v>
      </c>
      <c r="L231" t="n">
        <v>0.868</v>
      </c>
      <c r="M231" t="n">
        <v>0</v>
      </c>
    </row>
    <row r="232" spans="1:13">
      <c r="A232" s="1">
        <f>HYPERLINK("http://www.twitter.com/NathanBLawrence/status/996159098113667072", "996159098113667072")</f>
        <v/>
      </c>
      <c r="B232" s="2" t="n">
        <v>43234.94688657407</v>
      </c>
      <c r="C232" t="n">
        <v>0</v>
      </c>
      <c r="D232" t="n">
        <v>6</v>
      </c>
      <c r="E232" t="s">
        <v>243</v>
      </c>
      <c r="F232" t="s"/>
      <c r="G232" t="s"/>
      <c r="H232" t="s"/>
      <c r="I232" t="s"/>
      <c r="J232" t="n">
        <v>0.6892</v>
      </c>
      <c r="K232" t="n">
        <v>0</v>
      </c>
      <c r="L232" t="n">
        <v>0.8179999999999999</v>
      </c>
      <c r="M232" t="n">
        <v>0.182</v>
      </c>
    </row>
    <row r="233" spans="1:13">
      <c r="A233" s="1">
        <f>HYPERLINK("http://www.twitter.com/NathanBLawrence/status/996158475574136841", "996158475574136841")</f>
        <v/>
      </c>
      <c r="B233" s="2" t="n">
        <v>43234.94516203704</v>
      </c>
      <c r="C233" t="n">
        <v>1</v>
      </c>
      <c r="D233" t="n">
        <v>0</v>
      </c>
      <c r="E233" t="s">
        <v>244</v>
      </c>
      <c r="F233" t="s"/>
      <c r="G233" t="s"/>
      <c r="H233" t="s"/>
      <c r="I233" t="s"/>
      <c r="J233" t="n">
        <v>-0.4466</v>
      </c>
      <c r="K233" t="n">
        <v>0.092</v>
      </c>
      <c r="L233" t="n">
        <v>0.908</v>
      </c>
      <c r="M233" t="n">
        <v>0</v>
      </c>
    </row>
    <row r="234" spans="1:13">
      <c r="A234" s="1">
        <f>HYPERLINK("http://www.twitter.com/NathanBLawrence/status/996157613636292614", "996157613636292614")</f>
        <v/>
      </c>
      <c r="B234" s="2" t="n">
        <v>43234.94278935185</v>
      </c>
      <c r="C234" t="n">
        <v>1</v>
      </c>
      <c r="D234" t="n">
        <v>1</v>
      </c>
      <c r="E234" t="s">
        <v>245</v>
      </c>
      <c r="F234" t="s"/>
      <c r="G234" t="s"/>
      <c r="H234" t="s"/>
      <c r="I234" t="s"/>
      <c r="J234" t="n">
        <v>0</v>
      </c>
      <c r="K234" t="n">
        <v>0</v>
      </c>
      <c r="L234" t="n">
        <v>1</v>
      </c>
      <c r="M234" t="n">
        <v>0</v>
      </c>
    </row>
    <row r="235" spans="1:13">
      <c r="A235" s="1">
        <f>HYPERLINK("http://www.twitter.com/NathanBLawrence/status/996157168578678785", "996157168578678785")</f>
        <v/>
      </c>
      <c r="B235" s="2" t="n">
        <v>43234.9415625</v>
      </c>
      <c r="C235" t="n">
        <v>1</v>
      </c>
      <c r="D235" t="n">
        <v>0</v>
      </c>
      <c r="E235" t="s">
        <v>246</v>
      </c>
      <c r="F235" t="s"/>
      <c r="G235" t="s"/>
      <c r="H235" t="s"/>
      <c r="I235" t="s"/>
      <c r="J235" t="n">
        <v>0.9072</v>
      </c>
      <c r="K235" t="n">
        <v>0</v>
      </c>
      <c r="L235" t="n">
        <v>0.75</v>
      </c>
      <c r="M235" t="n">
        <v>0.25</v>
      </c>
    </row>
    <row r="236" spans="1:13">
      <c r="A236" s="1">
        <f>HYPERLINK("http://www.twitter.com/NathanBLawrence/status/996153009284550657", "996153009284550657")</f>
        <v/>
      </c>
      <c r="B236" s="2" t="n">
        <v>43234.93008101852</v>
      </c>
      <c r="C236" t="n">
        <v>0</v>
      </c>
      <c r="D236" t="n">
        <v>5</v>
      </c>
      <c r="E236" t="s">
        <v>247</v>
      </c>
      <c r="F236" t="s"/>
      <c r="G236" t="s"/>
      <c r="H236" t="s"/>
      <c r="I236" t="s"/>
      <c r="J236" t="n">
        <v>0.3182</v>
      </c>
      <c r="K236" t="n">
        <v>0</v>
      </c>
      <c r="L236" t="n">
        <v>0.827</v>
      </c>
      <c r="M236" t="n">
        <v>0.173</v>
      </c>
    </row>
    <row r="237" spans="1:13">
      <c r="A237" s="1">
        <f>HYPERLINK("http://www.twitter.com/NathanBLawrence/status/996152431246544901", "996152431246544901")</f>
        <v/>
      </c>
      <c r="B237" s="2" t="n">
        <v>43234.9284837963</v>
      </c>
      <c r="C237" t="n">
        <v>1</v>
      </c>
      <c r="D237" t="n">
        <v>1</v>
      </c>
      <c r="E237" t="s">
        <v>248</v>
      </c>
      <c r="F237" t="s"/>
      <c r="G237" t="s"/>
      <c r="H237" t="s"/>
      <c r="I237" t="s"/>
      <c r="J237" t="n">
        <v>-0.2732</v>
      </c>
      <c r="K237" t="n">
        <v>0.13</v>
      </c>
      <c r="L237" t="n">
        <v>0.87</v>
      </c>
      <c r="M237" t="n">
        <v>0</v>
      </c>
    </row>
    <row r="238" spans="1:13">
      <c r="A238" s="1">
        <f>HYPERLINK("http://www.twitter.com/NathanBLawrence/status/996141155938127873", "996141155938127873")</f>
        <v/>
      </c>
      <c r="B238" s="2" t="n">
        <v>43234.89737268518</v>
      </c>
      <c r="C238" t="n">
        <v>0</v>
      </c>
      <c r="D238" t="n">
        <v>1</v>
      </c>
      <c r="E238" t="s">
        <v>249</v>
      </c>
      <c r="F238" t="s"/>
      <c r="G238" t="s"/>
      <c r="H238" t="s"/>
      <c r="I238" t="s"/>
      <c r="J238" t="n">
        <v>0.4588</v>
      </c>
      <c r="K238" t="n">
        <v>0</v>
      </c>
      <c r="L238" t="n">
        <v>0.857</v>
      </c>
      <c r="M238" t="n">
        <v>0.143</v>
      </c>
    </row>
    <row r="239" spans="1:13">
      <c r="A239" s="1">
        <f>HYPERLINK("http://www.twitter.com/NathanBLawrence/status/996126995816898560", "996126995816898560")</f>
        <v/>
      </c>
      <c r="B239" s="2" t="n">
        <v>43234.85829861111</v>
      </c>
      <c r="C239" t="n">
        <v>0</v>
      </c>
      <c r="D239" t="n">
        <v>64</v>
      </c>
      <c r="E239" t="s">
        <v>250</v>
      </c>
      <c r="F239" t="s"/>
      <c r="G239" t="s"/>
      <c r="H239" t="s"/>
      <c r="I239" t="s"/>
      <c r="J239" t="n">
        <v>0</v>
      </c>
      <c r="K239" t="n">
        <v>0</v>
      </c>
      <c r="L239" t="n">
        <v>1</v>
      </c>
      <c r="M239" t="n">
        <v>0</v>
      </c>
    </row>
    <row r="240" spans="1:13">
      <c r="A240" s="1">
        <f>HYPERLINK("http://www.twitter.com/NathanBLawrence/status/996125953238630405", "996125953238630405")</f>
        <v/>
      </c>
      <c r="B240" s="2" t="n">
        <v>43234.85542824074</v>
      </c>
      <c r="C240" t="n">
        <v>0</v>
      </c>
      <c r="D240" t="n">
        <v>19</v>
      </c>
      <c r="E240" t="s">
        <v>251</v>
      </c>
      <c r="F240" t="s"/>
      <c r="G240" t="s"/>
      <c r="H240" t="s"/>
      <c r="I240" t="s"/>
      <c r="J240" t="n">
        <v>-0.802</v>
      </c>
      <c r="K240" t="n">
        <v>0.297</v>
      </c>
      <c r="L240" t="n">
        <v>0.655</v>
      </c>
      <c r="M240" t="n">
        <v>0.048</v>
      </c>
    </row>
    <row r="241" spans="1:13">
      <c r="A241" s="1">
        <f>HYPERLINK("http://www.twitter.com/NathanBLawrence/status/996124977966583809", "996124977966583809")</f>
        <v/>
      </c>
      <c r="B241" s="2" t="n">
        <v>43234.85273148148</v>
      </c>
      <c r="C241" t="n">
        <v>0</v>
      </c>
      <c r="D241" t="n">
        <v>29</v>
      </c>
      <c r="E241" t="s">
        <v>252</v>
      </c>
      <c r="F241" t="s"/>
      <c r="G241" t="s"/>
      <c r="H241" t="s"/>
      <c r="I241" t="s"/>
      <c r="J241" t="n">
        <v>-0.9353</v>
      </c>
      <c r="K241" t="n">
        <v>0.488</v>
      </c>
      <c r="L241" t="n">
        <v>0.512</v>
      </c>
      <c r="M241" t="n">
        <v>0</v>
      </c>
    </row>
    <row r="242" spans="1:13">
      <c r="A242" s="1">
        <f>HYPERLINK("http://www.twitter.com/NathanBLawrence/status/996124368974557184", "996124368974557184")</f>
        <v/>
      </c>
      <c r="B242" s="2" t="n">
        <v>43234.85105324074</v>
      </c>
      <c r="C242" t="n">
        <v>2</v>
      </c>
      <c r="D242" t="n">
        <v>0</v>
      </c>
      <c r="E242" t="s">
        <v>253</v>
      </c>
      <c r="F242" t="s"/>
      <c r="G242" t="s"/>
      <c r="H242" t="s"/>
      <c r="I242" t="s"/>
      <c r="J242" t="n">
        <v>-0.0572</v>
      </c>
      <c r="K242" t="n">
        <v>0.034</v>
      </c>
      <c r="L242" t="n">
        <v>0.966</v>
      </c>
      <c r="M242" t="n">
        <v>0</v>
      </c>
    </row>
    <row r="243" spans="1:13">
      <c r="A243" s="1">
        <f>HYPERLINK("http://www.twitter.com/NathanBLawrence/status/996098670427860992", "996098670427860992")</f>
        <v/>
      </c>
      <c r="B243" s="2" t="n">
        <v>43234.78013888889</v>
      </c>
      <c r="C243" t="n">
        <v>3</v>
      </c>
      <c r="D243" t="n">
        <v>0</v>
      </c>
      <c r="E243" t="s">
        <v>254</v>
      </c>
      <c r="F243" t="s"/>
      <c r="G243" t="s"/>
      <c r="H243" t="s"/>
      <c r="I243" t="s"/>
      <c r="J243" t="n">
        <v>0.5423</v>
      </c>
      <c r="K243" t="n">
        <v>0.07099999999999999</v>
      </c>
      <c r="L243" t="n">
        <v>0.707</v>
      </c>
      <c r="M243" t="n">
        <v>0.222</v>
      </c>
    </row>
    <row r="244" spans="1:13">
      <c r="A244" s="1">
        <f>HYPERLINK("http://www.twitter.com/NathanBLawrence/status/996093990956097538", "996093990956097538")</f>
        <v/>
      </c>
      <c r="B244" s="2" t="n">
        <v>43234.76722222222</v>
      </c>
      <c r="C244" t="n">
        <v>0</v>
      </c>
      <c r="D244" t="n">
        <v>14</v>
      </c>
      <c r="E244" t="s">
        <v>255</v>
      </c>
      <c r="F244" t="s"/>
      <c r="G244" t="s"/>
      <c r="H244" t="s"/>
      <c r="I244" t="s"/>
      <c r="J244" t="n">
        <v>0.0772</v>
      </c>
      <c r="K244" t="n">
        <v>0</v>
      </c>
      <c r="L244" t="n">
        <v>0.949</v>
      </c>
      <c r="M244" t="n">
        <v>0.051</v>
      </c>
    </row>
    <row r="245" spans="1:13">
      <c r="A245" s="1">
        <f>HYPERLINK("http://www.twitter.com/NathanBLawrence/status/996093415321407490", "996093415321407490")</f>
        <v/>
      </c>
      <c r="B245" s="2" t="n">
        <v>43234.76563657408</v>
      </c>
      <c r="C245" t="n">
        <v>1</v>
      </c>
      <c r="D245" t="n">
        <v>0</v>
      </c>
      <c r="E245" t="s">
        <v>256</v>
      </c>
      <c r="F245" t="s"/>
      <c r="G245" t="s"/>
      <c r="H245" t="s"/>
      <c r="I245" t="s"/>
      <c r="J245" t="n">
        <v>0</v>
      </c>
      <c r="K245" t="n">
        <v>0</v>
      </c>
      <c r="L245" t="n">
        <v>1</v>
      </c>
      <c r="M245" t="n">
        <v>0</v>
      </c>
    </row>
    <row r="246" spans="1:13">
      <c r="A246" s="1">
        <f>HYPERLINK("http://www.twitter.com/NathanBLawrence/status/996091493088727040", "996091493088727040")</f>
        <v/>
      </c>
      <c r="B246" s="2" t="n">
        <v>43234.76033564815</v>
      </c>
      <c r="C246" t="n">
        <v>0</v>
      </c>
      <c r="D246" t="n">
        <v>35</v>
      </c>
      <c r="E246" t="s">
        <v>257</v>
      </c>
      <c r="F246" t="s"/>
      <c r="G246" t="s"/>
      <c r="H246" t="s"/>
      <c r="I246" t="s"/>
      <c r="J246" t="n">
        <v>-0.6486</v>
      </c>
      <c r="K246" t="n">
        <v>0.218</v>
      </c>
      <c r="L246" t="n">
        <v>0.782</v>
      </c>
      <c r="M246" t="n">
        <v>0</v>
      </c>
    </row>
    <row r="247" spans="1:13">
      <c r="A247" s="1">
        <f>HYPERLINK("http://www.twitter.com/NathanBLawrence/status/996090411595849730", "996090411595849730")</f>
        <v/>
      </c>
      <c r="B247" s="2" t="n">
        <v>43234.75734953704</v>
      </c>
      <c r="C247" t="n">
        <v>0</v>
      </c>
      <c r="D247" t="n">
        <v>55</v>
      </c>
      <c r="E247" t="s">
        <v>258</v>
      </c>
      <c r="F247" t="s"/>
      <c r="G247" t="s"/>
      <c r="H247" t="s"/>
      <c r="I247" t="s"/>
      <c r="J247" t="n">
        <v>0</v>
      </c>
      <c r="K247" t="n">
        <v>0</v>
      </c>
      <c r="L247" t="n">
        <v>1</v>
      </c>
      <c r="M247" t="n">
        <v>0</v>
      </c>
    </row>
    <row r="248" spans="1:13">
      <c r="A248" s="1">
        <f>HYPERLINK("http://www.twitter.com/NathanBLawrence/status/996089198510821376", "996089198510821376")</f>
        <v/>
      </c>
      <c r="B248" s="2" t="n">
        <v>43234.75400462963</v>
      </c>
      <c r="C248" t="n">
        <v>0</v>
      </c>
      <c r="D248" t="n">
        <v>1426</v>
      </c>
      <c r="E248" t="s">
        <v>259</v>
      </c>
      <c r="F248" t="s"/>
      <c r="G248" t="s"/>
      <c r="H248" t="s"/>
      <c r="I248" t="s"/>
      <c r="J248" t="n">
        <v>-0.6666</v>
      </c>
      <c r="K248" t="n">
        <v>0.275</v>
      </c>
      <c r="L248" t="n">
        <v>0.5580000000000001</v>
      </c>
      <c r="M248" t="n">
        <v>0.167</v>
      </c>
    </row>
    <row r="249" spans="1:13">
      <c r="A249" s="1">
        <f>HYPERLINK("http://www.twitter.com/NathanBLawrence/status/996087409497518088", "996087409497518088")</f>
        <v/>
      </c>
      <c r="B249" s="2" t="n">
        <v>43234.7490625</v>
      </c>
      <c r="C249" t="n">
        <v>0</v>
      </c>
      <c r="D249" t="n">
        <v>333</v>
      </c>
      <c r="E249" t="s">
        <v>260</v>
      </c>
      <c r="F249">
        <f>HYPERLINK("http://pbs.twimg.com/media/DdLOqANXUAAlJaP.jpg", "http://pbs.twimg.com/media/DdLOqANXUAAlJaP.jpg")</f>
        <v/>
      </c>
      <c r="G249" t="s"/>
      <c r="H249" t="s"/>
      <c r="I249" t="s"/>
      <c r="J249" t="n">
        <v>0.891</v>
      </c>
      <c r="K249" t="n">
        <v>0</v>
      </c>
      <c r="L249" t="n">
        <v>0.543</v>
      </c>
      <c r="M249" t="n">
        <v>0.457</v>
      </c>
    </row>
    <row r="250" spans="1:13">
      <c r="A250" s="1">
        <f>HYPERLINK("http://www.twitter.com/NathanBLawrence/status/996086699330539520", "996086699330539520")</f>
        <v/>
      </c>
      <c r="B250" s="2" t="n">
        <v>43234.74710648148</v>
      </c>
      <c r="C250" t="n">
        <v>0</v>
      </c>
      <c r="D250" t="n">
        <v>0</v>
      </c>
      <c r="E250" t="s">
        <v>261</v>
      </c>
      <c r="F250" t="s"/>
      <c r="G250" t="s"/>
      <c r="H250" t="s"/>
      <c r="I250" t="s"/>
      <c r="J250" t="n">
        <v>0.8176</v>
      </c>
      <c r="K250" t="n">
        <v>0.06900000000000001</v>
      </c>
      <c r="L250" t="n">
        <v>0.673</v>
      </c>
      <c r="M250" t="n">
        <v>0.257</v>
      </c>
    </row>
    <row r="251" spans="1:13">
      <c r="A251" s="1">
        <f>HYPERLINK("http://www.twitter.com/NathanBLawrence/status/996084441889083400", "996084441889083400")</f>
        <v/>
      </c>
      <c r="B251" s="2" t="n">
        <v>43234.74086805555</v>
      </c>
      <c r="C251" t="n">
        <v>0</v>
      </c>
      <c r="D251" t="n">
        <v>0</v>
      </c>
      <c r="E251" t="s">
        <v>262</v>
      </c>
      <c r="F251" t="s"/>
      <c r="G251" t="s"/>
      <c r="H251" t="s"/>
      <c r="I251" t="s"/>
      <c r="J251" t="n">
        <v>0.4753</v>
      </c>
      <c r="K251" t="n">
        <v>0</v>
      </c>
      <c r="L251" t="n">
        <v>0.744</v>
      </c>
      <c r="M251" t="n">
        <v>0.256</v>
      </c>
    </row>
    <row r="252" spans="1:13">
      <c r="A252" s="1">
        <f>HYPERLINK("http://www.twitter.com/NathanBLawrence/status/996082966248992768", "996082966248992768")</f>
        <v/>
      </c>
      <c r="B252" s="2" t="n">
        <v>43234.73680555556</v>
      </c>
      <c r="C252" t="n">
        <v>0</v>
      </c>
      <c r="D252" t="n">
        <v>13</v>
      </c>
      <c r="E252" t="s">
        <v>263</v>
      </c>
      <c r="F252">
        <f>HYPERLINK("http://pbs.twimg.com/media/DdKvk76UwAA_yqF.jpg", "http://pbs.twimg.com/media/DdKvk76UwAA_yqF.jpg")</f>
        <v/>
      </c>
      <c r="G252" t="s"/>
      <c r="H252" t="s"/>
      <c r="I252" t="s"/>
      <c r="J252" t="n">
        <v>-0.4019</v>
      </c>
      <c r="K252" t="n">
        <v>0.183</v>
      </c>
      <c r="L252" t="n">
        <v>0.739</v>
      </c>
      <c r="M252" t="n">
        <v>0.078</v>
      </c>
    </row>
    <row r="253" spans="1:13">
      <c r="A253" s="1">
        <f>HYPERLINK("http://www.twitter.com/NathanBLawrence/status/996082838930935809", "996082838930935809")</f>
        <v/>
      </c>
      <c r="B253" s="2" t="n">
        <v>43234.73644675926</v>
      </c>
      <c r="C253" t="n">
        <v>0</v>
      </c>
      <c r="D253" t="n">
        <v>11</v>
      </c>
      <c r="E253" t="s">
        <v>264</v>
      </c>
      <c r="F253" t="s"/>
      <c r="G253" t="s"/>
      <c r="H253" t="s"/>
      <c r="I253" t="s"/>
      <c r="J253" t="n">
        <v>0.5859</v>
      </c>
      <c r="K253" t="n">
        <v>0</v>
      </c>
      <c r="L253" t="n">
        <v>0.806</v>
      </c>
      <c r="M253" t="n">
        <v>0.194</v>
      </c>
    </row>
    <row r="254" spans="1:13">
      <c r="A254" s="1">
        <f>HYPERLINK("http://www.twitter.com/NathanBLawrence/status/996082601868840962", "996082601868840962")</f>
        <v/>
      </c>
      <c r="B254" s="2" t="n">
        <v>43234.73579861111</v>
      </c>
      <c r="C254" t="n">
        <v>4</v>
      </c>
      <c r="D254" t="n">
        <v>1</v>
      </c>
      <c r="E254" t="s">
        <v>265</v>
      </c>
      <c r="F254" t="s"/>
      <c r="G254" t="s"/>
      <c r="H254" t="s"/>
      <c r="I254" t="s"/>
      <c r="J254" t="n">
        <v>0.4723</v>
      </c>
      <c r="K254" t="n">
        <v>0.079</v>
      </c>
      <c r="L254" t="n">
        <v>0.737</v>
      </c>
      <c r="M254" t="n">
        <v>0.183</v>
      </c>
    </row>
    <row r="255" spans="1:13">
      <c r="A255" s="1">
        <f>HYPERLINK("http://www.twitter.com/NathanBLawrence/status/996082000397242368", "996082000397242368")</f>
        <v/>
      </c>
      <c r="B255" s="2" t="n">
        <v>43234.73413194445</v>
      </c>
      <c r="C255" t="n">
        <v>0</v>
      </c>
      <c r="D255" t="n">
        <v>6</v>
      </c>
      <c r="E255" t="s">
        <v>266</v>
      </c>
      <c r="F255" t="s"/>
      <c r="G255" t="s"/>
      <c r="H255" t="s"/>
      <c r="I255" t="s"/>
      <c r="J255" t="n">
        <v>-0.5719</v>
      </c>
      <c r="K255" t="n">
        <v>0.144</v>
      </c>
      <c r="L255" t="n">
        <v>0.856</v>
      </c>
      <c r="M255" t="n">
        <v>0</v>
      </c>
    </row>
    <row r="256" spans="1:13">
      <c r="A256" s="1">
        <f>HYPERLINK("http://www.twitter.com/NathanBLawrence/status/996081758117466112", "996081758117466112")</f>
        <v/>
      </c>
      <c r="B256" s="2" t="n">
        <v>43234.73347222222</v>
      </c>
      <c r="C256" t="n">
        <v>0</v>
      </c>
      <c r="D256" t="n">
        <v>3</v>
      </c>
      <c r="E256" t="s">
        <v>267</v>
      </c>
      <c r="F256" t="s"/>
      <c r="G256" t="s"/>
      <c r="H256" t="s"/>
      <c r="I256" t="s"/>
      <c r="J256" t="n">
        <v>0</v>
      </c>
      <c r="K256" t="n">
        <v>0</v>
      </c>
      <c r="L256" t="n">
        <v>1</v>
      </c>
      <c r="M256" t="n">
        <v>0</v>
      </c>
    </row>
    <row r="257" spans="1:13">
      <c r="A257" s="1">
        <f>HYPERLINK("http://www.twitter.com/NathanBLawrence/status/996081617616691201", "996081617616691201")</f>
        <v/>
      </c>
      <c r="B257" s="2" t="n">
        <v>43234.73307870371</v>
      </c>
      <c r="C257" t="n">
        <v>0</v>
      </c>
      <c r="D257" t="n">
        <v>30</v>
      </c>
      <c r="E257" t="s">
        <v>268</v>
      </c>
      <c r="F257">
        <f>HYPERLINK("http://pbs.twimg.com/media/DdKsTO8X0AA9v2X.jpg", "http://pbs.twimg.com/media/DdKsTO8X0AA9v2X.jpg")</f>
        <v/>
      </c>
      <c r="G257" t="s"/>
      <c r="H257" t="s"/>
      <c r="I257" t="s"/>
      <c r="J257" t="n">
        <v>0.128</v>
      </c>
      <c r="K257" t="n">
        <v>0</v>
      </c>
      <c r="L257" t="n">
        <v>0.9360000000000001</v>
      </c>
      <c r="M257" t="n">
        <v>0.064</v>
      </c>
    </row>
    <row r="258" spans="1:13">
      <c r="A258" s="1">
        <f>HYPERLINK("http://www.twitter.com/NathanBLawrence/status/996081323486916610", "996081323486916610")</f>
        <v/>
      </c>
      <c r="B258" s="2" t="n">
        <v>43234.73226851852</v>
      </c>
      <c r="C258" t="n">
        <v>0</v>
      </c>
      <c r="D258" t="n">
        <v>6</v>
      </c>
      <c r="E258" t="s">
        <v>269</v>
      </c>
      <c r="F258" t="s"/>
      <c r="G258" t="s"/>
      <c r="H258" t="s"/>
      <c r="I258" t="s"/>
      <c r="J258" t="n">
        <v>0</v>
      </c>
      <c r="K258" t="n">
        <v>0</v>
      </c>
      <c r="L258" t="n">
        <v>1</v>
      </c>
      <c r="M258" t="n">
        <v>0</v>
      </c>
    </row>
    <row r="259" spans="1:13">
      <c r="A259" s="1">
        <f>HYPERLINK("http://www.twitter.com/NathanBLawrence/status/996080230505828352", "996080230505828352")</f>
        <v/>
      </c>
      <c r="B259" s="2" t="n">
        <v>43234.72924768519</v>
      </c>
      <c r="C259" t="n">
        <v>0</v>
      </c>
      <c r="D259" t="n">
        <v>6</v>
      </c>
      <c r="E259" t="s">
        <v>270</v>
      </c>
      <c r="F259">
        <f>HYPERLINK("http://pbs.twimg.com/media/DdKylrIW4AAeOjC.jpg", "http://pbs.twimg.com/media/DdKylrIW4AAeOjC.jpg")</f>
        <v/>
      </c>
      <c r="G259" t="s"/>
      <c r="H259" t="s"/>
      <c r="I259" t="s"/>
      <c r="J259" t="n">
        <v>0.128</v>
      </c>
      <c r="K259" t="n">
        <v>0.112</v>
      </c>
      <c r="L259" t="n">
        <v>0.749</v>
      </c>
      <c r="M259" t="n">
        <v>0.139</v>
      </c>
    </row>
    <row r="260" spans="1:13">
      <c r="A260" s="1">
        <f>HYPERLINK("http://www.twitter.com/NathanBLawrence/status/996080002734133248", "996080002734133248")</f>
        <v/>
      </c>
      <c r="B260" s="2" t="n">
        <v>43234.72862268519</v>
      </c>
      <c r="C260" t="n">
        <v>0</v>
      </c>
      <c r="D260" t="n">
        <v>4735</v>
      </c>
      <c r="E260" t="s">
        <v>271</v>
      </c>
      <c r="F260" t="s"/>
      <c r="G260" t="s"/>
      <c r="H260" t="s"/>
      <c r="I260" t="s"/>
      <c r="J260" t="n">
        <v>-0.6705</v>
      </c>
      <c r="K260" t="n">
        <v>0.243</v>
      </c>
      <c r="L260" t="n">
        <v>0.757</v>
      </c>
      <c r="M260" t="n">
        <v>0</v>
      </c>
    </row>
    <row r="261" spans="1:13">
      <c r="A261" s="1">
        <f>HYPERLINK("http://www.twitter.com/NathanBLawrence/status/996079913995309062", "996079913995309062")</f>
        <v/>
      </c>
      <c r="B261" s="2" t="n">
        <v>43234.72837962963</v>
      </c>
      <c r="C261" t="n">
        <v>0</v>
      </c>
      <c r="D261" t="n">
        <v>899</v>
      </c>
      <c r="E261" t="s">
        <v>272</v>
      </c>
      <c r="F261" t="s"/>
      <c r="G261" t="s"/>
      <c r="H261" t="s"/>
      <c r="I261" t="s"/>
      <c r="J261" t="n">
        <v>-0.2263</v>
      </c>
      <c r="K261" t="n">
        <v>0.162</v>
      </c>
      <c r="L261" t="n">
        <v>0.711</v>
      </c>
      <c r="M261" t="n">
        <v>0.126</v>
      </c>
    </row>
    <row r="262" spans="1:13">
      <c r="A262" s="1">
        <f>HYPERLINK("http://www.twitter.com/NathanBLawrence/status/996079752430653440", "996079752430653440")</f>
        <v/>
      </c>
      <c r="B262" s="2" t="n">
        <v>43234.72792824074</v>
      </c>
      <c r="C262" t="n">
        <v>0</v>
      </c>
      <c r="D262" t="n">
        <v>79</v>
      </c>
      <c r="E262" t="s">
        <v>273</v>
      </c>
      <c r="F262" t="s"/>
      <c r="G262" t="s"/>
      <c r="H262" t="s"/>
      <c r="I262" t="s"/>
      <c r="J262" t="n">
        <v>0</v>
      </c>
      <c r="K262" t="n">
        <v>0</v>
      </c>
      <c r="L262" t="n">
        <v>1</v>
      </c>
      <c r="M262" t="n">
        <v>0</v>
      </c>
    </row>
    <row r="263" spans="1:13">
      <c r="A263" s="1">
        <f>HYPERLINK("http://www.twitter.com/NathanBLawrence/status/996079246111051777", "996079246111051777")</f>
        <v/>
      </c>
      <c r="B263" s="2" t="n">
        <v>43234.72653935185</v>
      </c>
      <c r="C263" t="n">
        <v>0</v>
      </c>
      <c r="D263" t="n">
        <v>10248</v>
      </c>
      <c r="E263" t="s">
        <v>274</v>
      </c>
      <c r="F263" t="s"/>
      <c r="G263" t="s"/>
      <c r="H263" t="s"/>
      <c r="I263" t="s"/>
      <c r="J263" t="n">
        <v>-0.4019</v>
      </c>
      <c r="K263" t="n">
        <v>0.155</v>
      </c>
      <c r="L263" t="n">
        <v>0.755</v>
      </c>
      <c r="M263" t="n">
        <v>0.091</v>
      </c>
    </row>
    <row r="264" spans="1:13">
      <c r="A264" s="1">
        <f>HYPERLINK("http://www.twitter.com/NathanBLawrence/status/996078987754557441", "996078987754557441")</f>
        <v/>
      </c>
      <c r="B264" s="2" t="n">
        <v>43234.72582175926</v>
      </c>
      <c r="C264" t="n">
        <v>0</v>
      </c>
      <c r="D264" t="n">
        <v>19</v>
      </c>
      <c r="E264" t="s">
        <v>275</v>
      </c>
      <c r="F264" t="s"/>
      <c r="G264" t="s"/>
      <c r="H264" t="s"/>
      <c r="I264" t="s"/>
      <c r="J264" t="n">
        <v>-0.5391</v>
      </c>
      <c r="K264" t="n">
        <v>0.219</v>
      </c>
      <c r="L264" t="n">
        <v>0.643</v>
      </c>
      <c r="M264" t="n">
        <v>0.139</v>
      </c>
    </row>
    <row r="265" spans="1:13">
      <c r="A265" s="1">
        <f>HYPERLINK("http://www.twitter.com/NathanBLawrence/status/996078692760727552", "996078692760727552")</f>
        <v/>
      </c>
      <c r="B265" s="2" t="n">
        <v>43234.72501157408</v>
      </c>
      <c r="C265" t="n">
        <v>0</v>
      </c>
      <c r="D265" t="n">
        <v>163</v>
      </c>
      <c r="E265" t="s">
        <v>276</v>
      </c>
      <c r="F265">
        <f>HYPERLINK("http://pbs.twimg.com/media/DdLG4VtW4AIPbTm.jpg", "http://pbs.twimg.com/media/DdLG4VtW4AIPbTm.jpg")</f>
        <v/>
      </c>
      <c r="G265" t="s"/>
      <c r="H265" t="s"/>
      <c r="I265" t="s"/>
      <c r="J265" t="n">
        <v>-0.8555</v>
      </c>
      <c r="K265" t="n">
        <v>0.331</v>
      </c>
      <c r="L265" t="n">
        <v>0.669</v>
      </c>
      <c r="M265" t="n">
        <v>0</v>
      </c>
    </row>
    <row r="266" spans="1:13">
      <c r="A266" s="1">
        <f>HYPERLINK("http://www.twitter.com/NathanBLawrence/status/996073558907523072", "996073558907523072")</f>
        <v/>
      </c>
      <c r="B266" s="2" t="n">
        <v>43234.71084490741</v>
      </c>
      <c r="C266" t="n">
        <v>0</v>
      </c>
      <c r="D266" t="n">
        <v>721</v>
      </c>
      <c r="E266" t="s">
        <v>277</v>
      </c>
      <c r="F266">
        <f>HYPERLINK("http://pbs.twimg.com/media/DdLAqcuVQAAyyd7.jpg", "http://pbs.twimg.com/media/DdLAqcuVQAAyyd7.jpg")</f>
        <v/>
      </c>
      <c r="G266" t="s"/>
      <c r="H266" t="s"/>
      <c r="I266" t="s"/>
      <c r="J266" t="n">
        <v>-0.5983000000000001</v>
      </c>
      <c r="K266" t="n">
        <v>0.145</v>
      </c>
      <c r="L266" t="n">
        <v>0.855</v>
      </c>
      <c r="M266" t="n">
        <v>0</v>
      </c>
    </row>
    <row r="267" spans="1:13">
      <c r="A267" s="1">
        <f>HYPERLINK("http://www.twitter.com/NathanBLawrence/status/995815581004779520", "995815581004779520")</f>
        <v/>
      </c>
      <c r="B267" s="2" t="n">
        <v>43233.99895833333</v>
      </c>
      <c r="C267" t="n">
        <v>0</v>
      </c>
      <c r="D267" t="n">
        <v>12</v>
      </c>
      <c r="E267" t="s">
        <v>278</v>
      </c>
      <c r="F267" t="s"/>
      <c r="G267" t="s"/>
      <c r="H267" t="s"/>
      <c r="I267" t="s"/>
      <c r="J267" t="n">
        <v>-0.6249</v>
      </c>
      <c r="K267" t="n">
        <v>0.178</v>
      </c>
      <c r="L267" t="n">
        <v>0.769</v>
      </c>
      <c r="M267" t="n">
        <v>0.053</v>
      </c>
    </row>
    <row r="268" spans="1:13">
      <c r="A268" s="1">
        <f>HYPERLINK("http://www.twitter.com/NathanBLawrence/status/995782405305786368", "995782405305786368")</f>
        <v/>
      </c>
      <c r="B268" s="2" t="n">
        <v>43233.90740740741</v>
      </c>
      <c r="C268" t="n">
        <v>0</v>
      </c>
      <c r="D268" t="n">
        <v>11</v>
      </c>
      <c r="E268" t="s">
        <v>279</v>
      </c>
      <c r="F268" t="s"/>
      <c r="G268" t="s"/>
      <c r="H268" t="s"/>
      <c r="I268" t="s"/>
      <c r="J268" t="n">
        <v>0</v>
      </c>
      <c r="K268" t="n">
        <v>0</v>
      </c>
      <c r="L268" t="n">
        <v>1</v>
      </c>
      <c r="M268" t="n">
        <v>0</v>
      </c>
    </row>
    <row r="269" spans="1:13">
      <c r="A269" s="1">
        <f>HYPERLINK("http://www.twitter.com/NathanBLawrence/status/995780117451476993", "995780117451476993")</f>
        <v/>
      </c>
      <c r="B269" s="2" t="n">
        <v>43233.90109953703</v>
      </c>
      <c r="C269" t="n">
        <v>0</v>
      </c>
      <c r="D269" t="n">
        <v>1265</v>
      </c>
      <c r="E269" t="s">
        <v>280</v>
      </c>
      <c r="F269">
        <f>HYPERLINK("http://pbs.twimg.com/media/DdGnjyUX0AAqyDg.jpg", "http://pbs.twimg.com/media/DdGnjyUX0AAqyDg.jpg")</f>
        <v/>
      </c>
      <c r="G269" t="s"/>
      <c r="H269" t="s"/>
      <c r="I269" t="s"/>
      <c r="J269" t="n">
        <v>0.764</v>
      </c>
      <c r="K269" t="n">
        <v>0</v>
      </c>
      <c r="L269" t="n">
        <v>0.761</v>
      </c>
      <c r="M269" t="n">
        <v>0.239</v>
      </c>
    </row>
    <row r="270" spans="1:13">
      <c r="A270" s="1">
        <f>HYPERLINK("http://www.twitter.com/NathanBLawrence/status/995780062459854849", "995780062459854849")</f>
        <v/>
      </c>
      <c r="B270" s="2" t="n">
        <v>43233.90094907407</v>
      </c>
      <c r="C270" t="n">
        <v>0</v>
      </c>
      <c r="D270" t="n">
        <v>3998</v>
      </c>
      <c r="E270" t="s">
        <v>281</v>
      </c>
      <c r="F270" t="s"/>
      <c r="G270" t="s"/>
      <c r="H270" t="s"/>
      <c r="I270" t="s"/>
      <c r="J270" t="n">
        <v>0</v>
      </c>
      <c r="K270" t="n">
        <v>0</v>
      </c>
      <c r="L270" t="n">
        <v>1</v>
      </c>
      <c r="M270" t="n">
        <v>0</v>
      </c>
    </row>
    <row r="271" spans="1:13">
      <c r="A271" s="1">
        <f>HYPERLINK("http://www.twitter.com/NathanBLawrence/status/995779838488334336", "995779838488334336")</f>
        <v/>
      </c>
      <c r="B271" s="2" t="n">
        <v>43233.90032407407</v>
      </c>
      <c r="C271" t="n">
        <v>0</v>
      </c>
      <c r="D271" t="n">
        <v>16</v>
      </c>
      <c r="E271" t="s">
        <v>282</v>
      </c>
      <c r="F271">
        <f>HYPERLINK("http://pbs.twimg.com/media/DdGvxHHX4AI00no.jpg", "http://pbs.twimg.com/media/DdGvxHHX4AI00no.jpg")</f>
        <v/>
      </c>
      <c r="G271" t="s"/>
      <c r="H271" t="s"/>
      <c r="I271" t="s"/>
      <c r="J271" t="n">
        <v>0</v>
      </c>
      <c r="K271" t="n">
        <v>0</v>
      </c>
      <c r="L271" t="n">
        <v>1</v>
      </c>
      <c r="M271" t="n">
        <v>0</v>
      </c>
    </row>
    <row r="272" spans="1:13">
      <c r="A272" s="1">
        <f>HYPERLINK("http://www.twitter.com/NathanBLawrence/status/995712970138284037", "995712970138284037")</f>
        <v/>
      </c>
      <c r="B272" s="2" t="n">
        <v>43233.71581018518</v>
      </c>
      <c r="C272" t="n">
        <v>0</v>
      </c>
      <c r="D272" t="n">
        <v>490</v>
      </c>
      <c r="E272" t="s">
        <v>283</v>
      </c>
      <c r="F272" t="s"/>
      <c r="G272" t="s"/>
      <c r="H272" t="s"/>
      <c r="I272" t="s"/>
      <c r="J272" t="n">
        <v>-0.875</v>
      </c>
      <c r="K272" t="n">
        <v>0.455</v>
      </c>
      <c r="L272" t="n">
        <v>0.545</v>
      </c>
      <c r="M272" t="n">
        <v>0</v>
      </c>
    </row>
    <row r="273" spans="1:13">
      <c r="A273" s="1">
        <f>HYPERLINK("http://www.twitter.com/NathanBLawrence/status/995711930823249925", "995711930823249925")</f>
        <v/>
      </c>
      <c r="B273" s="2" t="n">
        <v>43233.71293981482</v>
      </c>
      <c r="C273" t="n">
        <v>0</v>
      </c>
      <c r="D273" t="n">
        <v>10</v>
      </c>
      <c r="E273" t="s">
        <v>284</v>
      </c>
      <c r="F273" t="s"/>
      <c r="G273" t="s"/>
      <c r="H273" t="s"/>
      <c r="I273" t="s"/>
      <c r="J273" t="n">
        <v>0</v>
      </c>
      <c r="K273" t="n">
        <v>0</v>
      </c>
      <c r="L273" t="n">
        <v>1</v>
      </c>
      <c r="M273" t="n">
        <v>0</v>
      </c>
    </row>
    <row r="274" spans="1:13">
      <c r="A274" s="1">
        <f>HYPERLINK("http://www.twitter.com/NathanBLawrence/status/995708322169933824", "995708322169933824")</f>
        <v/>
      </c>
      <c r="B274" s="2" t="n">
        <v>43233.70298611111</v>
      </c>
      <c r="C274" t="n">
        <v>0</v>
      </c>
      <c r="D274" t="n">
        <v>1133</v>
      </c>
      <c r="E274" t="s">
        <v>285</v>
      </c>
      <c r="F274">
        <f>HYPERLINK("http://pbs.twimg.com/media/DdFbq6iXkAEz3Tt.jpg", "http://pbs.twimg.com/media/DdFbq6iXkAEz3Tt.jpg")</f>
        <v/>
      </c>
      <c r="G274" t="s"/>
      <c r="H274" t="s"/>
      <c r="I274" t="s"/>
      <c r="J274" t="n">
        <v>0.6841</v>
      </c>
      <c r="K274" t="n">
        <v>0</v>
      </c>
      <c r="L274" t="n">
        <v>0.832</v>
      </c>
      <c r="M274" t="n">
        <v>0.168</v>
      </c>
    </row>
    <row r="275" spans="1:13">
      <c r="A275" s="1">
        <f>HYPERLINK("http://www.twitter.com/NathanBLawrence/status/995551954217693185", "995551954217693185")</f>
        <v/>
      </c>
      <c r="B275" s="2" t="n">
        <v>43233.27149305555</v>
      </c>
      <c r="C275" t="n">
        <v>0</v>
      </c>
      <c r="D275" t="n">
        <v>3</v>
      </c>
      <c r="E275" t="s">
        <v>286</v>
      </c>
      <c r="F275" t="s"/>
      <c r="G275" t="s"/>
      <c r="H275" t="s"/>
      <c r="I275" t="s"/>
      <c r="J275" t="n">
        <v>0.5095</v>
      </c>
      <c r="K275" t="n">
        <v>0</v>
      </c>
      <c r="L275" t="n">
        <v>0.823</v>
      </c>
      <c r="M275" t="n">
        <v>0.177</v>
      </c>
    </row>
    <row r="276" spans="1:13">
      <c r="A276" s="1">
        <f>HYPERLINK("http://www.twitter.com/NathanBLawrence/status/995478456161927173", "995478456161927173")</f>
        <v/>
      </c>
      <c r="B276" s="2" t="n">
        <v>43233.06866898148</v>
      </c>
      <c r="C276" t="n">
        <v>0</v>
      </c>
      <c r="D276" t="n">
        <v>5</v>
      </c>
      <c r="E276" t="s">
        <v>287</v>
      </c>
      <c r="F276" t="s"/>
      <c r="G276" t="s"/>
      <c r="H276" t="s"/>
      <c r="I276" t="s"/>
      <c r="J276" t="n">
        <v>0.3818</v>
      </c>
      <c r="K276" t="n">
        <v>0</v>
      </c>
      <c r="L276" t="n">
        <v>0.867</v>
      </c>
      <c r="M276" t="n">
        <v>0.133</v>
      </c>
    </row>
    <row r="277" spans="1:13">
      <c r="A277" s="1">
        <f>HYPERLINK("http://www.twitter.com/NathanBLawrence/status/995416960551866374", "995416960551866374")</f>
        <v/>
      </c>
      <c r="B277" s="2" t="n">
        <v>43232.89898148148</v>
      </c>
      <c r="C277" t="n">
        <v>12</v>
      </c>
      <c r="D277" t="n">
        <v>6</v>
      </c>
      <c r="E277" t="s">
        <v>288</v>
      </c>
      <c r="F277" t="s"/>
      <c r="G277" t="s"/>
      <c r="H277" t="s"/>
      <c r="I277" t="s"/>
      <c r="J277" t="n">
        <v>0.6249</v>
      </c>
      <c r="K277" t="n">
        <v>0</v>
      </c>
      <c r="L277" t="n">
        <v>0.594</v>
      </c>
      <c r="M277" t="n">
        <v>0.406</v>
      </c>
    </row>
    <row r="278" spans="1:13">
      <c r="A278" s="1">
        <f>HYPERLINK("http://www.twitter.com/NathanBLawrence/status/995403065690861568", "995403065690861568")</f>
        <v/>
      </c>
      <c r="B278" s="2" t="n">
        <v>43232.86063657407</v>
      </c>
      <c r="C278" t="n">
        <v>0</v>
      </c>
      <c r="D278" t="n">
        <v>10</v>
      </c>
      <c r="E278" t="s">
        <v>289</v>
      </c>
      <c r="F278" t="s"/>
      <c r="G278" t="s"/>
      <c r="H278" t="s"/>
      <c r="I278" t="s"/>
      <c r="J278" t="n">
        <v>-0.6808</v>
      </c>
      <c r="K278" t="n">
        <v>0.248</v>
      </c>
      <c r="L278" t="n">
        <v>0.752</v>
      </c>
      <c r="M278" t="n">
        <v>0</v>
      </c>
    </row>
    <row r="279" spans="1:13">
      <c r="A279" s="1">
        <f>HYPERLINK("http://www.twitter.com/NathanBLawrence/status/995084066448867329", "995084066448867329")</f>
        <v/>
      </c>
      <c r="B279" s="2" t="n">
        <v>43231.9803587963</v>
      </c>
      <c r="C279" t="n">
        <v>0</v>
      </c>
      <c r="D279" t="n">
        <v>80</v>
      </c>
      <c r="E279" t="s">
        <v>290</v>
      </c>
      <c r="F279" t="s"/>
      <c r="G279" t="s"/>
      <c r="H279" t="s"/>
      <c r="I279" t="s"/>
      <c r="J279" t="n">
        <v>-0.5859</v>
      </c>
      <c r="K279" t="n">
        <v>0.268</v>
      </c>
      <c r="L279" t="n">
        <v>0.636</v>
      </c>
      <c r="M279" t="n">
        <v>0.095</v>
      </c>
    </row>
    <row r="280" spans="1:13">
      <c r="A280" s="1">
        <f>HYPERLINK("http://www.twitter.com/NathanBLawrence/status/995018392485683201", "995018392485683201")</f>
        <v/>
      </c>
      <c r="B280" s="2" t="n">
        <v>43231.79913194444</v>
      </c>
      <c r="C280" t="n">
        <v>0</v>
      </c>
      <c r="D280" t="n">
        <v>34</v>
      </c>
      <c r="E280" t="s">
        <v>291</v>
      </c>
      <c r="F280" t="s"/>
      <c r="G280" t="s"/>
      <c r="H280" t="s"/>
      <c r="I280" t="s"/>
      <c r="J280" t="n">
        <v>-0.3818</v>
      </c>
      <c r="K280" t="n">
        <v>0.11</v>
      </c>
      <c r="L280" t="n">
        <v>0.89</v>
      </c>
      <c r="M280" t="n">
        <v>0</v>
      </c>
    </row>
    <row r="281" spans="1:13">
      <c r="A281" s="1">
        <f>HYPERLINK("http://www.twitter.com/NathanBLawrence/status/994994925770018817", "994994925770018817")</f>
        <v/>
      </c>
      <c r="B281" s="2" t="n">
        <v>43231.73438657408</v>
      </c>
      <c r="C281" t="n">
        <v>0</v>
      </c>
      <c r="D281" t="n">
        <v>1344</v>
      </c>
      <c r="E281" t="s">
        <v>292</v>
      </c>
      <c r="F281" t="s"/>
      <c r="G281" t="s"/>
      <c r="H281" t="s"/>
      <c r="I281" t="s"/>
      <c r="J281" t="n">
        <v>0.6369</v>
      </c>
      <c r="K281" t="n">
        <v>0</v>
      </c>
      <c r="L281" t="n">
        <v>0.8110000000000001</v>
      </c>
      <c r="M281" t="n">
        <v>0.189</v>
      </c>
    </row>
    <row r="282" spans="1:13">
      <c r="A282" s="1">
        <f>HYPERLINK("http://www.twitter.com/NathanBLawrence/status/994994842928369664", "994994842928369664")</f>
        <v/>
      </c>
      <c r="B282" s="2" t="n">
        <v>43231.73415509259</v>
      </c>
      <c r="C282" t="n">
        <v>0</v>
      </c>
      <c r="D282" t="n">
        <v>4</v>
      </c>
      <c r="E282" t="s">
        <v>293</v>
      </c>
      <c r="F282">
        <f>HYPERLINK("http://pbs.twimg.com/media/Dc7lYczXUAAmfC4.jpg", "http://pbs.twimg.com/media/Dc7lYczXUAAmfC4.jpg")</f>
        <v/>
      </c>
      <c r="G282" t="s"/>
      <c r="H282" t="s"/>
      <c r="I282" t="s"/>
      <c r="J282" t="n">
        <v>0.1513</v>
      </c>
      <c r="K282" t="n">
        <v>0.122</v>
      </c>
      <c r="L282" t="n">
        <v>0.723</v>
      </c>
      <c r="M282" t="n">
        <v>0.155</v>
      </c>
    </row>
    <row r="283" spans="1:13">
      <c r="A283" s="1">
        <f>HYPERLINK("http://www.twitter.com/NathanBLawrence/status/994994103652929537", "994994103652929537")</f>
        <v/>
      </c>
      <c r="B283" s="2" t="n">
        <v>43231.73211805556</v>
      </c>
      <c r="C283" t="n">
        <v>0</v>
      </c>
      <c r="D283" t="n">
        <v>57</v>
      </c>
      <c r="E283" t="s">
        <v>294</v>
      </c>
      <c r="F283" t="s"/>
      <c r="G283" t="s"/>
      <c r="H283" t="s"/>
      <c r="I283" t="s"/>
      <c r="J283" t="n">
        <v>-0.2263</v>
      </c>
      <c r="K283" t="n">
        <v>0.128</v>
      </c>
      <c r="L283" t="n">
        <v>0.872</v>
      </c>
      <c r="M283" t="n">
        <v>0</v>
      </c>
    </row>
    <row r="284" spans="1:13">
      <c r="A284" s="1">
        <f>HYPERLINK("http://www.twitter.com/NathanBLawrence/status/994981438268289027", "994981438268289027")</f>
        <v/>
      </c>
      <c r="B284" s="2" t="n">
        <v>43231.69716435186</v>
      </c>
      <c r="C284" t="n">
        <v>0</v>
      </c>
      <c r="D284" t="n">
        <v>4</v>
      </c>
      <c r="E284" t="s">
        <v>295</v>
      </c>
      <c r="F284" t="s"/>
      <c r="G284" t="s"/>
      <c r="H284" t="s"/>
      <c r="I284" t="s"/>
      <c r="J284" t="n">
        <v>0.4939</v>
      </c>
      <c r="K284" t="n">
        <v>0</v>
      </c>
      <c r="L284" t="n">
        <v>0.862</v>
      </c>
      <c r="M284" t="n">
        <v>0.138</v>
      </c>
    </row>
    <row r="285" spans="1:13">
      <c r="A285" s="1">
        <f>HYPERLINK("http://www.twitter.com/NathanBLawrence/status/994980943386628098", "994980943386628098")</f>
        <v/>
      </c>
      <c r="B285" s="2" t="n">
        <v>43231.69579861111</v>
      </c>
      <c r="C285" t="n">
        <v>0</v>
      </c>
      <c r="D285" t="n">
        <v>8</v>
      </c>
      <c r="E285" t="s">
        <v>296</v>
      </c>
      <c r="F285" t="s"/>
      <c r="G285" t="s"/>
      <c r="H285" t="s"/>
      <c r="I285" t="s"/>
      <c r="J285" t="n">
        <v>-0.7096</v>
      </c>
      <c r="K285" t="n">
        <v>0.247</v>
      </c>
      <c r="L285" t="n">
        <v>0.695</v>
      </c>
      <c r="M285" t="n">
        <v>0.058</v>
      </c>
    </row>
    <row r="286" spans="1:13">
      <c r="A286" s="1">
        <f>HYPERLINK("http://www.twitter.com/NathanBLawrence/status/994980888638259200", "994980888638259200")</f>
        <v/>
      </c>
      <c r="B286" s="2" t="n">
        <v>43231.69564814815</v>
      </c>
      <c r="C286" t="n">
        <v>0</v>
      </c>
      <c r="D286" t="n">
        <v>42</v>
      </c>
      <c r="E286" t="s">
        <v>297</v>
      </c>
      <c r="F286">
        <f>HYPERLINK("http://pbs.twimg.com/media/Dc7CjvbXcAMEWTW.jpg", "http://pbs.twimg.com/media/Dc7CjvbXcAMEWTW.jpg")</f>
        <v/>
      </c>
      <c r="G286" t="s"/>
      <c r="H286" t="s"/>
      <c r="I286" t="s"/>
      <c r="J286" t="n">
        <v>0.128</v>
      </c>
      <c r="K286" t="n">
        <v>0</v>
      </c>
      <c r="L286" t="n">
        <v>0.9330000000000001</v>
      </c>
      <c r="M286" t="n">
        <v>0.067</v>
      </c>
    </row>
    <row r="287" spans="1:13">
      <c r="A287" s="1">
        <f>HYPERLINK("http://www.twitter.com/NathanBLawrence/status/994980707830255617", "994980707830255617")</f>
        <v/>
      </c>
      <c r="B287" s="2" t="n">
        <v>43231.69515046296</v>
      </c>
      <c r="C287" t="n">
        <v>0</v>
      </c>
      <c r="D287" t="n">
        <v>29</v>
      </c>
      <c r="E287" t="s">
        <v>298</v>
      </c>
      <c r="F287" t="s"/>
      <c r="G287" t="s"/>
      <c r="H287" t="s"/>
      <c r="I287" t="s"/>
      <c r="J287" t="n">
        <v>-0.5106000000000001</v>
      </c>
      <c r="K287" t="n">
        <v>0.142</v>
      </c>
      <c r="L287" t="n">
        <v>0.858</v>
      </c>
      <c r="M287" t="n">
        <v>0</v>
      </c>
    </row>
    <row r="288" spans="1:13">
      <c r="A288" s="1">
        <f>HYPERLINK("http://www.twitter.com/NathanBLawrence/status/994980282846543872", "994980282846543872")</f>
        <v/>
      </c>
      <c r="B288" s="2" t="n">
        <v>43231.69396990741</v>
      </c>
      <c r="C288" t="n">
        <v>0</v>
      </c>
      <c r="D288" t="n">
        <v>14</v>
      </c>
      <c r="E288" t="s">
        <v>299</v>
      </c>
      <c r="F288" t="s"/>
      <c r="G288" t="s"/>
      <c r="H288" t="s"/>
      <c r="I288" t="s"/>
      <c r="J288" t="n">
        <v>-0.4588</v>
      </c>
      <c r="K288" t="n">
        <v>0.134</v>
      </c>
      <c r="L288" t="n">
        <v>0.8129999999999999</v>
      </c>
      <c r="M288" t="n">
        <v>0.053</v>
      </c>
    </row>
    <row r="289" spans="1:13">
      <c r="A289" s="1">
        <f>HYPERLINK("http://www.twitter.com/NathanBLawrence/status/994977601268658181", "994977601268658181")</f>
        <v/>
      </c>
      <c r="B289" s="2" t="n">
        <v>43231.68657407408</v>
      </c>
      <c r="C289" t="n">
        <v>0</v>
      </c>
      <c r="D289" t="n">
        <v>727</v>
      </c>
      <c r="E289" t="s">
        <v>300</v>
      </c>
      <c r="F289" t="s"/>
      <c r="G289" t="s"/>
      <c r="H289" t="s"/>
      <c r="I289" t="s"/>
      <c r="J289" t="n">
        <v>-0.784</v>
      </c>
      <c r="K289" t="n">
        <v>0.345</v>
      </c>
      <c r="L289" t="n">
        <v>0.655</v>
      </c>
      <c r="M289" t="n">
        <v>0</v>
      </c>
    </row>
    <row r="290" spans="1:13">
      <c r="A290" s="1">
        <f>HYPERLINK("http://www.twitter.com/NathanBLawrence/status/994652619904872450", "994652619904872450")</f>
        <v/>
      </c>
      <c r="B290" s="2" t="n">
        <v>43230.78979166667</v>
      </c>
      <c r="C290" t="n">
        <v>0</v>
      </c>
      <c r="D290" t="n">
        <v>21</v>
      </c>
      <c r="E290" t="s">
        <v>301</v>
      </c>
      <c r="F290">
        <f>HYPERLINK("http://pbs.twimg.com/media/Dc2WIHeVwAAQWB3.jpg", "http://pbs.twimg.com/media/Dc2WIHeVwAAQWB3.jpg")</f>
        <v/>
      </c>
      <c r="G290" t="s"/>
      <c r="H290" t="s"/>
      <c r="I290" t="s"/>
      <c r="J290" t="n">
        <v>0.4404</v>
      </c>
      <c r="K290" t="n">
        <v>0</v>
      </c>
      <c r="L290" t="n">
        <v>0.896</v>
      </c>
      <c r="M290" t="n">
        <v>0.104</v>
      </c>
    </row>
    <row r="291" spans="1:13">
      <c r="A291" s="1">
        <f>HYPERLINK("http://www.twitter.com/NathanBLawrence/status/994652523674898432", "994652523674898432")</f>
        <v/>
      </c>
      <c r="B291" s="2" t="n">
        <v>43230.78953703704</v>
      </c>
      <c r="C291" t="n">
        <v>0</v>
      </c>
      <c r="D291" t="n">
        <v>5</v>
      </c>
      <c r="E291" t="s">
        <v>302</v>
      </c>
      <c r="F291" t="s"/>
      <c r="G291" t="s"/>
      <c r="H291" t="s"/>
      <c r="I291" t="s"/>
      <c r="J291" t="n">
        <v>0</v>
      </c>
      <c r="K291" t="n">
        <v>0</v>
      </c>
      <c r="L291" t="n">
        <v>1</v>
      </c>
      <c r="M291" t="n">
        <v>0</v>
      </c>
    </row>
    <row r="292" spans="1:13">
      <c r="A292" s="1">
        <f>HYPERLINK("http://www.twitter.com/NathanBLawrence/status/994652458264735744", "994652458264735744")</f>
        <v/>
      </c>
      <c r="B292" s="2" t="n">
        <v>43230.78935185185</v>
      </c>
      <c r="C292" t="n">
        <v>0</v>
      </c>
      <c r="D292" t="n">
        <v>5</v>
      </c>
      <c r="E292" t="s">
        <v>303</v>
      </c>
      <c r="F292" t="s"/>
      <c r="G292" t="s"/>
      <c r="H292" t="s"/>
      <c r="I292" t="s"/>
      <c r="J292" t="n">
        <v>0</v>
      </c>
      <c r="K292" t="n">
        <v>0</v>
      </c>
      <c r="L292" t="n">
        <v>1</v>
      </c>
      <c r="M292" t="n">
        <v>0</v>
      </c>
    </row>
    <row r="293" spans="1:13">
      <c r="A293" s="1">
        <f>HYPERLINK("http://www.twitter.com/NathanBLawrence/status/994649758789718016", "994649758789718016")</f>
        <v/>
      </c>
      <c r="B293" s="2" t="n">
        <v>43230.78189814815</v>
      </c>
      <c r="C293" t="n">
        <v>0</v>
      </c>
      <c r="D293" t="n">
        <v>15</v>
      </c>
      <c r="E293" t="s">
        <v>304</v>
      </c>
      <c r="F293" t="s"/>
      <c r="G293" t="s"/>
      <c r="H293" t="s"/>
      <c r="I293" t="s"/>
      <c r="J293" t="n">
        <v>-0.8316</v>
      </c>
      <c r="K293" t="n">
        <v>0.286</v>
      </c>
      <c r="L293" t="n">
        <v>0.714</v>
      </c>
      <c r="M293" t="n">
        <v>0</v>
      </c>
    </row>
    <row r="294" spans="1:13">
      <c r="A294" s="1">
        <f>HYPERLINK("http://www.twitter.com/NathanBLawrence/status/994649622810382342", "994649622810382342")</f>
        <v/>
      </c>
      <c r="B294" s="2" t="n">
        <v>43230.78152777778</v>
      </c>
      <c r="C294" t="n">
        <v>0</v>
      </c>
      <c r="D294" t="n">
        <v>8</v>
      </c>
      <c r="E294" t="s">
        <v>305</v>
      </c>
      <c r="F294" t="s"/>
      <c r="G294" t="s"/>
      <c r="H294" t="s"/>
      <c r="I294" t="s"/>
      <c r="J294" t="n">
        <v>0</v>
      </c>
      <c r="K294" t="n">
        <v>0</v>
      </c>
      <c r="L294" t="n">
        <v>1</v>
      </c>
      <c r="M294" t="n">
        <v>0</v>
      </c>
    </row>
    <row r="295" spans="1:13">
      <c r="A295" s="1">
        <f>HYPERLINK("http://www.twitter.com/NathanBLawrence/status/994649533412978688", "994649533412978688")</f>
        <v/>
      </c>
      <c r="B295" s="2" t="n">
        <v>43230.78128472222</v>
      </c>
      <c r="C295" t="n">
        <v>0</v>
      </c>
      <c r="D295" t="n">
        <v>14</v>
      </c>
      <c r="E295" t="s">
        <v>306</v>
      </c>
      <c r="F295" t="s"/>
      <c r="G295" t="s"/>
      <c r="H295" t="s"/>
      <c r="I295" t="s"/>
      <c r="J295" t="n">
        <v>0.6514</v>
      </c>
      <c r="K295" t="n">
        <v>0.105</v>
      </c>
      <c r="L295" t="n">
        <v>0.65</v>
      </c>
      <c r="M295" t="n">
        <v>0.245</v>
      </c>
    </row>
    <row r="296" spans="1:13">
      <c r="A296" s="1">
        <f>HYPERLINK("http://www.twitter.com/NathanBLawrence/status/994649181494087680", "994649181494087680")</f>
        <v/>
      </c>
      <c r="B296" s="2" t="n">
        <v>43230.7803125</v>
      </c>
      <c r="C296" t="n">
        <v>0</v>
      </c>
      <c r="D296" t="n">
        <v>24</v>
      </c>
      <c r="E296" t="s">
        <v>307</v>
      </c>
      <c r="F296" t="s"/>
      <c r="G296" t="s"/>
      <c r="H296" t="s"/>
      <c r="I296" t="s"/>
      <c r="J296" t="n">
        <v>0.5266999999999999</v>
      </c>
      <c r="K296" t="n">
        <v>0</v>
      </c>
      <c r="L296" t="n">
        <v>0.876</v>
      </c>
      <c r="M296" t="n">
        <v>0.124</v>
      </c>
    </row>
    <row r="297" spans="1:13">
      <c r="A297" s="1">
        <f>HYPERLINK("http://www.twitter.com/NathanBLawrence/status/994649110752964608", "994649110752964608")</f>
        <v/>
      </c>
      <c r="B297" s="2" t="n">
        <v>43230.78011574074</v>
      </c>
      <c r="C297" t="n">
        <v>0</v>
      </c>
      <c r="D297" t="n">
        <v>10</v>
      </c>
      <c r="E297" t="s">
        <v>308</v>
      </c>
      <c r="F297">
        <f>HYPERLINK("http://pbs.twimg.com/media/Dc2YpqeXUAAfLRM.jpg", "http://pbs.twimg.com/media/Dc2YpqeXUAAfLRM.jpg")</f>
        <v/>
      </c>
      <c r="G297" t="s"/>
      <c r="H297" t="s"/>
      <c r="I297" t="s"/>
      <c r="J297" t="n">
        <v>0</v>
      </c>
      <c r="K297" t="n">
        <v>0</v>
      </c>
      <c r="L297" t="n">
        <v>1</v>
      </c>
      <c r="M297" t="n">
        <v>0</v>
      </c>
    </row>
    <row r="298" spans="1:13">
      <c r="A298" s="1">
        <f>HYPERLINK("http://www.twitter.com/NathanBLawrence/status/994648818485428225", "994648818485428225")</f>
        <v/>
      </c>
      <c r="B298" s="2" t="n">
        <v>43230.77930555555</v>
      </c>
      <c r="C298" t="n">
        <v>0</v>
      </c>
      <c r="D298" t="n">
        <v>16</v>
      </c>
      <c r="E298" t="s">
        <v>309</v>
      </c>
      <c r="F298">
        <f>HYPERLINK("http://pbs.twimg.com/media/Dc2pfzWW4AAq-cS.jpg", "http://pbs.twimg.com/media/Dc2pfzWW4AAq-cS.jpg")</f>
        <v/>
      </c>
      <c r="G298" t="s"/>
      <c r="H298" t="s"/>
      <c r="I298" t="s"/>
      <c r="J298" t="n">
        <v>0</v>
      </c>
      <c r="K298" t="n">
        <v>0</v>
      </c>
      <c r="L298" t="n">
        <v>1</v>
      </c>
      <c r="M298" t="n">
        <v>0</v>
      </c>
    </row>
    <row r="299" spans="1:13">
      <c r="A299" s="1">
        <f>HYPERLINK("http://www.twitter.com/NathanBLawrence/status/994596649069662209", "994596649069662209")</f>
        <v/>
      </c>
      <c r="B299" s="2" t="n">
        <v>43230.63534722223</v>
      </c>
      <c r="C299" t="n">
        <v>0</v>
      </c>
      <c r="D299" t="n">
        <v>13</v>
      </c>
      <c r="E299" t="s">
        <v>310</v>
      </c>
      <c r="F299">
        <f>HYPERLINK("http://pbs.twimg.com/media/DcsfDHuU8AE-h6k.jpg", "http://pbs.twimg.com/media/DcsfDHuU8AE-h6k.jpg")</f>
        <v/>
      </c>
      <c r="G299" t="s"/>
      <c r="H299" t="s"/>
      <c r="I299" t="s"/>
      <c r="J299" t="n">
        <v>-0.6908</v>
      </c>
      <c r="K299" t="n">
        <v>0.231</v>
      </c>
      <c r="L299" t="n">
        <v>0.769</v>
      </c>
      <c r="M299" t="n">
        <v>0</v>
      </c>
    </row>
    <row r="300" spans="1:13">
      <c r="A300" s="1">
        <f>HYPERLINK("http://www.twitter.com/NathanBLawrence/status/994210313942847493", "994210313942847493")</f>
        <v/>
      </c>
      <c r="B300" s="2" t="n">
        <v>43229.56927083333</v>
      </c>
      <c r="C300" t="n">
        <v>0</v>
      </c>
      <c r="D300" t="n">
        <v>6</v>
      </c>
      <c r="E300" t="s">
        <v>311</v>
      </c>
      <c r="F300" t="s"/>
      <c r="G300" t="s"/>
      <c r="H300" t="s"/>
      <c r="I300" t="s"/>
      <c r="J300" t="n">
        <v>0</v>
      </c>
      <c r="K300" t="n">
        <v>0</v>
      </c>
      <c r="L300" t="n">
        <v>1</v>
      </c>
      <c r="M300" t="n">
        <v>0</v>
      </c>
    </row>
    <row r="301" spans="1:13">
      <c r="A301" s="1">
        <f>HYPERLINK("http://www.twitter.com/NathanBLawrence/status/994061625148747776", "994061625148747776")</f>
        <v/>
      </c>
      <c r="B301" s="2" t="n">
        <v>43229.15895833333</v>
      </c>
      <c r="C301" t="n">
        <v>0</v>
      </c>
      <c r="D301" t="n">
        <v>12</v>
      </c>
      <c r="E301" t="s">
        <v>312</v>
      </c>
      <c r="F301">
        <f>HYPERLINK("http://pbs.twimg.com/media/DcuBtX4W4AAq2vH.jpg", "http://pbs.twimg.com/media/DcuBtX4W4AAq2vH.jpg")</f>
        <v/>
      </c>
      <c r="G301" t="s"/>
      <c r="H301" t="s"/>
      <c r="I301" t="s"/>
      <c r="J301" t="n">
        <v>0</v>
      </c>
      <c r="K301" t="n">
        <v>0</v>
      </c>
      <c r="L301" t="n">
        <v>1</v>
      </c>
      <c r="M301" t="n">
        <v>0</v>
      </c>
    </row>
    <row r="302" spans="1:13">
      <c r="A302" s="1">
        <f>HYPERLINK("http://www.twitter.com/NathanBLawrence/status/994014703352508418", "994014703352508418")</f>
        <v/>
      </c>
      <c r="B302" s="2" t="n">
        <v>43229.02947916667</v>
      </c>
      <c r="C302" t="n">
        <v>1</v>
      </c>
      <c r="D302" t="n">
        <v>0</v>
      </c>
      <c r="E302" t="s">
        <v>313</v>
      </c>
      <c r="F302" t="s"/>
      <c r="G302" t="s"/>
      <c r="H302" t="s"/>
      <c r="I302" t="s"/>
      <c r="J302" t="n">
        <v>-0.1601</v>
      </c>
      <c r="K302" t="n">
        <v>0.16</v>
      </c>
      <c r="L302" t="n">
        <v>0.709</v>
      </c>
      <c r="M302" t="n">
        <v>0.131</v>
      </c>
    </row>
    <row r="303" spans="1:13">
      <c r="A303" s="1">
        <f>HYPERLINK("http://www.twitter.com/NathanBLawrence/status/994011314145161216", "994011314145161216")</f>
        <v/>
      </c>
      <c r="B303" s="2" t="n">
        <v>43229.02012731481</v>
      </c>
      <c r="C303" t="n">
        <v>1</v>
      </c>
      <c r="D303" t="n">
        <v>0</v>
      </c>
      <c r="E303" t="s">
        <v>314</v>
      </c>
      <c r="F303" t="s"/>
      <c r="G303" t="s"/>
      <c r="H303" t="s"/>
      <c r="I303" t="s"/>
      <c r="J303" t="n">
        <v>0.4404</v>
      </c>
      <c r="K303" t="n">
        <v>0</v>
      </c>
      <c r="L303" t="n">
        <v>0.58</v>
      </c>
      <c r="M303" t="n">
        <v>0.42</v>
      </c>
    </row>
    <row r="304" spans="1:13">
      <c r="A304" s="1">
        <f>HYPERLINK("http://www.twitter.com/NathanBLawrence/status/994009627724582915", "994009627724582915")</f>
        <v/>
      </c>
      <c r="B304" s="2" t="n">
        <v>43229.01547453704</v>
      </c>
      <c r="C304" t="n">
        <v>2</v>
      </c>
      <c r="D304" t="n">
        <v>2</v>
      </c>
      <c r="E304" t="s">
        <v>315</v>
      </c>
      <c r="F304" t="s"/>
      <c r="G304" t="s"/>
      <c r="H304" t="s"/>
      <c r="I304" t="s"/>
      <c r="J304" t="n">
        <v>-0.4528</v>
      </c>
      <c r="K304" t="n">
        <v>0.213</v>
      </c>
      <c r="L304" t="n">
        <v>0.696</v>
      </c>
      <c r="M304" t="n">
        <v>0.091</v>
      </c>
    </row>
    <row r="305" spans="1:13">
      <c r="A305" s="1">
        <f>HYPERLINK("http://www.twitter.com/NathanBLawrence/status/993650975163416576", "993650975163416576")</f>
        <v/>
      </c>
      <c r="B305" s="2" t="n">
        <v>43228.02578703704</v>
      </c>
      <c r="C305" t="n">
        <v>0</v>
      </c>
      <c r="D305" t="n">
        <v>9</v>
      </c>
      <c r="E305" t="s">
        <v>316</v>
      </c>
      <c r="F305" t="s"/>
      <c r="G305" t="s"/>
      <c r="H305" t="s"/>
      <c r="I305" t="s"/>
      <c r="J305" t="n">
        <v>-0.4939</v>
      </c>
      <c r="K305" t="n">
        <v>0.167</v>
      </c>
      <c r="L305" t="n">
        <v>0.833</v>
      </c>
      <c r="M305" t="n">
        <v>0</v>
      </c>
    </row>
    <row r="306" spans="1:13">
      <c r="A306" s="1">
        <f>HYPERLINK("http://www.twitter.com/NathanBLawrence/status/993650778538733568", "993650778538733568")</f>
        <v/>
      </c>
      <c r="B306" s="2" t="n">
        <v>43228.02524305556</v>
      </c>
      <c r="C306" t="n">
        <v>0</v>
      </c>
      <c r="D306" t="n">
        <v>2</v>
      </c>
      <c r="E306" t="s">
        <v>317</v>
      </c>
      <c r="F306" t="s"/>
      <c r="G306" t="s"/>
      <c r="H306" t="s"/>
      <c r="I306" t="s"/>
      <c r="J306" t="n">
        <v>-0.2732</v>
      </c>
      <c r="K306" t="n">
        <v>0.123</v>
      </c>
      <c r="L306" t="n">
        <v>0.877</v>
      </c>
      <c r="M306" t="n">
        <v>0</v>
      </c>
    </row>
    <row r="307" spans="1:13">
      <c r="A307" s="1">
        <f>HYPERLINK("http://www.twitter.com/NathanBLawrence/status/993607727694917633", "993607727694917633")</f>
        <v/>
      </c>
      <c r="B307" s="2" t="n">
        <v>43227.90644675926</v>
      </c>
      <c r="C307" t="n">
        <v>0</v>
      </c>
      <c r="D307" t="n">
        <v>104</v>
      </c>
      <c r="E307" t="s">
        <v>318</v>
      </c>
      <c r="F307" t="s"/>
      <c r="G307" t="s"/>
      <c r="H307" t="s"/>
      <c r="I307" t="s"/>
      <c r="J307" t="n">
        <v>-0.25</v>
      </c>
      <c r="K307" t="n">
        <v>0.08699999999999999</v>
      </c>
      <c r="L307" t="n">
        <v>0.913</v>
      </c>
      <c r="M307" t="n">
        <v>0</v>
      </c>
    </row>
    <row r="308" spans="1:13">
      <c r="A308" s="1">
        <f>HYPERLINK("http://www.twitter.com/NathanBLawrence/status/993607126269521921", "993607126269521921")</f>
        <v/>
      </c>
      <c r="B308" s="2" t="n">
        <v>43227.90478009259</v>
      </c>
      <c r="C308" t="n">
        <v>1</v>
      </c>
      <c r="D308" t="n">
        <v>0</v>
      </c>
      <c r="E308" t="s">
        <v>319</v>
      </c>
      <c r="F308" t="s"/>
      <c r="G308" t="s"/>
      <c r="H308" t="s"/>
      <c r="I308" t="s"/>
      <c r="J308" t="n">
        <v>0</v>
      </c>
      <c r="K308" t="n">
        <v>0</v>
      </c>
      <c r="L308" t="n">
        <v>1</v>
      </c>
      <c r="M308" t="n">
        <v>0</v>
      </c>
    </row>
    <row r="309" spans="1:13">
      <c r="A309" s="1">
        <f>HYPERLINK("http://www.twitter.com/NathanBLawrence/status/993580315183632384", "993580315183632384")</f>
        <v/>
      </c>
      <c r="B309" s="2" t="n">
        <v>43227.83079861111</v>
      </c>
      <c r="C309" t="n">
        <v>0</v>
      </c>
      <c r="D309" t="n">
        <v>57</v>
      </c>
      <c r="E309" t="s">
        <v>320</v>
      </c>
      <c r="F309" t="s"/>
      <c r="G309" t="s"/>
      <c r="H309" t="s"/>
      <c r="I309" t="s"/>
      <c r="J309" t="n">
        <v>0</v>
      </c>
      <c r="K309" t="n">
        <v>0</v>
      </c>
      <c r="L309" t="n">
        <v>1</v>
      </c>
      <c r="M309" t="n">
        <v>0</v>
      </c>
    </row>
    <row r="310" spans="1:13">
      <c r="A310" s="1">
        <f>HYPERLINK("http://www.twitter.com/NathanBLawrence/status/993579471025426432", "993579471025426432")</f>
        <v/>
      </c>
      <c r="B310" s="2" t="n">
        <v>43227.82847222222</v>
      </c>
      <c r="C310" t="n">
        <v>0</v>
      </c>
      <c r="D310" t="n">
        <v>81</v>
      </c>
      <c r="E310" t="s">
        <v>321</v>
      </c>
      <c r="F310" t="s"/>
      <c r="G310" t="s"/>
      <c r="H310" t="s"/>
      <c r="I310" t="s"/>
      <c r="J310" t="n">
        <v>-0.5266999999999999</v>
      </c>
      <c r="K310" t="n">
        <v>0.217</v>
      </c>
      <c r="L310" t="n">
        <v>0.6879999999999999</v>
      </c>
      <c r="M310" t="n">
        <v>0.094</v>
      </c>
    </row>
    <row r="311" spans="1:13">
      <c r="A311" s="1">
        <f>HYPERLINK("http://www.twitter.com/NathanBLawrence/status/993579406915522560", "993579406915522560")</f>
        <v/>
      </c>
      <c r="B311" s="2" t="n">
        <v>43227.82829861111</v>
      </c>
      <c r="C311" t="n">
        <v>0</v>
      </c>
      <c r="D311" t="n">
        <v>11</v>
      </c>
      <c r="E311" t="s">
        <v>322</v>
      </c>
      <c r="F311" t="s"/>
      <c r="G311" t="s"/>
      <c r="H311" t="s"/>
      <c r="I311" t="s"/>
      <c r="J311" t="n">
        <v>-0.3804</v>
      </c>
      <c r="K311" t="n">
        <v>0.11</v>
      </c>
      <c r="L311" t="n">
        <v>0.89</v>
      </c>
      <c r="M311" t="n">
        <v>0</v>
      </c>
    </row>
    <row r="312" spans="1:13">
      <c r="A312" s="1">
        <f>HYPERLINK("http://www.twitter.com/NathanBLawrence/status/993550172830556161", "993550172830556161")</f>
        <v/>
      </c>
      <c r="B312" s="2" t="n">
        <v>43227.74762731481</v>
      </c>
      <c r="C312" t="n">
        <v>0</v>
      </c>
      <c r="D312" t="n">
        <v>4</v>
      </c>
      <c r="E312" t="s">
        <v>323</v>
      </c>
      <c r="F312" t="s"/>
      <c r="G312" t="s"/>
      <c r="H312" t="s"/>
      <c r="I312" t="s"/>
      <c r="J312" t="n">
        <v>-0.296</v>
      </c>
      <c r="K312" t="n">
        <v>0.115</v>
      </c>
      <c r="L312" t="n">
        <v>0.885</v>
      </c>
      <c r="M312" t="n">
        <v>0</v>
      </c>
    </row>
    <row r="313" spans="1:13">
      <c r="A313" s="1">
        <f>HYPERLINK("http://www.twitter.com/NathanBLawrence/status/993550117889245184", "993550117889245184")</f>
        <v/>
      </c>
      <c r="B313" s="2" t="n">
        <v>43227.74747685185</v>
      </c>
      <c r="C313" t="n">
        <v>0</v>
      </c>
      <c r="D313" t="n">
        <v>8</v>
      </c>
      <c r="E313" t="s">
        <v>324</v>
      </c>
      <c r="F313">
        <f>HYPERLINK("http://pbs.twimg.com/media/Dch68bmU8AAizY3.jpg", "http://pbs.twimg.com/media/Dch68bmU8AAizY3.jpg")</f>
        <v/>
      </c>
      <c r="G313" t="s"/>
      <c r="H313" t="s"/>
      <c r="I313" t="s"/>
      <c r="J313" t="n">
        <v>-0.4871</v>
      </c>
      <c r="K313" t="n">
        <v>0.136</v>
      </c>
      <c r="L313" t="n">
        <v>0.864</v>
      </c>
      <c r="M313" t="n">
        <v>0</v>
      </c>
    </row>
    <row r="314" spans="1:13">
      <c r="A314" s="1">
        <f>HYPERLINK("http://www.twitter.com/NathanBLawrence/status/993549542657314816", "993549542657314816")</f>
        <v/>
      </c>
      <c r="B314" s="2" t="n">
        <v>43227.74587962963</v>
      </c>
      <c r="C314" t="n">
        <v>0</v>
      </c>
      <c r="D314" t="n">
        <v>4</v>
      </c>
      <c r="E314" t="s">
        <v>325</v>
      </c>
      <c r="F314" t="s"/>
      <c r="G314" t="s"/>
      <c r="H314" t="s"/>
      <c r="I314" t="s"/>
      <c r="J314" t="n">
        <v>0.5859</v>
      </c>
      <c r="K314" t="n">
        <v>0</v>
      </c>
      <c r="L314" t="n">
        <v>0.847</v>
      </c>
      <c r="M314" t="n">
        <v>0.153</v>
      </c>
    </row>
    <row r="315" spans="1:13">
      <c r="A315" s="1">
        <f>HYPERLINK("http://www.twitter.com/NathanBLawrence/status/993547791610900481", "993547791610900481")</f>
        <v/>
      </c>
      <c r="B315" s="2" t="n">
        <v>43227.74105324074</v>
      </c>
      <c r="C315" t="n">
        <v>0</v>
      </c>
      <c r="D315" t="n">
        <v>12</v>
      </c>
      <c r="E315" t="s">
        <v>326</v>
      </c>
      <c r="F315">
        <f>HYPERLINK("http://pbs.twimg.com/media/Dcm0Te1UwAACBNx.jpg", "http://pbs.twimg.com/media/Dcm0Te1UwAACBNx.jpg")</f>
        <v/>
      </c>
      <c r="G315" t="s"/>
      <c r="H315" t="s"/>
      <c r="I315" t="s"/>
      <c r="J315" t="n">
        <v>-0.7269</v>
      </c>
      <c r="K315" t="n">
        <v>0.276</v>
      </c>
      <c r="L315" t="n">
        <v>0.724</v>
      </c>
      <c r="M315" t="n">
        <v>0</v>
      </c>
    </row>
    <row r="316" spans="1:13">
      <c r="A316" s="1">
        <f>HYPERLINK("http://www.twitter.com/NathanBLawrence/status/993547268895793157", "993547268895793157")</f>
        <v/>
      </c>
      <c r="B316" s="2" t="n">
        <v>43227.73960648148</v>
      </c>
      <c r="C316" t="n">
        <v>0</v>
      </c>
      <c r="D316" t="n">
        <v>5</v>
      </c>
      <c r="E316" t="s">
        <v>327</v>
      </c>
      <c r="F316" t="s"/>
      <c r="G316" t="s"/>
      <c r="H316" t="s"/>
      <c r="I316" t="s"/>
      <c r="J316" t="n">
        <v>0</v>
      </c>
      <c r="K316" t="n">
        <v>0</v>
      </c>
      <c r="L316" t="n">
        <v>1</v>
      </c>
      <c r="M316" t="n">
        <v>0</v>
      </c>
    </row>
    <row r="317" spans="1:13">
      <c r="A317" s="1">
        <f>HYPERLINK("http://www.twitter.com/NathanBLawrence/status/993546861670817792", "993546861670817792")</f>
        <v/>
      </c>
      <c r="B317" s="2" t="n">
        <v>43227.7384837963</v>
      </c>
      <c r="C317" t="n">
        <v>0</v>
      </c>
      <c r="D317" t="n">
        <v>5</v>
      </c>
      <c r="E317" t="s">
        <v>328</v>
      </c>
      <c r="F317" t="s"/>
      <c r="G317" t="s"/>
      <c r="H317" t="s"/>
      <c r="I317" t="s"/>
      <c r="J317" t="n">
        <v>-0.3304</v>
      </c>
      <c r="K317" t="n">
        <v>0.14</v>
      </c>
      <c r="L317" t="n">
        <v>0.778</v>
      </c>
      <c r="M317" t="n">
        <v>0.082</v>
      </c>
    </row>
    <row r="318" spans="1:13">
      <c r="A318" s="1">
        <f>HYPERLINK("http://www.twitter.com/NathanBLawrence/status/993546637581615111", "993546637581615111")</f>
        <v/>
      </c>
      <c r="B318" s="2" t="n">
        <v>43227.73787037037</v>
      </c>
      <c r="C318" t="n">
        <v>0</v>
      </c>
      <c r="D318" t="n">
        <v>11</v>
      </c>
      <c r="E318" t="s">
        <v>329</v>
      </c>
      <c r="F318" t="s"/>
      <c r="G318" t="s"/>
      <c r="H318" t="s"/>
      <c r="I318" t="s"/>
      <c r="J318" t="n">
        <v>0</v>
      </c>
      <c r="K318" t="n">
        <v>0</v>
      </c>
      <c r="L318" t="n">
        <v>1</v>
      </c>
      <c r="M318" t="n">
        <v>0</v>
      </c>
    </row>
    <row r="319" spans="1:13">
      <c r="A319" s="1">
        <f>HYPERLINK("http://www.twitter.com/NathanBLawrence/status/993546488323170305", "993546488323170305")</f>
        <v/>
      </c>
      <c r="B319" s="2" t="n">
        <v>43227.7374537037</v>
      </c>
      <c r="C319" t="n">
        <v>0</v>
      </c>
      <c r="D319" t="n">
        <v>77</v>
      </c>
      <c r="E319" t="s">
        <v>330</v>
      </c>
      <c r="F319" t="s"/>
      <c r="G319" t="s"/>
      <c r="H319" t="s"/>
      <c r="I319" t="s"/>
      <c r="J319" t="n">
        <v>0</v>
      </c>
      <c r="K319" t="n">
        <v>0</v>
      </c>
      <c r="L319" t="n">
        <v>1</v>
      </c>
      <c r="M319" t="n">
        <v>0</v>
      </c>
    </row>
    <row r="320" spans="1:13">
      <c r="A320" s="1">
        <f>HYPERLINK("http://www.twitter.com/NathanBLawrence/status/993546193144832001", "993546193144832001")</f>
        <v/>
      </c>
      <c r="B320" s="2" t="n">
        <v>43227.73664351852</v>
      </c>
      <c r="C320" t="n">
        <v>0</v>
      </c>
      <c r="D320" t="n">
        <v>157</v>
      </c>
      <c r="E320" t="s">
        <v>331</v>
      </c>
      <c r="F320" t="s"/>
      <c r="G320" t="s"/>
      <c r="H320" t="s"/>
      <c r="I320" t="s"/>
      <c r="J320" t="n">
        <v>-0.1779</v>
      </c>
      <c r="K320" t="n">
        <v>0.147</v>
      </c>
      <c r="L320" t="n">
        <v>0.736</v>
      </c>
      <c r="M320" t="n">
        <v>0.117</v>
      </c>
    </row>
    <row r="321" spans="1:13">
      <c r="A321" s="1">
        <f>HYPERLINK("http://www.twitter.com/NathanBLawrence/status/993546108604420097", "993546108604420097")</f>
        <v/>
      </c>
      <c r="B321" s="2" t="n">
        <v>43227.73641203704</v>
      </c>
      <c r="C321" t="n">
        <v>3</v>
      </c>
      <c r="D321" t="n">
        <v>2</v>
      </c>
      <c r="E321" t="s">
        <v>332</v>
      </c>
      <c r="F321" t="s"/>
      <c r="G321" t="s"/>
      <c r="H321" t="s"/>
      <c r="I321" t="s"/>
      <c r="J321" t="n">
        <v>0</v>
      </c>
      <c r="K321" t="n">
        <v>0</v>
      </c>
      <c r="L321" t="n">
        <v>1</v>
      </c>
      <c r="M321" t="n">
        <v>0</v>
      </c>
    </row>
    <row r="322" spans="1:13">
      <c r="A322" s="1">
        <f>HYPERLINK("http://www.twitter.com/NathanBLawrence/status/993521429693042690", "993521429693042690")</f>
        <v/>
      </c>
      <c r="B322" s="2" t="n">
        <v>43227.66831018519</v>
      </c>
      <c r="C322" t="n">
        <v>0</v>
      </c>
      <c r="D322" t="n">
        <v>672</v>
      </c>
      <c r="E322" t="s">
        <v>333</v>
      </c>
      <c r="F322" t="s"/>
      <c r="G322" t="s"/>
      <c r="H322" t="s"/>
      <c r="I322" t="s"/>
      <c r="J322" t="n">
        <v>-0.765</v>
      </c>
      <c r="K322" t="n">
        <v>0.248</v>
      </c>
      <c r="L322" t="n">
        <v>0.752</v>
      </c>
      <c r="M322" t="n">
        <v>0</v>
      </c>
    </row>
    <row r="323" spans="1:13">
      <c r="A323" s="1">
        <f>HYPERLINK("http://www.twitter.com/NathanBLawrence/status/993504194979082240", "993504194979082240")</f>
        <v/>
      </c>
      <c r="B323" s="2" t="n">
        <v>43227.62075231481</v>
      </c>
      <c r="C323" t="n">
        <v>0</v>
      </c>
      <c r="D323" t="n">
        <v>7</v>
      </c>
      <c r="E323" t="s">
        <v>334</v>
      </c>
      <c r="F323">
        <f>HYPERLINK("http://pbs.twimg.com/media/DcmXPO-V0AEn9uD.jpg", "http://pbs.twimg.com/media/DcmXPO-V0AEn9uD.jpg")</f>
        <v/>
      </c>
      <c r="G323" t="s"/>
      <c r="H323" t="s"/>
      <c r="I323" t="s"/>
      <c r="J323" t="n">
        <v>0.4939</v>
      </c>
      <c r="K323" t="n">
        <v>0</v>
      </c>
      <c r="L323" t="n">
        <v>0.849</v>
      </c>
      <c r="M323" t="n">
        <v>0.151</v>
      </c>
    </row>
    <row r="324" spans="1:13">
      <c r="A324" s="1">
        <f>HYPERLINK("http://www.twitter.com/NathanBLawrence/status/993503369242308608", "993503369242308608")</f>
        <v/>
      </c>
      <c r="B324" s="2" t="n">
        <v>43227.61847222222</v>
      </c>
      <c r="C324" t="n">
        <v>0</v>
      </c>
      <c r="D324" t="n">
        <v>7</v>
      </c>
      <c r="E324" t="s">
        <v>335</v>
      </c>
      <c r="F324">
        <f>HYPERLINK("http://pbs.twimg.com/media/Dchar1dVwAA8P8d.jpg", "http://pbs.twimg.com/media/Dchar1dVwAA8P8d.jpg")</f>
        <v/>
      </c>
      <c r="G324" t="s"/>
      <c r="H324" t="s"/>
      <c r="I324" t="s"/>
      <c r="J324" t="n">
        <v>0.6466</v>
      </c>
      <c r="K324" t="n">
        <v>0</v>
      </c>
      <c r="L324" t="n">
        <v>0.8129999999999999</v>
      </c>
      <c r="M324" t="n">
        <v>0.187</v>
      </c>
    </row>
    <row r="325" spans="1:13">
      <c r="A325" s="1">
        <f>HYPERLINK("http://www.twitter.com/NathanBLawrence/status/993502872175370240", "993502872175370240")</f>
        <v/>
      </c>
      <c r="B325" s="2" t="n">
        <v>43227.61709490741</v>
      </c>
      <c r="C325" t="n">
        <v>0</v>
      </c>
      <c r="D325" t="n">
        <v>21</v>
      </c>
      <c r="E325" t="s">
        <v>336</v>
      </c>
      <c r="F325">
        <f>HYPERLINK("http://pbs.twimg.com/media/Dci2Y-3WAAEIP2w.jpg", "http://pbs.twimg.com/media/Dci2Y-3WAAEIP2w.jpg")</f>
        <v/>
      </c>
      <c r="G325" t="s"/>
      <c r="H325" t="s"/>
      <c r="I325" t="s"/>
      <c r="J325" t="n">
        <v>0.3182</v>
      </c>
      <c r="K325" t="n">
        <v>0.079</v>
      </c>
      <c r="L325" t="n">
        <v>0.758</v>
      </c>
      <c r="M325" t="n">
        <v>0.162</v>
      </c>
    </row>
    <row r="326" spans="1:13">
      <c r="A326" s="1">
        <f>HYPERLINK("http://www.twitter.com/NathanBLawrence/status/993502470553919488", "993502470553919488")</f>
        <v/>
      </c>
      <c r="B326" s="2" t="n">
        <v>43227.61599537037</v>
      </c>
      <c r="C326" t="n">
        <v>0</v>
      </c>
      <c r="D326" t="n">
        <v>7</v>
      </c>
      <c r="E326" t="s">
        <v>337</v>
      </c>
      <c r="F326">
        <f>HYPERLINK("http://pbs.twimg.com/media/DcjRY5-XcAA9At-.jpg", "http://pbs.twimg.com/media/DcjRY5-XcAA9At-.jpg")</f>
        <v/>
      </c>
      <c r="G326">
        <f>HYPERLINK("http://pbs.twimg.com/media/DcjRZDPWkAU8FrO.jpg", "http://pbs.twimg.com/media/DcjRZDPWkAU8FrO.jpg")</f>
        <v/>
      </c>
      <c r="H326">
        <f>HYPERLINK("http://pbs.twimg.com/media/DcjRZLfWsAE-mvM.jpg", "http://pbs.twimg.com/media/DcjRZLfWsAE-mvM.jpg")</f>
        <v/>
      </c>
      <c r="I326">
        <f>HYPERLINK("http://pbs.twimg.com/media/DcjRZUZW0AA9MOw.jpg", "http://pbs.twimg.com/media/DcjRZUZW0AA9MOw.jpg")</f>
        <v/>
      </c>
      <c r="J326" t="n">
        <v>-0.8038</v>
      </c>
      <c r="K326" t="n">
        <v>0.247</v>
      </c>
      <c r="L326" t="n">
        <v>0.753</v>
      </c>
      <c r="M326" t="n">
        <v>0</v>
      </c>
    </row>
    <row r="327" spans="1:13">
      <c r="A327" s="1">
        <f>HYPERLINK("http://www.twitter.com/NathanBLawrence/status/993502378312830977", "993502378312830977")</f>
        <v/>
      </c>
      <c r="B327" s="2" t="n">
        <v>43227.61574074074</v>
      </c>
      <c r="C327" t="n">
        <v>0</v>
      </c>
      <c r="D327" t="n">
        <v>2</v>
      </c>
      <c r="E327" t="s">
        <v>338</v>
      </c>
      <c r="F327">
        <f>HYPERLINK("http://pbs.twimg.com/media/Dcl8DQPV4AIH7ba.jpg", "http://pbs.twimg.com/media/Dcl8DQPV4AIH7ba.jpg")</f>
        <v/>
      </c>
      <c r="G327" t="s"/>
      <c r="H327" t="s"/>
      <c r="I327" t="s"/>
      <c r="J327" t="n">
        <v>0</v>
      </c>
      <c r="K327" t="n">
        <v>0</v>
      </c>
      <c r="L327" t="n">
        <v>1</v>
      </c>
      <c r="M327" t="n">
        <v>0</v>
      </c>
    </row>
    <row r="328" spans="1:13">
      <c r="A328" s="1">
        <f>HYPERLINK("http://www.twitter.com/NathanBLawrence/status/993502222020501504", "993502222020501504")</f>
        <v/>
      </c>
      <c r="B328" s="2" t="n">
        <v>43227.61530092593</v>
      </c>
      <c r="C328" t="n">
        <v>0</v>
      </c>
      <c r="D328" t="n">
        <v>3</v>
      </c>
      <c r="E328" t="s">
        <v>339</v>
      </c>
      <c r="F328">
        <f>HYPERLINK("http://pbs.twimg.com/media/Dcl8TpcV0AA8AKg.jpg", "http://pbs.twimg.com/media/Dcl8TpcV0AA8AKg.jpg")</f>
        <v/>
      </c>
      <c r="G328" t="s"/>
      <c r="H328" t="s"/>
      <c r="I328" t="s"/>
      <c r="J328" t="n">
        <v>0</v>
      </c>
      <c r="K328" t="n">
        <v>0</v>
      </c>
      <c r="L328" t="n">
        <v>1</v>
      </c>
      <c r="M328" t="n">
        <v>0</v>
      </c>
    </row>
    <row r="329" spans="1:13">
      <c r="A329" s="1">
        <f>HYPERLINK("http://www.twitter.com/NathanBLawrence/status/993502164428492800", "993502164428492800")</f>
        <v/>
      </c>
      <c r="B329" s="2" t="n">
        <v>43227.61515046296</v>
      </c>
      <c r="C329" t="n">
        <v>0</v>
      </c>
      <c r="D329" t="n">
        <v>4</v>
      </c>
      <c r="E329" t="s">
        <v>340</v>
      </c>
      <c r="F329">
        <f>HYPERLINK("http://pbs.twimg.com/media/DcmEAPzUwAESPfE.jpg", "http://pbs.twimg.com/media/DcmEAPzUwAESPfE.jpg")</f>
        <v/>
      </c>
      <c r="G329" t="s"/>
      <c r="H329" t="s"/>
      <c r="I329" t="s"/>
      <c r="J329" t="n">
        <v>0</v>
      </c>
      <c r="K329" t="n">
        <v>0</v>
      </c>
      <c r="L329" t="n">
        <v>1</v>
      </c>
      <c r="M329" t="n">
        <v>0</v>
      </c>
    </row>
    <row r="330" spans="1:13">
      <c r="A330" s="1">
        <f>HYPERLINK("http://www.twitter.com/NathanBLawrence/status/993502129116631040", "993502129116631040")</f>
        <v/>
      </c>
      <c r="B330" s="2" t="n">
        <v>43227.6150462963</v>
      </c>
      <c r="C330" t="n">
        <v>0</v>
      </c>
      <c r="D330" t="n">
        <v>13</v>
      </c>
      <c r="E330" t="s">
        <v>341</v>
      </c>
      <c r="F330">
        <f>HYPERLINK("http://pbs.twimg.com/media/DcmFJ-pV4AA8wNJ.jpg", "http://pbs.twimg.com/media/DcmFJ-pV4AA8wNJ.jpg")</f>
        <v/>
      </c>
      <c r="G330" t="s"/>
      <c r="H330" t="s"/>
      <c r="I330" t="s"/>
      <c r="J330" t="n">
        <v>-0.7783</v>
      </c>
      <c r="K330" t="n">
        <v>0.317</v>
      </c>
      <c r="L330" t="n">
        <v>0.6830000000000001</v>
      </c>
      <c r="M330" t="n">
        <v>0</v>
      </c>
    </row>
    <row r="331" spans="1:13">
      <c r="A331" s="1">
        <f>HYPERLINK("http://www.twitter.com/NathanBLawrence/status/993502073521090561", "993502073521090561")</f>
        <v/>
      </c>
      <c r="B331" s="2" t="n">
        <v>43227.61489583334</v>
      </c>
      <c r="C331" t="n">
        <v>0</v>
      </c>
      <c r="D331" t="n">
        <v>2</v>
      </c>
      <c r="E331" t="s">
        <v>342</v>
      </c>
      <c r="F331">
        <f>HYPERLINK("http://pbs.twimg.com/media/Dcl7u9NVQAA46HS.jpg", "http://pbs.twimg.com/media/Dcl7u9NVQAA46HS.jpg")</f>
        <v/>
      </c>
      <c r="G331" t="s"/>
      <c r="H331" t="s"/>
      <c r="I331" t="s"/>
      <c r="J331" t="n">
        <v>0</v>
      </c>
      <c r="K331" t="n">
        <v>0</v>
      </c>
      <c r="L331" t="n">
        <v>1</v>
      </c>
      <c r="M331" t="n">
        <v>0</v>
      </c>
    </row>
    <row r="332" spans="1:13">
      <c r="A332" s="1">
        <f>HYPERLINK("http://www.twitter.com/NathanBLawrence/status/993501971930808322", "993501971930808322")</f>
        <v/>
      </c>
      <c r="B332" s="2" t="n">
        <v>43227.61461805556</v>
      </c>
      <c r="C332" t="n">
        <v>0</v>
      </c>
      <c r="D332" t="n">
        <v>15</v>
      </c>
      <c r="E332" t="s">
        <v>343</v>
      </c>
      <c r="F332">
        <f>HYPERLINK("http://pbs.twimg.com/media/DcmLm5LU8AIr2bi.jpg", "http://pbs.twimg.com/media/DcmLm5LU8AIr2bi.jpg")</f>
        <v/>
      </c>
      <c r="G332" t="s"/>
      <c r="H332" t="s"/>
      <c r="I332" t="s"/>
      <c r="J332" t="n">
        <v>0.4648</v>
      </c>
      <c r="K332" t="n">
        <v>0</v>
      </c>
      <c r="L332" t="n">
        <v>0.879</v>
      </c>
      <c r="M332" t="n">
        <v>0.121</v>
      </c>
    </row>
    <row r="333" spans="1:13">
      <c r="A333" s="1">
        <f>HYPERLINK("http://www.twitter.com/NathanBLawrence/status/993501261709434880", "993501261709434880")</f>
        <v/>
      </c>
      <c r="B333" s="2" t="n">
        <v>43227.61265046296</v>
      </c>
      <c r="C333" t="n">
        <v>0</v>
      </c>
      <c r="D333" t="n">
        <v>24</v>
      </c>
      <c r="E333" t="s">
        <v>344</v>
      </c>
      <c r="F333" t="s"/>
      <c r="G333" t="s"/>
      <c r="H333" t="s"/>
      <c r="I333" t="s"/>
      <c r="J333" t="n">
        <v>0</v>
      </c>
      <c r="K333" t="n">
        <v>0</v>
      </c>
      <c r="L333" t="n">
        <v>1</v>
      </c>
      <c r="M333" t="n">
        <v>0</v>
      </c>
    </row>
    <row r="334" spans="1:13">
      <c r="A334" s="1">
        <f>HYPERLINK("http://www.twitter.com/NathanBLawrence/status/993496505846784000", "993496505846784000")</f>
        <v/>
      </c>
      <c r="B334" s="2" t="n">
        <v>43227.59952546296</v>
      </c>
      <c r="C334" t="n">
        <v>0</v>
      </c>
      <c r="D334" t="n">
        <v>1</v>
      </c>
      <c r="E334" t="s">
        <v>345</v>
      </c>
      <c r="F334">
        <f>HYPERLINK("http://pbs.twimg.com/media/DcmbQ8iVQAAhvwj.jpg", "http://pbs.twimg.com/media/DcmbQ8iVQAAhvwj.jpg")</f>
        <v/>
      </c>
      <c r="G334" t="s"/>
      <c r="H334" t="s"/>
      <c r="I334" t="s"/>
      <c r="J334" t="n">
        <v>0</v>
      </c>
      <c r="K334" t="n">
        <v>0</v>
      </c>
      <c r="L334" t="n">
        <v>1</v>
      </c>
      <c r="M334" t="n">
        <v>0</v>
      </c>
    </row>
    <row r="335" spans="1:13">
      <c r="A335" s="1">
        <f>HYPERLINK("http://www.twitter.com/NathanBLawrence/status/993496065423921153", "993496065423921153")</f>
        <v/>
      </c>
      <c r="B335" s="2" t="n">
        <v>43227.59831018518</v>
      </c>
      <c r="C335" t="n">
        <v>0</v>
      </c>
      <c r="D335" t="n">
        <v>29</v>
      </c>
      <c r="E335" t="s">
        <v>346</v>
      </c>
      <c r="F335" t="s"/>
      <c r="G335" t="s"/>
      <c r="H335" t="s"/>
      <c r="I335" t="s"/>
      <c r="J335" t="n">
        <v>0.2023</v>
      </c>
      <c r="K335" t="n">
        <v>0.08400000000000001</v>
      </c>
      <c r="L335" t="n">
        <v>0.796</v>
      </c>
      <c r="M335" t="n">
        <v>0.119</v>
      </c>
    </row>
    <row r="336" spans="1:13">
      <c r="A336" s="1">
        <f>HYPERLINK("http://www.twitter.com/NathanBLawrence/status/993257364244623360", "993257364244623360")</f>
        <v/>
      </c>
      <c r="B336" s="2" t="n">
        <v>43226.93962962963</v>
      </c>
      <c r="C336" t="n">
        <v>0</v>
      </c>
      <c r="D336" t="n">
        <v>12</v>
      </c>
      <c r="E336" t="s">
        <v>347</v>
      </c>
      <c r="F336" t="s"/>
      <c r="G336" t="s"/>
      <c r="H336" t="s"/>
      <c r="I336" t="s"/>
      <c r="J336" t="n">
        <v>0</v>
      </c>
      <c r="K336" t="n">
        <v>0</v>
      </c>
      <c r="L336" t="n">
        <v>1</v>
      </c>
      <c r="M336" t="n">
        <v>0</v>
      </c>
    </row>
    <row r="337" spans="1:13">
      <c r="A337" s="1">
        <f>HYPERLINK("http://www.twitter.com/NathanBLawrence/status/993257202872922112", "993257202872922112")</f>
        <v/>
      </c>
      <c r="B337" s="2" t="n">
        <v>43226.93917824074</v>
      </c>
      <c r="C337" t="n">
        <v>0</v>
      </c>
      <c r="D337" t="n">
        <v>9</v>
      </c>
      <c r="E337" t="s">
        <v>348</v>
      </c>
      <c r="F337" t="s"/>
      <c r="G337" t="s"/>
      <c r="H337" t="s"/>
      <c r="I337" t="s"/>
      <c r="J337" t="n">
        <v>-0.2732</v>
      </c>
      <c r="K337" t="n">
        <v>0.08400000000000001</v>
      </c>
      <c r="L337" t="n">
        <v>0.916</v>
      </c>
      <c r="M337" t="n">
        <v>0</v>
      </c>
    </row>
    <row r="338" spans="1:13">
      <c r="A338" s="1">
        <f>HYPERLINK("http://www.twitter.com/NathanBLawrence/status/993210335321608194", "993210335321608194")</f>
        <v/>
      </c>
      <c r="B338" s="2" t="n">
        <v>43226.80984953704</v>
      </c>
      <c r="C338" t="n">
        <v>0</v>
      </c>
      <c r="D338" t="n">
        <v>42</v>
      </c>
      <c r="E338" t="s">
        <v>349</v>
      </c>
      <c r="F338" t="s"/>
      <c r="G338" t="s"/>
      <c r="H338" t="s"/>
      <c r="I338" t="s"/>
      <c r="J338" t="n">
        <v>0.3182</v>
      </c>
      <c r="K338" t="n">
        <v>0.089</v>
      </c>
      <c r="L338" t="n">
        <v>0.766</v>
      </c>
      <c r="M338" t="n">
        <v>0.145</v>
      </c>
    </row>
    <row r="339" spans="1:13">
      <c r="A339" s="1">
        <f>HYPERLINK("http://www.twitter.com/NathanBLawrence/status/993210221370728448", "993210221370728448")</f>
        <v/>
      </c>
      <c r="B339" s="2" t="n">
        <v>43226.80953703704</v>
      </c>
      <c r="C339" t="n">
        <v>0</v>
      </c>
      <c r="D339" t="n">
        <v>25</v>
      </c>
      <c r="E339" t="s">
        <v>350</v>
      </c>
      <c r="F339" t="s"/>
      <c r="G339" t="s"/>
      <c r="H339" t="s"/>
      <c r="I339" t="s"/>
      <c r="J339" t="n">
        <v>0</v>
      </c>
      <c r="K339" t="n">
        <v>0</v>
      </c>
      <c r="L339" t="n">
        <v>1</v>
      </c>
      <c r="M339" t="n">
        <v>0</v>
      </c>
    </row>
    <row r="340" spans="1:13">
      <c r="A340" s="1">
        <f>HYPERLINK("http://www.twitter.com/NathanBLawrence/status/993210162453282827", "993210162453282827")</f>
        <v/>
      </c>
      <c r="B340" s="2" t="n">
        <v>43226.809375</v>
      </c>
      <c r="C340" t="n">
        <v>0</v>
      </c>
      <c r="D340" t="n">
        <v>39</v>
      </c>
      <c r="E340" t="s">
        <v>351</v>
      </c>
      <c r="F340" t="s"/>
      <c r="G340" t="s"/>
      <c r="H340" t="s"/>
      <c r="I340" t="s"/>
      <c r="J340" t="n">
        <v>0</v>
      </c>
      <c r="K340" t="n">
        <v>0</v>
      </c>
      <c r="L340" t="n">
        <v>1</v>
      </c>
      <c r="M340" t="n">
        <v>0</v>
      </c>
    </row>
    <row r="341" spans="1:13">
      <c r="A341" s="1">
        <f>HYPERLINK("http://www.twitter.com/NathanBLawrence/status/993209925273899008", "993209925273899008")</f>
        <v/>
      </c>
      <c r="B341" s="2" t="n">
        <v>43226.80871527778</v>
      </c>
      <c r="C341" t="n">
        <v>0</v>
      </c>
      <c r="D341" t="n">
        <v>205</v>
      </c>
      <c r="E341" t="s">
        <v>352</v>
      </c>
      <c r="F341" t="s"/>
      <c r="G341" t="s"/>
      <c r="H341" t="s"/>
      <c r="I341" t="s"/>
      <c r="J341" t="n">
        <v>-0.4357</v>
      </c>
      <c r="K341" t="n">
        <v>0.131</v>
      </c>
      <c r="L341" t="n">
        <v>0.869</v>
      </c>
      <c r="M341" t="n">
        <v>0</v>
      </c>
    </row>
    <row r="342" spans="1:13">
      <c r="A342" s="1">
        <f>HYPERLINK("http://www.twitter.com/NathanBLawrence/status/993140219238146049", "993140219238146049")</f>
        <v/>
      </c>
      <c r="B342" s="2" t="n">
        <v>43226.61636574074</v>
      </c>
      <c r="C342" t="n">
        <v>0</v>
      </c>
      <c r="D342" t="n">
        <v>6</v>
      </c>
      <c r="E342" t="s">
        <v>353</v>
      </c>
      <c r="F342" t="s"/>
      <c r="G342" t="s"/>
      <c r="H342" t="s"/>
      <c r="I342" t="s"/>
      <c r="J342" t="n">
        <v>-0.705</v>
      </c>
      <c r="K342" t="n">
        <v>0.246</v>
      </c>
      <c r="L342" t="n">
        <v>0.754</v>
      </c>
      <c r="M342" t="n">
        <v>0</v>
      </c>
    </row>
    <row r="343" spans="1:13">
      <c r="A343" s="1">
        <f>HYPERLINK("http://www.twitter.com/NathanBLawrence/status/993138219670757377", "993138219670757377")</f>
        <v/>
      </c>
      <c r="B343" s="2" t="n">
        <v>43226.61084490741</v>
      </c>
      <c r="C343" t="n">
        <v>0</v>
      </c>
      <c r="D343" t="n">
        <v>2210</v>
      </c>
      <c r="E343" t="s">
        <v>354</v>
      </c>
      <c r="F343" t="s"/>
      <c r="G343" t="s"/>
      <c r="H343" t="s"/>
      <c r="I343" t="s"/>
      <c r="J343" t="n">
        <v>0</v>
      </c>
      <c r="K343" t="n">
        <v>0</v>
      </c>
      <c r="L343" t="n">
        <v>1</v>
      </c>
      <c r="M343" t="n">
        <v>0</v>
      </c>
    </row>
    <row r="344" spans="1:13">
      <c r="A344" s="1">
        <f>HYPERLINK("http://www.twitter.com/NathanBLawrence/status/992996831046045696", "992996831046045696")</f>
        <v/>
      </c>
      <c r="B344" s="2" t="n">
        <v>43226.22069444445</v>
      </c>
      <c r="C344" t="n">
        <v>0</v>
      </c>
      <c r="D344" t="n">
        <v>25</v>
      </c>
      <c r="E344" t="s">
        <v>346</v>
      </c>
      <c r="F344" t="s"/>
      <c r="G344" t="s"/>
      <c r="H344" t="s"/>
      <c r="I344" t="s"/>
      <c r="J344" t="n">
        <v>0.2023</v>
      </c>
      <c r="K344" t="n">
        <v>0.08400000000000001</v>
      </c>
      <c r="L344" t="n">
        <v>0.796</v>
      </c>
      <c r="M344" t="n">
        <v>0.119</v>
      </c>
    </row>
    <row r="345" spans="1:13">
      <c r="A345" s="1">
        <f>HYPERLINK("http://www.twitter.com/NathanBLawrence/status/992921588663308288", "992921588663308288")</f>
        <v/>
      </c>
      <c r="B345" s="2" t="n">
        <v>43226.01305555556</v>
      </c>
      <c r="C345" t="n">
        <v>0</v>
      </c>
      <c r="D345" t="n">
        <v>14</v>
      </c>
      <c r="E345" t="s">
        <v>355</v>
      </c>
      <c r="F345" t="s"/>
      <c r="G345" t="s"/>
      <c r="H345" t="s"/>
      <c r="I345" t="s"/>
      <c r="J345" t="n">
        <v>-0.5255</v>
      </c>
      <c r="K345" t="n">
        <v>0.159</v>
      </c>
      <c r="L345" t="n">
        <v>0.841</v>
      </c>
      <c r="M345" t="n">
        <v>0</v>
      </c>
    </row>
    <row r="346" spans="1:13">
      <c r="A346" s="1">
        <f>HYPERLINK("http://www.twitter.com/NathanBLawrence/status/992920881675546626", "992920881675546626")</f>
        <v/>
      </c>
      <c r="B346" s="2" t="n">
        <v>43226.01111111111</v>
      </c>
      <c r="C346" t="n">
        <v>0</v>
      </c>
      <c r="D346" t="n">
        <v>3</v>
      </c>
      <c r="E346" t="s">
        <v>356</v>
      </c>
      <c r="F346" t="s"/>
      <c r="G346" t="s"/>
      <c r="H346" t="s"/>
      <c r="I346" t="s"/>
      <c r="J346" t="n">
        <v>-0.3182</v>
      </c>
      <c r="K346" t="n">
        <v>0.108</v>
      </c>
      <c r="L346" t="n">
        <v>0.892</v>
      </c>
      <c r="M346" t="n">
        <v>0</v>
      </c>
    </row>
    <row r="347" spans="1:13">
      <c r="A347" s="1">
        <f>HYPERLINK("http://www.twitter.com/NathanBLawrence/status/992818464065773568", "992818464065773568")</f>
        <v/>
      </c>
      <c r="B347" s="2" t="n">
        <v>43225.72849537037</v>
      </c>
      <c r="C347" t="n">
        <v>0</v>
      </c>
      <c r="D347" t="n">
        <v>1</v>
      </c>
      <c r="E347" t="s">
        <v>357</v>
      </c>
      <c r="F347" t="s"/>
      <c r="G347" t="s"/>
      <c r="H347" t="s"/>
      <c r="I347" t="s"/>
      <c r="J347" t="n">
        <v>-0.2732</v>
      </c>
      <c r="K347" t="n">
        <v>0.123</v>
      </c>
      <c r="L347" t="n">
        <v>0.877</v>
      </c>
      <c r="M347" t="n">
        <v>0</v>
      </c>
    </row>
    <row r="348" spans="1:13">
      <c r="A348" s="1">
        <f>HYPERLINK("http://www.twitter.com/NathanBLawrence/status/992817210065342464", "992817210065342464")</f>
        <v/>
      </c>
      <c r="B348" s="2" t="n">
        <v>43225.72503472222</v>
      </c>
      <c r="C348" t="n">
        <v>0</v>
      </c>
      <c r="D348" t="n">
        <v>9</v>
      </c>
      <c r="E348" t="s">
        <v>358</v>
      </c>
      <c r="F348" t="s"/>
      <c r="G348" t="s"/>
      <c r="H348" t="s"/>
      <c r="I348" t="s"/>
      <c r="J348" t="n">
        <v>-0.4003</v>
      </c>
      <c r="K348" t="n">
        <v>0.147</v>
      </c>
      <c r="L348" t="n">
        <v>0.784</v>
      </c>
      <c r="M348" t="n">
        <v>0.06900000000000001</v>
      </c>
    </row>
    <row r="349" spans="1:13">
      <c r="A349" s="1">
        <f>HYPERLINK("http://www.twitter.com/NathanBLawrence/status/992814509571092480", "992814509571092480")</f>
        <v/>
      </c>
      <c r="B349" s="2" t="n">
        <v>43225.71758101852</v>
      </c>
      <c r="C349" t="n">
        <v>0</v>
      </c>
      <c r="D349" t="n">
        <v>54</v>
      </c>
      <c r="E349" t="s">
        <v>359</v>
      </c>
      <c r="F349" t="s"/>
      <c r="G349" t="s"/>
      <c r="H349" t="s"/>
      <c r="I349" t="s"/>
      <c r="J349" t="n">
        <v>0</v>
      </c>
      <c r="K349" t="n">
        <v>0</v>
      </c>
      <c r="L349" t="n">
        <v>1</v>
      </c>
      <c r="M349" t="n">
        <v>0</v>
      </c>
    </row>
    <row r="350" spans="1:13">
      <c r="A350" s="1">
        <f>HYPERLINK("http://www.twitter.com/NathanBLawrence/status/992551786547433475", "992551786547433475")</f>
        <v/>
      </c>
      <c r="B350" s="2" t="n">
        <v>43224.99260416667</v>
      </c>
      <c r="C350" t="n">
        <v>0</v>
      </c>
      <c r="D350" t="n">
        <v>9</v>
      </c>
      <c r="E350" t="s">
        <v>360</v>
      </c>
      <c r="F350">
        <f>HYPERLINK("http://pbs.twimg.com/media/DcORrpIWkAAGgOO.jpg", "http://pbs.twimg.com/media/DcORrpIWkAAGgOO.jpg")</f>
        <v/>
      </c>
      <c r="G350">
        <f>HYPERLINK("http://pbs.twimg.com/media/DcORrpGWAAEb0BL.jpg", "http://pbs.twimg.com/media/DcORrpGWAAEb0BL.jpg")</f>
        <v/>
      </c>
      <c r="H350" t="s"/>
      <c r="I350" t="s"/>
      <c r="J350" t="n">
        <v>0</v>
      </c>
      <c r="K350" t="n">
        <v>0</v>
      </c>
      <c r="L350" t="n">
        <v>1</v>
      </c>
      <c r="M350" t="n">
        <v>0</v>
      </c>
    </row>
    <row r="351" spans="1:13">
      <c r="A351" s="1">
        <f>HYPERLINK("http://www.twitter.com/NathanBLawrence/status/992551749515923457", "992551749515923457")</f>
        <v/>
      </c>
      <c r="B351" s="2" t="n">
        <v>43224.9925</v>
      </c>
      <c r="C351" t="n">
        <v>0</v>
      </c>
      <c r="D351" t="n">
        <v>5</v>
      </c>
      <c r="E351" t="s">
        <v>361</v>
      </c>
      <c r="F351" t="s"/>
      <c r="G351" t="s"/>
      <c r="H351" t="s"/>
      <c r="I351" t="s"/>
      <c r="J351" t="n">
        <v>-0.4215</v>
      </c>
      <c r="K351" t="n">
        <v>0.109</v>
      </c>
      <c r="L351" t="n">
        <v>0.891</v>
      </c>
      <c r="M351" t="n">
        <v>0</v>
      </c>
    </row>
    <row r="352" spans="1:13">
      <c r="A352" s="1">
        <f>HYPERLINK("http://www.twitter.com/NathanBLawrence/status/992551692435640322", "992551692435640322")</f>
        <v/>
      </c>
      <c r="B352" s="2" t="n">
        <v>43224.99233796296</v>
      </c>
      <c r="C352" t="n">
        <v>0</v>
      </c>
      <c r="D352" t="n">
        <v>7</v>
      </c>
      <c r="E352" t="s">
        <v>362</v>
      </c>
      <c r="F352" t="s"/>
      <c r="G352" t="s"/>
      <c r="H352" t="s"/>
      <c r="I352" t="s"/>
      <c r="J352" t="n">
        <v>0</v>
      </c>
      <c r="K352" t="n">
        <v>0</v>
      </c>
      <c r="L352" t="n">
        <v>1</v>
      </c>
      <c r="M352" t="n">
        <v>0</v>
      </c>
    </row>
    <row r="353" spans="1:13">
      <c r="A353" s="1">
        <f>HYPERLINK("http://www.twitter.com/NathanBLawrence/status/992551439603044352", "992551439603044352")</f>
        <v/>
      </c>
      <c r="B353" s="2" t="n">
        <v>43224.99164351852</v>
      </c>
      <c r="C353" t="n">
        <v>0</v>
      </c>
      <c r="D353" t="n">
        <v>39</v>
      </c>
      <c r="E353" t="s">
        <v>363</v>
      </c>
      <c r="F353" t="s"/>
      <c r="G353" t="s"/>
      <c r="H353" t="s"/>
      <c r="I353" t="s"/>
      <c r="J353" t="n">
        <v>0.25</v>
      </c>
      <c r="K353" t="n">
        <v>0</v>
      </c>
      <c r="L353" t="n">
        <v>0.87</v>
      </c>
      <c r="M353" t="n">
        <v>0.13</v>
      </c>
    </row>
    <row r="354" spans="1:13">
      <c r="A354" s="1">
        <f>HYPERLINK("http://www.twitter.com/NathanBLawrence/status/992551392492642304", "992551392492642304")</f>
        <v/>
      </c>
      <c r="B354" s="2" t="n">
        <v>43224.99151620371</v>
      </c>
      <c r="C354" t="n">
        <v>0</v>
      </c>
      <c r="D354" t="n">
        <v>18</v>
      </c>
      <c r="E354" t="s">
        <v>364</v>
      </c>
      <c r="F354" t="s"/>
      <c r="G354" t="s"/>
      <c r="H354" t="s"/>
      <c r="I354" t="s"/>
      <c r="J354" t="n">
        <v>0.3182</v>
      </c>
      <c r="K354" t="n">
        <v>0.093</v>
      </c>
      <c r="L354" t="n">
        <v>0.711</v>
      </c>
      <c r="M354" t="n">
        <v>0.196</v>
      </c>
    </row>
    <row r="355" spans="1:13">
      <c r="A355" s="1">
        <f>HYPERLINK("http://www.twitter.com/NathanBLawrence/status/992551281364557824", "992551281364557824")</f>
        <v/>
      </c>
      <c r="B355" s="2" t="n">
        <v>43224.99120370371</v>
      </c>
      <c r="C355" t="n">
        <v>0</v>
      </c>
      <c r="D355" t="n">
        <v>24</v>
      </c>
      <c r="E355" t="s">
        <v>365</v>
      </c>
      <c r="F355" t="s"/>
      <c r="G355" t="s"/>
      <c r="H355" t="s"/>
      <c r="I355" t="s"/>
      <c r="J355" t="n">
        <v>0.2023</v>
      </c>
      <c r="K355" t="n">
        <v>0.081</v>
      </c>
      <c r="L355" t="n">
        <v>0.769</v>
      </c>
      <c r="M355" t="n">
        <v>0.15</v>
      </c>
    </row>
    <row r="356" spans="1:13">
      <c r="A356" s="1">
        <f>HYPERLINK("http://www.twitter.com/NathanBLawrence/status/992453437676834817", "992453437676834817")</f>
        <v/>
      </c>
      <c r="B356" s="2" t="n">
        <v>43224.72121527778</v>
      </c>
      <c r="C356" t="n">
        <v>0</v>
      </c>
      <c r="D356" t="n">
        <v>777</v>
      </c>
      <c r="E356" t="s">
        <v>366</v>
      </c>
      <c r="F356" t="s"/>
      <c r="G356" t="s"/>
      <c r="H356" t="s"/>
      <c r="I356" t="s"/>
      <c r="J356" t="n">
        <v>0.6249</v>
      </c>
      <c r="K356" t="n">
        <v>0</v>
      </c>
      <c r="L356" t="n">
        <v>0.819</v>
      </c>
      <c r="M356" t="n">
        <v>0.181</v>
      </c>
    </row>
    <row r="357" spans="1:13">
      <c r="A357" s="1">
        <f>HYPERLINK("http://www.twitter.com/NathanBLawrence/status/992450237787725824", "992450237787725824")</f>
        <v/>
      </c>
      <c r="B357" s="2" t="n">
        <v>43224.71238425926</v>
      </c>
      <c r="C357" t="n">
        <v>0</v>
      </c>
      <c r="D357" t="n">
        <v>9</v>
      </c>
      <c r="E357" t="s">
        <v>367</v>
      </c>
      <c r="F357" t="s"/>
      <c r="G357" t="s"/>
      <c r="H357" t="s"/>
      <c r="I357" t="s"/>
      <c r="J357" t="n">
        <v>0.0772</v>
      </c>
      <c r="K357" t="n">
        <v>0.082</v>
      </c>
      <c r="L357" t="n">
        <v>0.824</v>
      </c>
      <c r="M357" t="n">
        <v>0.094</v>
      </c>
    </row>
    <row r="358" spans="1:13">
      <c r="A358" s="1">
        <f>HYPERLINK("http://www.twitter.com/NathanBLawrence/status/992446420257996801", "992446420257996801")</f>
        <v/>
      </c>
      <c r="B358" s="2" t="n">
        <v>43224.70185185185</v>
      </c>
      <c r="C358" t="n">
        <v>0</v>
      </c>
      <c r="D358" t="n">
        <v>1246</v>
      </c>
      <c r="E358" t="s">
        <v>368</v>
      </c>
      <c r="F358">
        <f>HYPERLINK("http://pbs.twimg.com/media/DcXWF7wWAAA-s3J.jpg", "http://pbs.twimg.com/media/DcXWF7wWAAA-s3J.jpg")</f>
        <v/>
      </c>
      <c r="G358" t="s"/>
      <c r="H358" t="s"/>
      <c r="I358" t="s"/>
      <c r="J358" t="n">
        <v>-0.3818</v>
      </c>
      <c r="K358" t="n">
        <v>0.106</v>
      </c>
      <c r="L358" t="n">
        <v>0.894</v>
      </c>
      <c r="M358" t="n">
        <v>0</v>
      </c>
    </row>
    <row r="359" spans="1:13">
      <c r="A359" s="1">
        <f>HYPERLINK("http://www.twitter.com/NathanBLawrence/status/992400661009633280", "992400661009633280")</f>
        <v/>
      </c>
      <c r="B359" s="2" t="n">
        <v>43224.57557870371</v>
      </c>
      <c r="C359" t="n">
        <v>0</v>
      </c>
      <c r="D359" t="n">
        <v>30</v>
      </c>
      <c r="E359" t="s">
        <v>369</v>
      </c>
      <c r="F359" t="s"/>
      <c r="G359" t="s"/>
      <c r="H359" t="s"/>
      <c r="I359" t="s"/>
      <c r="J359" t="n">
        <v>-0.6115</v>
      </c>
      <c r="K359" t="n">
        <v>0.16</v>
      </c>
      <c r="L359" t="n">
        <v>0.84</v>
      </c>
      <c r="M359" t="n">
        <v>0</v>
      </c>
    </row>
    <row r="360" spans="1:13">
      <c r="A360" s="1">
        <f>HYPERLINK("http://www.twitter.com/NathanBLawrence/status/992100050921811969", "992100050921811969")</f>
        <v/>
      </c>
      <c r="B360" s="2" t="n">
        <v>43223.74605324074</v>
      </c>
      <c r="C360" t="n">
        <v>0</v>
      </c>
      <c r="D360" t="n">
        <v>2545</v>
      </c>
      <c r="E360" t="s">
        <v>370</v>
      </c>
      <c r="F360" t="s"/>
      <c r="G360" t="s"/>
      <c r="H360" t="s"/>
      <c r="I360" t="s"/>
      <c r="J360" t="n">
        <v>-0.5266999999999999</v>
      </c>
      <c r="K360" t="n">
        <v>0.169</v>
      </c>
      <c r="L360" t="n">
        <v>0.752</v>
      </c>
      <c r="M360" t="n">
        <v>0.079</v>
      </c>
    </row>
    <row r="361" spans="1:13">
      <c r="A361" s="1">
        <f>HYPERLINK("http://www.twitter.com/NathanBLawrence/status/992099707282436096", "992099707282436096")</f>
        <v/>
      </c>
      <c r="B361" s="2" t="n">
        <v>43223.74510416666</v>
      </c>
      <c r="C361" t="n">
        <v>0</v>
      </c>
      <c r="D361" t="n">
        <v>1</v>
      </c>
      <c r="E361" t="s">
        <v>371</v>
      </c>
      <c r="F361" t="s"/>
      <c r="G361" t="s"/>
      <c r="H361" t="s"/>
      <c r="I361" t="s"/>
      <c r="J361" t="n">
        <v>0</v>
      </c>
      <c r="K361" t="n">
        <v>0</v>
      </c>
      <c r="L361" t="n">
        <v>1</v>
      </c>
      <c r="M361" t="n">
        <v>0</v>
      </c>
    </row>
    <row r="362" spans="1:13">
      <c r="A362" s="1">
        <f>HYPERLINK("http://www.twitter.com/NathanBLawrence/status/992081779975774209", "992081779975774209")</f>
        <v/>
      </c>
      <c r="B362" s="2" t="n">
        <v>43223.695625</v>
      </c>
      <c r="C362" t="n">
        <v>0</v>
      </c>
      <c r="D362" t="n">
        <v>13</v>
      </c>
      <c r="E362" t="s">
        <v>372</v>
      </c>
      <c r="F362" t="s"/>
      <c r="G362" t="s"/>
      <c r="H362" t="s"/>
      <c r="I362" t="s"/>
      <c r="J362" t="n">
        <v>0.7579</v>
      </c>
      <c r="K362" t="n">
        <v>0.055</v>
      </c>
      <c r="L362" t="n">
        <v>0.6909999999999999</v>
      </c>
      <c r="M362" t="n">
        <v>0.255</v>
      </c>
    </row>
    <row r="363" spans="1:13">
      <c r="A363" s="1">
        <f>HYPERLINK("http://www.twitter.com/NathanBLawrence/status/992081040364785664", "992081040364785664")</f>
        <v/>
      </c>
      <c r="B363" s="2" t="n">
        <v>43223.69358796296</v>
      </c>
      <c r="C363" t="n">
        <v>0</v>
      </c>
      <c r="D363" t="n">
        <v>1</v>
      </c>
      <c r="E363" t="s">
        <v>373</v>
      </c>
      <c r="F363" t="s"/>
      <c r="G363" t="s"/>
      <c r="H363" t="s"/>
      <c r="I363" t="s"/>
      <c r="J363" t="n">
        <v>-0.0258</v>
      </c>
      <c r="K363" t="n">
        <v>0.078</v>
      </c>
      <c r="L363" t="n">
        <v>0.848</v>
      </c>
      <c r="M363" t="n">
        <v>0.074</v>
      </c>
    </row>
    <row r="364" spans="1:13">
      <c r="A364" s="1">
        <f>HYPERLINK("http://www.twitter.com/NathanBLawrence/status/992080980075798528", "992080980075798528")</f>
        <v/>
      </c>
      <c r="B364" s="2" t="n">
        <v>43223.69342592593</v>
      </c>
      <c r="C364" t="n">
        <v>0</v>
      </c>
      <c r="D364" t="n">
        <v>8</v>
      </c>
      <c r="E364" t="s">
        <v>374</v>
      </c>
      <c r="F364" t="s"/>
      <c r="G364" t="s"/>
      <c r="H364" t="s"/>
      <c r="I364" t="s"/>
      <c r="J364" t="n">
        <v>0.9199000000000001</v>
      </c>
      <c r="K364" t="n">
        <v>0.081</v>
      </c>
      <c r="L364" t="n">
        <v>0.448</v>
      </c>
      <c r="M364" t="n">
        <v>0.471</v>
      </c>
    </row>
    <row r="365" spans="1:13">
      <c r="A365" s="1">
        <f>HYPERLINK("http://www.twitter.com/NathanBLawrence/status/992080902657314817", "992080902657314817")</f>
        <v/>
      </c>
      <c r="B365" s="2" t="n">
        <v>43223.69320601852</v>
      </c>
      <c r="C365" t="n">
        <v>0</v>
      </c>
      <c r="D365" t="n">
        <v>15</v>
      </c>
      <c r="E365" t="s">
        <v>375</v>
      </c>
      <c r="F365" t="s"/>
      <c r="G365" t="s"/>
      <c r="H365" t="s"/>
      <c r="I365" t="s"/>
      <c r="J365" t="n">
        <v>0</v>
      </c>
      <c r="K365" t="n">
        <v>0</v>
      </c>
      <c r="L365" t="n">
        <v>1</v>
      </c>
      <c r="M365" t="n">
        <v>0</v>
      </c>
    </row>
    <row r="366" spans="1:13">
      <c r="A366" s="1">
        <f>HYPERLINK("http://www.twitter.com/NathanBLawrence/status/992079957043138560", "992079957043138560")</f>
        <v/>
      </c>
      <c r="B366" s="2" t="n">
        <v>43223.69060185185</v>
      </c>
      <c r="C366" t="n">
        <v>0</v>
      </c>
      <c r="D366" t="n">
        <v>65</v>
      </c>
      <c r="E366" t="s">
        <v>376</v>
      </c>
      <c r="F366" t="s"/>
      <c r="G366" t="s"/>
      <c r="H366" t="s"/>
      <c r="I366" t="s"/>
      <c r="J366" t="n">
        <v>-0.7778</v>
      </c>
      <c r="K366" t="n">
        <v>0.286</v>
      </c>
      <c r="L366" t="n">
        <v>0.714</v>
      </c>
      <c r="M366" t="n">
        <v>0</v>
      </c>
    </row>
    <row r="367" spans="1:13">
      <c r="A367" s="1">
        <f>HYPERLINK("http://www.twitter.com/NathanBLawrence/status/992068513820012546", "992068513820012546")</f>
        <v/>
      </c>
      <c r="B367" s="2" t="n">
        <v>43223.65902777778</v>
      </c>
      <c r="C367" t="n">
        <v>0</v>
      </c>
      <c r="D367" t="n">
        <v>5</v>
      </c>
      <c r="E367" t="s">
        <v>377</v>
      </c>
      <c r="F367" t="s"/>
      <c r="G367" t="s"/>
      <c r="H367" t="s"/>
      <c r="I367" t="s"/>
      <c r="J367" t="n">
        <v>0</v>
      </c>
      <c r="K367" t="n">
        <v>0</v>
      </c>
      <c r="L367" t="n">
        <v>1</v>
      </c>
      <c r="M367" t="n">
        <v>0</v>
      </c>
    </row>
    <row r="368" spans="1:13">
      <c r="A368" s="1">
        <f>HYPERLINK("http://www.twitter.com/NathanBLawrence/status/992065183773265920", "992065183773265920")</f>
        <v/>
      </c>
      <c r="B368" s="2" t="n">
        <v>43223.64983796296</v>
      </c>
      <c r="C368" t="n">
        <v>0</v>
      </c>
      <c r="D368" t="n">
        <v>15</v>
      </c>
      <c r="E368" t="s">
        <v>378</v>
      </c>
      <c r="F368">
        <f>HYPERLINK("http://pbs.twimg.com/media/DcN1JPTW4AAcYeF.jpg", "http://pbs.twimg.com/media/DcN1JPTW4AAcYeF.jpg")</f>
        <v/>
      </c>
      <c r="G368" t="s"/>
      <c r="H368" t="s"/>
      <c r="I368" t="s"/>
      <c r="J368" t="n">
        <v>-0.1027</v>
      </c>
      <c r="K368" t="n">
        <v>0.062</v>
      </c>
      <c r="L368" t="n">
        <v>0.9379999999999999</v>
      </c>
      <c r="M368" t="n">
        <v>0</v>
      </c>
    </row>
    <row r="369" spans="1:13">
      <c r="A369" s="1">
        <f>HYPERLINK("http://www.twitter.com/NathanBLawrence/status/991898842592247808", "991898842592247808")</f>
        <v/>
      </c>
      <c r="B369" s="2" t="n">
        <v>43223.19082175926</v>
      </c>
      <c r="C369" t="n">
        <v>0</v>
      </c>
      <c r="D369" t="n">
        <v>3</v>
      </c>
      <c r="E369" t="s">
        <v>379</v>
      </c>
      <c r="F369">
        <f>HYPERLINK("http://pbs.twimg.com/media/DcPQGdKVMAADJ2u.jpg", "http://pbs.twimg.com/media/DcPQGdKVMAADJ2u.jpg")</f>
        <v/>
      </c>
      <c r="G369" t="s"/>
      <c r="H369" t="s"/>
      <c r="I369" t="s"/>
      <c r="J369" t="n">
        <v>0</v>
      </c>
      <c r="K369" t="n">
        <v>0</v>
      </c>
      <c r="L369" t="n">
        <v>1</v>
      </c>
      <c r="M369" t="n">
        <v>0</v>
      </c>
    </row>
    <row r="370" spans="1:13">
      <c r="A370" s="1">
        <f>HYPERLINK("http://www.twitter.com/NathanBLawrence/status/991898744311427079", "991898744311427079")</f>
        <v/>
      </c>
      <c r="B370" s="2" t="n">
        <v>43223.19054398148</v>
      </c>
      <c r="C370" t="n">
        <v>0</v>
      </c>
      <c r="D370" t="n">
        <v>1</v>
      </c>
      <c r="E370" t="s">
        <v>380</v>
      </c>
      <c r="F370" t="s"/>
      <c r="G370" t="s"/>
      <c r="H370" t="s"/>
      <c r="I370" t="s"/>
      <c r="J370" t="n">
        <v>0</v>
      </c>
      <c r="K370" t="n">
        <v>0</v>
      </c>
      <c r="L370" t="n">
        <v>1</v>
      </c>
      <c r="M370" t="n">
        <v>0</v>
      </c>
    </row>
    <row r="371" spans="1:13">
      <c r="A371" s="1">
        <f>HYPERLINK("http://www.twitter.com/NathanBLawrence/status/991892029008314369", "991892029008314369")</f>
        <v/>
      </c>
      <c r="B371" s="2" t="n">
        <v>43223.17201388889</v>
      </c>
      <c r="C371" t="n">
        <v>0</v>
      </c>
      <c r="D371" t="n">
        <v>4</v>
      </c>
      <c r="E371" t="s">
        <v>381</v>
      </c>
      <c r="F371" t="s"/>
      <c r="G371" t="s"/>
      <c r="H371" t="s"/>
      <c r="I371" t="s"/>
      <c r="J371" t="n">
        <v>0.8993</v>
      </c>
      <c r="K371" t="n">
        <v>0</v>
      </c>
      <c r="L371" t="n">
        <v>0.539</v>
      </c>
      <c r="M371" t="n">
        <v>0.461</v>
      </c>
    </row>
    <row r="372" spans="1:13">
      <c r="A372" s="1">
        <f>HYPERLINK("http://www.twitter.com/NathanBLawrence/status/991891901174300673", "991891901174300673")</f>
        <v/>
      </c>
      <c r="B372" s="2" t="n">
        <v>43223.17166666667</v>
      </c>
      <c r="C372" t="n">
        <v>0</v>
      </c>
      <c r="D372" t="n">
        <v>1</v>
      </c>
      <c r="E372" t="s">
        <v>382</v>
      </c>
      <c r="F372">
        <f>HYPERLINK("http://pbs.twimg.com/media/DcPkt-9W4AAMG9t.jpg", "http://pbs.twimg.com/media/DcPkt-9W4AAMG9t.jpg")</f>
        <v/>
      </c>
      <c r="G372" t="s"/>
      <c r="H372" t="s"/>
      <c r="I372" t="s"/>
      <c r="J372" t="n">
        <v>0</v>
      </c>
      <c r="K372" t="n">
        <v>0</v>
      </c>
      <c r="L372" t="n">
        <v>1</v>
      </c>
      <c r="M372" t="n">
        <v>0</v>
      </c>
    </row>
    <row r="373" spans="1:13">
      <c r="A373" s="1">
        <f>HYPERLINK("http://www.twitter.com/NathanBLawrence/status/991890097996886017", "991890097996886017")</f>
        <v/>
      </c>
      <c r="B373" s="2" t="n">
        <v>43223.16668981482</v>
      </c>
      <c r="C373" t="n">
        <v>0</v>
      </c>
      <c r="D373" t="n">
        <v>7</v>
      </c>
      <c r="E373" t="s">
        <v>383</v>
      </c>
      <c r="F373" t="s"/>
      <c r="G373" t="s"/>
      <c r="H373" t="s"/>
      <c r="I373" t="s"/>
      <c r="J373" t="n">
        <v>0.4019</v>
      </c>
      <c r="K373" t="n">
        <v>0</v>
      </c>
      <c r="L373" t="n">
        <v>0.863</v>
      </c>
      <c r="M373" t="n">
        <v>0.137</v>
      </c>
    </row>
    <row r="374" spans="1:13">
      <c r="A374" s="1">
        <f>HYPERLINK("http://www.twitter.com/NathanBLawrence/status/991890073187700736", "991890073187700736")</f>
        <v/>
      </c>
      <c r="B374" s="2" t="n">
        <v>43223.16662037037</v>
      </c>
      <c r="C374" t="n">
        <v>0</v>
      </c>
      <c r="D374" t="n">
        <v>10</v>
      </c>
      <c r="E374" t="s">
        <v>384</v>
      </c>
      <c r="F374" t="s"/>
      <c r="G374" t="s"/>
      <c r="H374" t="s"/>
      <c r="I374" t="s"/>
      <c r="J374" t="n">
        <v>0</v>
      </c>
      <c r="K374" t="n">
        <v>0</v>
      </c>
      <c r="L374" t="n">
        <v>1</v>
      </c>
      <c r="M374" t="n">
        <v>0</v>
      </c>
    </row>
    <row r="375" spans="1:13">
      <c r="A375" s="1">
        <f>HYPERLINK("http://www.twitter.com/NathanBLawrence/status/991881295029587968", "991881295029587968")</f>
        <v/>
      </c>
      <c r="B375" s="2" t="n">
        <v>43223.14239583333</v>
      </c>
      <c r="C375" t="n">
        <v>0</v>
      </c>
      <c r="D375" t="n">
        <v>10</v>
      </c>
      <c r="E375" t="s">
        <v>385</v>
      </c>
      <c r="F375">
        <f>HYPERLINK("http://pbs.twimg.com/media/DcMAnIGU0AAGaLM.jpg", "http://pbs.twimg.com/media/DcMAnIGU0AAGaLM.jpg")</f>
        <v/>
      </c>
      <c r="G375" t="s"/>
      <c r="H375" t="s"/>
      <c r="I375" t="s"/>
      <c r="J375" t="n">
        <v>0.5106000000000001</v>
      </c>
      <c r="K375" t="n">
        <v>0</v>
      </c>
      <c r="L375" t="n">
        <v>0.845</v>
      </c>
      <c r="M375" t="n">
        <v>0.155</v>
      </c>
    </row>
    <row r="376" spans="1:13">
      <c r="A376" s="1">
        <f>HYPERLINK("http://www.twitter.com/NathanBLawrence/status/991851228006174720", "991851228006174720")</f>
        <v/>
      </c>
      <c r="B376" s="2" t="n">
        <v>43223.05943287037</v>
      </c>
      <c r="C376" t="n">
        <v>0</v>
      </c>
      <c r="D376" t="n">
        <v>9</v>
      </c>
      <c r="E376" t="s">
        <v>386</v>
      </c>
      <c r="F376" t="s"/>
      <c r="G376" t="s"/>
      <c r="H376" t="s"/>
      <c r="I376" t="s"/>
      <c r="J376" t="n">
        <v>0</v>
      </c>
      <c r="K376" t="n">
        <v>0</v>
      </c>
      <c r="L376" t="n">
        <v>1</v>
      </c>
      <c r="M376" t="n">
        <v>0</v>
      </c>
    </row>
    <row r="377" spans="1:13">
      <c r="A377" s="1">
        <f>HYPERLINK("http://www.twitter.com/NathanBLawrence/status/991845837390008320", "991845837390008320")</f>
        <v/>
      </c>
      <c r="B377" s="2" t="n">
        <v>43223.04454861111</v>
      </c>
      <c r="C377" t="n">
        <v>0</v>
      </c>
      <c r="D377" t="n">
        <v>4</v>
      </c>
      <c r="E377" t="s">
        <v>387</v>
      </c>
      <c r="F377" t="s"/>
      <c r="G377" t="s"/>
      <c r="H377" t="s"/>
      <c r="I377" t="s"/>
      <c r="J377" t="n">
        <v>0.3182</v>
      </c>
      <c r="K377" t="n">
        <v>0</v>
      </c>
      <c r="L377" t="n">
        <v>0.909</v>
      </c>
      <c r="M377" t="n">
        <v>0.091</v>
      </c>
    </row>
    <row r="378" spans="1:13">
      <c r="A378" s="1">
        <f>HYPERLINK("http://www.twitter.com/NathanBLawrence/status/991845411689238529", "991845411689238529")</f>
        <v/>
      </c>
      <c r="B378" s="2" t="n">
        <v>43223.04337962963</v>
      </c>
      <c r="C378" t="n">
        <v>0</v>
      </c>
      <c r="D378" t="n">
        <v>4</v>
      </c>
      <c r="E378" t="s">
        <v>388</v>
      </c>
      <c r="F378" t="s"/>
      <c r="G378" t="s"/>
      <c r="H378" t="s"/>
      <c r="I378" t="s"/>
      <c r="J378" t="n">
        <v>0.0464</v>
      </c>
      <c r="K378" t="n">
        <v>0.153</v>
      </c>
      <c r="L378" t="n">
        <v>0.724</v>
      </c>
      <c r="M378" t="n">
        <v>0.123</v>
      </c>
    </row>
    <row r="379" spans="1:13">
      <c r="A379" s="1">
        <f>HYPERLINK("http://www.twitter.com/NathanBLawrence/status/991840662466187264", "991840662466187264")</f>
        <v/>
      </c>
      <c r="B379" s="2" t="n">
        <v>43223.03027777778</v>
      </c>
      <c r="C379" t="n">
        <v>0</v>
      </c>
      <c r="D379" t="n">
        <v>14</v>
      </c>
      <c r="E379" t="s">
        <v>389</v>
      </c>
      <c r="F379" t="s"/>
      <c r="G379" t="s"/>
      <c r="H379" t="s"/>
      <c r="I379" t="s"/>
      <c r="J379" t="n">
        <v>-0.7315</v>
      </c>
      <c r="K379" t="n">
        <v>0.23</v>
      </c>
      <c r="L379" t="n">
        <v>0.77</v>
      </c>
      <c r="M379" t="n">
        <v>0</v>
      </c>
    </row>
    <row r="380" spans="1:13">
      <c r="A380" s="1">
        <f>HYPERLINK("http://www.twitter.com/NathanBLawrence/status/991840568690036736", "991840568690036736")</f>
        <v/>
      </c>
      <c r="B380" s="2" t="n">
        <v>43223.03001157408</v>
      </c>
      <c r="C380" t="n">
        <v>0</v>
      </c>
      <c r="D380" t="n">
        <v>1</v>
      </c>
      <c r="E380" t="s">
        <v>390</v>
      </c>
      <c r="F380" t="s"/>
      <c r="G380" t="s"/>
      <c r="H380" t="s"/>
      <c r="I380" t="s"/>
      <c r="J380" t="n">
        <v>0.5563</v>
      </c>
      <c r="K380" t="n">
        <v>0</v>
      </c>
      <c r="L380" t="n">
        <v>0.86</v>
      </c>
      <c r="M380" t="n">
        <v>0.14</v>
      </c>
    </row>
    <row r="381" spans="1:13">
      <c r="A381" s="1">
        <f>HYPERLINK("http://www.twitter.com/NathanBLawrence/status/991840347398508545", "991840347398508545")</f>
        <v/>
      </c>
      <c r="B381" s="2" t="n">
        <v>43223.02939814814</v>
      </c>
      <c r="C381" t="n">
        <v>0</v>
      </c>
      <c r="D381" t="n">
        <v>11</v>
      </c>
      <c r="E381" t="s">
        <v>391</v>
      </c>
      <c r="F381" t="s"/>
      <c r="G381" t="s"/>
      <c r="H381" t="s"/>
      <c r="I381" t="s"/>
      <c r="J381" t="n">
        <v>0</v>
      </c>
      <c r="K381" t="n">
        <v>0</v>
      </c>
      <c r="L381" t="n">
        <v>1</v>
      </c>
      <c r="M381" t="n">
        <v>0</v>
      </c>
    </row>
    <row r="382" spans="1:13">
      <c r="A382" s="1">
        <f>HYPERLINK("http://www.twitter.com/NathanBLawrence/status/991840245737025536", "991840245737025536")</f>
        <v/>
      </c>
      <c r="B382" s="2" t="n">
        <v>43223.02912037037</v>
      </c>
      <c r="C382" t="n">
        <v>0</v>
      </c>
      <c r="D382" t="n">
        <v>7</v>
      </c>
      <c r="E382" t="s">
        <v>392</v>
      </c>
      <c r="F382" t="s"/>
      <c r="G382" t="s"/>
      <c r="H382" t="s"/>
      <c r="I382" t="s"/>
      <c r="J382" t="n">
        <v>0.2732</v>
      </c>
      <c r="K382" t="n">
        <v>0</v>
      </c>
      <c r="L382" t="n">
        <v>0.89</v>
      </c>
      <c r="M382" t="n">
        <v>0.11</v>
      </c>
    </row>
    <row r="383" spans="1:13">
      <c r="A383" s="1">
        <f>HYPERLINK("http://www.twitter.com/NathanBLawrence/status/991826702568476672", "991826702568476672")</f>
        <v/>
      </c>
      <c r="B383" s="2" t="n">
        <v>43222.99174768518</v>
      </c>
      <c r="C383" t="n">
        <v>2</v>
      </c>
      <c r="D383" t="n">
        <v>0</v>
      </c>
      <c r="E383" t="s">
        <v>393</v>
      </c>
      <c r="F383" t="s"/>
      <c r="G383" t="s"/>
      <c r="H383" t="s"/>
      <c r="I383" t="s"/>
      <c r="J383" t="n">
        <v>0.6588000000000001</v>
      </c>
      <c r="K383" t="n">
        <v>0</v>
      </c>
      <c r="L383" t="n">
        <v>0.477</v>
      </c>
      <c r="M383" t="n">
        <v>0.523</v>
      </c>
    </row>
    <row r="384" spans="1:13">
      <c r="A384" s="1">
        <f>HYPERLINK("http://www.twitter.com/NathanBLawrence/status/991826514437197825", "991826514437197825")</f>
        <v/>
      </c>
      <c r="B384" s="2" t="n">
        <v>43222.99122685185</v>
      </c>
      <c r="C384" t="n">
        <v>0</v>
      </c>
      <c r="D384" t="n">
        <v>3</v>
      </c>
      <c r="E384" t="s">
        <v>394</v>
      </c>
      <c r="F384" t="s"/>
      <c r="G384" t="s"/>
      <c r="H384" t="s"/>
      <c r="I384" t="s"/>
      <c r="J384" t="n">
        <v>-0.3049</v>
      </c>
      <c r="K384" t="n">
        <v>0.111</v>
      </c>
      <c r="L384" t="n">
        <v>0.889</v>
      </c>
      <c r="M384" t="n">
        <v>0</v>
      </c>
    </row>
    <row r="385" spans="1:13">
      <c r="A385" s="1">
        <f>HYPERLINK("http://www.twitter.com/NathanBLawrence/status/991822370993254400", "991822370993254400")</f>
        <v/>
      </c>
      <c r="B385" s="2" t="n">
        <v>43222.97980324074</v>
      </c>
      <c r="C385" t="n">
        <v>0</v>
      </c>
      <c r="D385" t="n">
        <v>11</v>
      </c>
      <c r="E385" t="s">
        <v>395</v>
      </c>
      <c r="F385" t="s"/>
      <c r="G385" t="s"/>
      <c r="H385" t="s"/>
      <c r="I385" t="s"/>
      <c r="J385" t="n">
        <v>0</v>
      </c>
      <c r="K385" t="n">
        <v>0</v>
      </c>
      <c r="L385" t="n">
        <v>1</v>
      </c>
      <c r="M385" t="n">
        <v>0</v>
      </c>
    </row>
    <row r="386" spans="1:13">
      <c r="A386" s="1">
        <f>HYPERLINK("http://www.twitter.com/NathanBLawrence/status/991822330778169345", "991822330778169345")</f>
        <v/>
      </c>
      <c r="B386" s="2" t="n">
        <v>43222.9796875</v>
      </c>
      <c r="C386" t="n">
        <v>0</v>
      </c>
      <c r="D386" t="n">
        <v>16</v>
      </c>
      <c r="E386" t="s">
        <v>395</v>
      </c>
      <c r="F386" t="s"/>
      <c r="G386" t="s"/>
      <c r="H386" t="s"/>
      <c r="I386" t="s"/>
      <c r="J386" t="n">
        <v>0</v>
      </c>
      <c r="K386" t="n">
        <v>0</v>
      </c>
      <c r="L386" t="n">
        <v>1</v>
      </c>
      <c r="M386" t="n">
        <v>0</v>
      </c>
    </row>
    <row r="387" spans="1:13">
      <c r="A387" s="1">
        <f>HYPERLINK("http://www.twitter.com/NathanBLawrence/status/991822308187787264", "991822308187787264")</f>
        <v/>
      </c>
      <c r="B387" s="2" t="n">
        <v>43222.97962962963</v>
      </c>
      <c r="C387" t="n">
        <v>0</v>
      </c>
      <c r="D387" t="n">
        <v>12</v>
      </c>
      <c r="E387" t="s">
        <v>395</v>
      </c>
      <c r="F387" t="s"/>
      <c r="G387" t="s"/>
      <c r="H387" t="s"/>
      <c r="I387" t="s"/>
      <c r="J387" t="n">
        <v>0</v>
      </c>
      <c r="K387" t="n">
        <v>0</v>
      </c>
      <c r="L387" t="n">
        <v>1</v>
      </c>
      <c r="M387" t="n">
        <v>0</v>
      </c>
    </row>
    <row r="388" spans="1:13">
      <c r="A388" s="1">
        <f>HYPERLINK("http://www.twitter.com/NathanBLawrence/status/991822260347527169", "991822260347527169")</f>
        <v/>
      </c>
      <c r="B388" s="2" t="n">
        <v>43222.97949074074</v>
      </c>
      <c r="C388" t="n">
        <v>0</v>
      </c>
      <c r="D388" t="n">
        <v>14</v>
      </c>
      <c r="E388" t="s">
        <v>396</v>
      </c>
      <c r="F388">
        <f>HYPERLINK("http://pbs.twimg.com/media/DcM6E7fV4AAHmBA.jpg", "http://pbs.twimg.com/media/DcM6E7fV4AAHmBA.jpg")</f>
        <v/>
      </c>
      <c r="G388">
        <f>HYPERLINK("http://pbs.twimg.com/media/DcM6E7hVAAA_Pvj.jpg", "http://pbs.twimg.com/media/DcM6E7hVAAA_Pvj.jpg")</f>
        <v/>
      </c>
      <c r="H388">
        <f>HYPERLINK("http://pbs.twimg.com/media/DcM6E7gU0AASsJ3.jpg", "http://pbs.twimg.com/media/DcM6E7gU0AASsJ3.jpg")</f>
        <v/>
      </c>
      <c r="I388">
        <f>HYPERLINK("http://pbs.twimg.com/media/DcM6E7iVMAAj9vu.jpg", "http://pbs.twimg.com/media/DcM6E7iVMAAj9vu.jpg")</f>
        <v/>
      </c>
      <c r="J388" t="n">
        <v>-0.8038</v>
      </c>
      <c r="K388" t="n">
        <v>0.256</v>
      </c>
      <c r="L388" t="n">
        <v>0.744</v>
      </c>
      <c r="M388" t="n">
        <v>0</v>
      </c>
    </row>
    <row r="389" spans="1:13">
      <c r="A389" s="1">
        <f>HYPERLINK("http://www.twitter.com/NathanBLawrence/status/991822228479205376", "991822228479205376")</f>
        <v/>
      </c>
      <c r="B389" s="2" t="n">
        <v>43222.97940972223</v>
      </c>
      <c r="C389" t="n">
        <v>0</v>
      </c>
      <c r="D389" t="n">
        <v>10</v>
      </c>
      <c r="E389" t="s">
        <v>397</v>
      </c>
      <c r="F389" t="s"/>
      <c r="G389" t="s"/>
      <c r="H389" t="s"/>
      <c r="I389" t="s"/>
      <c r="J389" t="n">
        <v>0</v>
      </c>
      <c r="K389" t="n">
        <v>0</v>
      </c>
      <c r="L389" t="n">
        <v>1</v>
      </c>
      <c r="M389" t="n">
        <v>0</v>
      </c>
    </row>
    <row r="390" spans="1:13">
      <c r="A390" s="1">
        <f>HYPERLINK("http://www.twitter.com/NathanBLawrence/status/991821891823374342", "991821891823374342")</f>
        <v/>
      </c>
      <c r="B390" s="2" t="n">
        <v>43222.97847222222</v>
      </c>
      <c r="C390" t="n">
        <v>0</v>
      </c>
      <c r="D390" t="n">
        <v>14</v>
      </c>
      <c r="E390" t="s">
        <v>398</v>
      </c>
      <c r="F390" t="s"/>
      <c r="G390" t="s"/>
      <c r="H390" t="s"/>
      <c r="I390" t="s"/>
      <c r="J390" t="n">
        <v>0</v>
      </c>
      <c r="K390" t="n">
        <v>0</v>
      </c>
      <c r="L390" t="n">
        <v>1</v>
      </c>
      <c r="M390" t="n">
        <v>0</v>
      </c>
    </row>
    <row r="391" spans="1:13">
      <c r="A391" s="1">
        <f>HYPERLINK("http://www.twitter.com/NathanBLawrence/status/991819455318634500", "991819455318634500")</f>
        <v/>
      </c>
      <c r="B391" s="2" t="n">
        <v>43222.97174768519</v>
      </c>
      <c r="C391" t="n">
        <v>0</v>
      </c>
      <c r="D391" t="n">
        <v>12</v>
      </c>
      <c r="E391" t="s">
        <v>399</v>
      </c>
      <c r="F391">
        <f>HYPERLINK("http://pbs.twimg.com/media/DcOOikbXcAIW1Eb.jpg", "http://pbs.twimg.com/media/DcOOikbXcAIW1Eb.jpg")</f>
        <v/>
      </c>
      <c r="G391" t="s"/>
      <c r="H391" t="s"/>
      <c r="I391" t="s"/>
      <c r="J391" t="n">
        <v>0.296</v>
      </c>
      <c r="K391" t="n">
        <v>0.077</v>
      </c>
      <c r="L391" t="n">
        <v>0.804</v>
      </c>
      <c r="M391" t="n">
        <v>0.119</v>
      </c>
    </row>
    <row r="392" spans="1:13">
      <c r="A392" s="1">
        <f>HYPERLINK("http://www.twitter.com/NathanBLawrence/status/991819404240408576", "991819404240408576")</f>
        <v/>
      </c>
      <c r="B392" s="2" t="n">
        <v>43222.9716087963</v>
      </c>
      <c r="C392" t="n">
        <v>0</v>
      </c>
      <c r="D392" t="n">
        <v>11</v>
      </c>
      <c r="E392" t="s">
        <v>400</v>
      </c>
      <c r="F392">
        <f>HYPERLINK("http://pbs.twimg.com/media/DcOLL2iWsAEF6hQ.jpg", "http://pbs.twimg.com/media/DcOLL2iWsAEF6hQ.jpg")</f>
        <v/>
      </c>
      <c r="G392" t="s"/>
      <c r="H392" t="s"/>
      <c r="I392" t="s"/>
      <c r="J392" t="n">
        <v>0.2263</v>
      </c>
      <c r="K392" t="n">
        <v>0</v>
      </c>
      <c r="L392" t="n">
        <v>0.917</v>
      </c>
      <c r="M392" t="n">
        <v>0.083</v>
      </c>
    </row>
    <row r="393" spans="1:13">
      <c r="A393" s="1">
        <f>HYPERLINK("http://www.twitter.com/NathanBLawrence/status/991819337496440832", "991819337496440832")</f>
        <v/>
      </c>
      <c r="B393" s="2" t="n">
        <v>43222.97142361111</v>
      </c>
      <c r="C393" t="n">
        <v>0</v>
      </c>
      <c r="D393" t="n">
        <v>13</v>
      </c>
      <c r="E393" t="s">
        <v>401</v>
      </c>
      <c r="F393">
        <f>HYPERLINK("http://pbs.twimg.com/media/DcOJY_wXkAYiiLj.jpg", "http://pbs.twimg.com/media/DcOJY_wXkAYiiLj.jpg")</f>
        <v/>
      </c>
      <c r="G393" t="s"/>
      <c r="H393" t="s"/>
      <c r="I393" t="s"/>
      <c r="J393" t="n">
        <v>0</v>
      </c>
      <c r="K393" t="n">
        <v>0</v>
      </c>
      <c r="L393" t="n">
        <v>1</v>
      </c>
      <c r="M393" t="n">
        <v>0</v>
      </c>
    </row>
    <row r="394" spans="1:13">
      <c r="A394" s="1">
        <f>HYPERLINK("http://www.twitter.com/NathanBLawrence/status/991819276138024961", "991819276138024961")</f>
        <v/>
      </c>
      <c r="B394" s="2" t="n">
        <v>43222.97126157407</v>
      </c>
      <c r="C394" t="n">
        <v>0</v>
      </c>
      <c r="D394" t="n">
        <v>12</v>
      </c>
      <c r="E394" t="s">
        <v>402</v>
      </c>
      <c r="F394">
        <f>HYPERLINK("http://pbs.twimg.com/media/DcOH4yJW0AAUj-_.jpg", "http://pbs.twimg.com/media/DcOH4yJW0AAUj-_.jpg")</f>
        <v/>
      </c>
      <c r="G394" t="s"/>
      <c r="H394" t="s"/>
      <c r="I394" t="s"/>
      <c r="J394" t="n">
        <v>0</v>
      </c>
      <c r="K394" t="n">
        <v>0</v>
      </c>
      <c r="L394" t="n">
        <v>1</v>
      </c>
      <c r="M394" t="n">
        <v>0</v>
      </c>
    </row>
    <row r="395" spans="1:13">
      <c r="A395" s="1">
        <f>HYPERLINK("http://www.twitter.com/NathanBLawrence/status/991819145355415553", "991819145355415553")</f>
        <v/>
      </c>
      <c r="B395" s="2" t="n">
        <v>43222.97090277778</v>
      </c>
      <c r="C395" t="n">
        <v>0</v>
      </c>
      <c r="D395" t="n">
        <v>11</v>
      </c>
      <c r="E395" t="s">
        <v>403</v>
      </c>
      <c r="F395" t="s"/>
      <c r="G395" t="s"/>
      <c r="H395" t="s"/>
      <c r="I395" t="s"/>
      <c r="J395" t="n">
        <v>0</v>
      </c>
      <c r="K395" t="n">
        <v>0</v>
      </c>
      <c r="L395" t="n">
        <v>1</v>
      </c>
      <c r="M395" t="n">
        <v>0</v>
      </c>
    </row>
    <row r="396" spans="1:13">
      <c r="A396" s="1">
        <f>HYPERLINK("http://www.twitter.com/NathanBLawrence/status/991819132051099648", "991819132051099648")</f>
        <v/>
      </c>
      <c r="B396" s="2" t="n">
        <v>43222.97085648148</v>
      </c>
      <c r="C396" t="n">
        <v>0</v>
      </c>
      <c r="D396" t="n">
        <v>10</v>
      </c>
      <c r="E396" t="s">
        <v>404</v>
      </c>
      <c r="F396" t="s"/>
      <c r="G396" t="s"/>
      <c r="H396" t="s"/>
      <c r="I396" t="s"/>
      <c r="J396" t="n">
        <v>0.5789</v>
      </c>
      <c r="K396" t="n">
        <v>0</v>
      </c>
      <c r="L396" t="n">
        <v>0.842</v>
      </c>
      <c r="M396" t="n">
        <v>0.158</v>
      </c>
    </row>
    <row r="397" spans="1:13">
      <c r="A397" s="1">
        <f>HYPERLINK("http://www.twitter.com/NathanBLawrence/status/991818992758214656", "991818992758214656")</f>
        <v/>
      </c>
      <c r="B397" s="2" t="n">
        <v>43222.97047453704</v>
      </c>
      <c r="C397" t="n">
        <v>0</v>
      </c>
      <c r="D397" t="n">
        <v>21</v>
      </c>
      <c r="E397" t="s">
        <v>405</v>
      </c>
      <c r="F397">
        <f>HYPERLINK("http://pbs.twimg.com/media/DcOFjXvX0AcP-kZ.jpg", "http://pbs.twimg.com/media/DcOFjXvX0AcP-kZ.jpg")</f>
        <v/>
      </c>
      <c r="G397" t="s"/>
      <c r="H397" t="s"/>
      <c r="I397" t="s"/>
      <c r="J397" t="n">
        <v>0</v>
      </c>
      <c r="K397" t="n">
        <v>0</v>
      </c>
      <c r="L397" t="n">
        <v>1</v>
      </c>
      <c r="M397" t="n">
        <v>0</v>
      </c>
    </row>
    <row r="398" spans="1:13">
      <c r="A398" s="1">
        <f>HYPERLINK("http://www.twitter.com/NathanBLawrence/status/991814837763231744", "991814837763231744")</f>
        <v/>
      </c>
      <c r="B398" s="2" t="n">
        <v>43222.95901620371</v>
      </c>
      <c r="C398" t="n">
        <v>0</v>
      </c>
      <c r="D398" t="n">
        <v>11</v>
      </c>
      <c r="E398" t="s">
        <v>406</v>
      </c>
      <c r="F398" t="s"/>
      <c r="G398" t="s"/>
      <c r="H398" t="s"/>
      <c r="I398" t="s"/>
      <c r="J398" t="n">
        <v>-0.0772</v>
      </c>
      <c r="K398" t="n">
        <v>0.139</v>
      </c>
      <c r="L398" t="n">
        <v>0.735</v>
      </c>
      <c r="M398" t="n">
        <v>0.127</v>
      </c>
    </row>
    <row r="399" spans="1:13">
      <c r="A399" s="1">
        <f>HYPERLINK("http://www.twitter.com/NathanBLawrence/status/991811696523120641", "991811696523120641")</f>
        <v/>
      </c>
      <c r="B399" s="2" t="n">
        <v>43222.95034722222</v>
      </c>
      <c r="C399" t="n">
        <v>0</v>
      </c>
      <c r="D399" t="n">
        <v>327</v>
      </c>
      <c r="E399" t="s">
        <v>407</v>
      </c>
      <c r="F399" t="s"/>
      <c r="G399" t="s"/>
      <c r="H399" t="s"/>
      <c r="I399" t="s"/>
      <c r="J399" t="n">
        <v>0.2342</v>
      </c>
      <c r="K399" t="n">
        <v>0.077</v>
      </c>
      <c r="L399" t="n">
        <v>0.8100000000000001</v>
      </c>
      <c r="M399" t="n">
        <v>0.113</v>
      </c>
    </row>
    <row r="400" spans="1:13">
      <c r="A400" s="1">
        <f>HYPERLINK("http://www.twitter.com/NathanBLawrence/status/991811305404293120", "991811305404293120")</f>
        <v/>
      </c>
      <c r="B400" s="2" t="n">
        <v>43222.94925925926</v>
      </c>
      <c r="C400" t="n">
        <v>0</v>
      </c>
      <c r="D400" t="n">
        <v>41</v>
      </c>
      <c r="E400" t="s">
        <v>408</v>
      </c>
      <c r="F400" t="s"/>
      <c r="G400" t="s"/>
      <c r="H400" t="s"/>
      <c r="I400" t="s"/>
      <c r="J400" t="n">
        <v>-0.3612</v>
      </c>
      <c r="K400" t="n">
        <v>0.135</v>
      </c>
      <c r="L400" t="n">
        <v>0.865</v>
      </c>
      <c r="M400" t="n">
        <v>0</v>
      </c>
    </row>
    <row r="401" spans="1:13">
      <c r="A401" s="1">
        <f>HYPERLINK("http://www.twitter.com/NathanBLawrence/status/991808063131803648", "991808063131803648")</f>
        <v/>
      </c>
      <c r="B401" s="2" t="n">
        <v>43222.9403125</v>
      </c>
      <c r="C401" t="n">
        <v>0</v>
      </c>
      <c r="D401" t="n">
        <v>9</v>
      </c>
      <c r="E401" t="s">
        <v>409</v>
      </c>
      <c r="F401" t="s"/>
      <c r="G401" t="s"/>
      <c r="H401" t="s"/>
      <c r="I401" t="s"/>
      <c r="J401" t="n">
        <v>-0.8415</v>
      </c>
      <c r="K401" t="n">
        <v>0.277</v>
      </c>
      <c r="L401" t="n">
        <v>0.723</v>
      </c>
      <c r="M401" t="n">
        <v>0</v>
      </c>
    </row>
    <row r="402" spans="1:13">
      <c r="A402" s="1">
        <f>HYPERLINK("http://www.twitter.com/NathanBLawrence/status/991807997595746305", "991807997595746305")</f>
        <v/>
      </c>
      <c r="B402" s="2" t="n">
        <v>43222.94013888889</v>
      </c>
      <c r="C402" t="n">
        <v>0</v>
      </c>
      <c r="D402" t="n">
        <v>4</v>
      </c>
      <c r="E402" t="s">
        <v>410</v>
      </c>
      <c r="F402" t="s"/>
      <c r="G402" t="s"/>
      <c r="H402" t="s"/>
      <c r="I402" t="s"/>
      <c r="J402" t="n">
        <v>0.3818</v>
      </c>
      <c r="K402" t="n">
        <v>0</v>
      </c>
      <c r="L402" t="n">
        <v>0.88</v>
      </c>
      <c r="M402" t="n">
        <v>0.12</v>
      </c>
    </row>
    <row r="403" spans="1:13">
      <c r="A403" s="1">
        <f>HYPERLINK("http://www.twitter.com/NathanBLawrence/status/991807129437855749", "991807129437855749")</f>
        <v/>
      </c>
      <c r="B403" s="2" t="n">
        <v>43222.93774305555</v>
      </c>
      <c r="C403" t="n">
        <v>0</v>
      </c>
      <c r="D403" t="n">
        <v>0</v>
      </c>
      <c r="E403" t="s">
        <v>411</v>
      </c>
      <c r="F403" t="s"/>
      <c r="G403" t="s"/>
      <c r="H403" t="s"/>
      <c r="I403" t="s"/>
      <c r="J403" t="n">
        <v>0.3612</v>
      </c>
      <c r="K403" t="n">
        <v>0</v>
      </c>
      <c r="L403" t="n">
        <v>0.8</v>
      </c>
      <c r="M403" t="n">
        <v>0.2</v>
      </c>
    </row>
    <row r="404" spans="1:13">
      <c r="A404" s="1">
        <f>HYPERLINK("http://www.twitter.com/NathanBLawrence/status/991804609764175873", "991804609764175873")</f>
        <v/>
      </c>
      <c r="B404" s="2" t="n">
        <v>43222.93078703704</v>
      </c>
      <c r="C404" t="n">
        <v>1</v>
      </c>
      <c r="D404" t="n">
        <v>0</v>
      </c>
      <c r="E404" t="s">
        <v>412</v>
      </c>
      <c r="F404" t="s"/>
      <c r="G404" t="s"/>
      <c r="H404" t="s"/>
      <c r="I404" t="s"/>
      <c r="J404" t="n">
        <v>-0.06900000000000001</v>
      </c>
      <c r="K404" t="n">
        <v>0.135</v>
      </c>
      <c r="L404" t="n">
        <v>0.77</v>
      </c>
      <c r="M404" t="n">
        <v>0.095</v>
      </c>
    </row>
    <row r="405" spans="1:13">
      <c r="A405" s="1">
        <f>HYPERLINK("http://www.twitter.com/NathanBLawrence/status/991803352857137152", "991803352857137152")</f>
        <v/>
      </c>
      <c r="B405" s="2" t="n">
        <v>43222.92731481481</v>
      </c>
      <c r="C405" t="n">
        <v>0</v>
      </c>
      <c r="D405" t="n">
        <v>4</v>
      </c>
      <c r="E405" t="s">
        <v>413</v>
      </c>
      <c r="F405">
        <f>HYPERLINK("http://pbs.twimg.com/media/DcORU0yWAAIaObS.jpg", "http://pbs.twimg.com/media/DcORU0yWAAIaObS.jpg")</f>
        <v/>
      </c>
      <c r="G405" t="s"/>
      <c r="H405" t="s"/>
      <c r="I405" t="s"/>
      <c r="J405" t="n">
        <v>0</v>
      </c>
      <c r="K405" t="n">
        <v>0</v>
      </c>
      <c r="L405" t="n">
        <v>1</v>
      </c>
      <c r="M405" t="n">
        <v>0</v>
      </c>
    </row>
    <row r="406" spans="1:13">
      <c r="A406" s="1">
        <f>HYPERLINK("http://www.twitter.com/NathanBLawrence/status/991801969844072448", "991801969844072448")</f>
        <v/>
      </c>
      <c r="B406" s="2" t="n">
        <v>43222.92350694445</v>
      </c>
      <c r="C406" t="n">
        <v>1</v>
      </c>
      <c r="D406" t="n">
        <v>0</v>
      </c>
      <c r="E406" t="s">
        <v>414</v>
      </c>
      <c r="F406" t="s"/>
      <c r="G406" t="s"/>
      <c r="H406" t="s"/>
      <c r="I406" t="s"/>
      <c r="J406" t="n">
        <v>0.5423</v>
      </c>
      <c r="K406" t="n">
        <v>0</v>
      </c>
      <c r="L406" t="n">
        <v>0.759</v>
      </c>
      <c r="M406" t="n">
        <v>0.241</v>
      </c>
    </row>
    <row r="407" spans="1:13">
      <c r="A407" s="1">
        <f>HYPERLINK("http://www.twitter.com/NathanBLawrence/status/991795997268434944", "991795997268434944")</f>
        <v/>
      </c>
      <c r="B407" s="2" t="n">
        <v>43222.90702546296</v>
      </c>
      <c r="C407" t="n">
        <v>2</v>
      </c>
      <c r="D407" t="n">
        <v>0</v>
      </c>
      <c r="E407" t="s">
        <v>415</v>
      </c>
      <c r="F407" t="s"/>
      <c r="G407" t="s"/>
      <c r="H407" t="s"/>
      <c r="I407" t="s"/>
      <c r="J407" t="n">
        <v>-0.5800999999999999</v>
      </c>
      <c r="K407" t="n">
        <v>0.092</v>
      </c>
      <c r="L407" t="n">
        <v>0.908</v>
      </c>
      <c r="M407" t="n">
        <v>0</v>
      </c>
    </row>
    <row r="408" spans="1:13">
      <c r="A408" s="1">
        <f>HYPERLINK("http://www.twitter.com/NathanBLawrence/status/991749374081368066", "991749374081368066")</f>
        <v/>
      </c>
      <c r="B408" s="2" t="n">
        <v>43222.77836805556</v>
      </c>
      <c r="C408" t="n">
        <v>5</v>
      </c>
      <c r="D408" t="n">
        <v>4</v>
      </c>
      <c r="E408" t="s">
        <v>416</v>
      </c>
      <c r="F408" t="s"/>
      <c r="G408" t="s"/>
      <c r="H408" t="s"/>
      <c r="I408" t="s"/>
      <c r="J408" t="n">
        <v>0.1779</v>
      </c>
      <c r="K408" t="n">
        <v>0.138</v>
      </c>
      <c r="L408" t="n">
        <v>0.71</v>
      </c>
      <c r="M408" t="n">
        <v>0.152</v>
      </c>
    </row>
    <row r="409" spans="1:13">
      <c r="A409" s="1">
        <f>HYPERLINK("http://www.twitter.com/NathanBLawrence/status/991720789782286337", "991720789782286337")</f>
        <v/>
      </c>
      <c r="B409" s="2" t="n">
        <v>43222.69949074074</v>
      </c>
      <c r="C409" t="n">
        <v>0</v>
      </c>
      <c r="D409" t="n">
        <v>3</v>
      </c>
      <c r="E409" t="s">
        <v>417</v>
      </c>
      <c r="F409" t="s"/>
      <c r="G409" t="s"/>
      <c r="H409" t="s"/>
      <c r="I409" t="s"/>
      <c r="J409" t="n">
        <v>-0.296</v>
      </c>
      <c r="K409" t="n">
        <v>0.109</v>
      </c>
      <c r="L409" t="n">
        <v>0.891</v>
      </c>
      <c r="M409" t="n">
        <v>0</v>
      </c>
    </row>
    <row r="410" spans="1:13">
      <c r="A410" s="1">
        <f>HYPERLINK("http://www.twitter.com/NathanBLawrence/status/991716605989150720", "991716605989150720")</f>
        <v/>
      </c>
      <c r="B410" s="2" t="n">
        <v>43222.68793981482</v>
      </c>
      <c r="C410" t="n">
        <v>4</v>
      </c>
      <c r="D410" t="n">
        <v>3</v>
      </c>
      <c r="E410" t="s">
        <v>418</v>
      </c>
      <c r="F410" t="s"/>
      <c r="G410" t="s"/>
      <c r="H410" t="s"/>
      <c r="I410" t="s"/>
      <c r="J410" t="n">
        <v>0.6705</v>
      </c>
      <c r="K410" t="n">
        <v>0</v>
      </c>
      <c r="L410" t="n">
        <v>0.845</v>
      </c>
      <c r="M410" t="n">
        <v>0.155</v>
      </c>
    </row>
    <row r="411" spans="1:13">
      <c r="A411" s="1">
        <f>HYPERLINK("http://www.twitter.com/NathanBLawrence/status/991710376717889536", "991710376717889536")</f>
        <v/>
      </c>
      <c r="B411" s="2" t="n">
        <v>43222.67075231481</v>
      </c>
      <c r="C411" t="n">
        <v>2</v>
      </c>
      <c r="D411" t="n">
        <v>0</v>
      </c>
      <c r="E411" t="s">
        <v>419</v>
      </c>
      <c r="F411" t="s"/>
      <c r="G411" t="s"/>
      <c r="H411" t="s"/>
      <c r="I411" t="s"/>
      <c r="J411" t="n">
        <v>0.3708</v>
      </c>
      <c r="K411" t="n">
        <v>0</v>
      </c>
      <c r="L411" t="n">
        <v>0.819</v>
      </c>
      <c r="M411" t="n">
        <v>0.181</v>
      </c>
    </row>
    <row r="412" spans="1:13">
      <c r="A412" s="1">
        <f>HYPERLINK("http://www.twitter.com/NathanBLawrence/status/991665144152326145", "991665144152326145")</f>
        <v/>
      </c>
      <c r="B412" s="2" t="n">
        <v>43222.5459375</v>
      </c>
      <c r="C412" t="n">
        <v>0</v>
      </c>
      <c r="D412" t="n">
        <v>658</v>
      </c>
      <c r="E412" t="s">
        <v>420</v>
      </c>
      <c r="F412" t="s"/>
      <c r="G412" t="s"/>
      <c r="H412" t="s"/>
      <c r="I412" t="s"/>
      <c r="J412" t="n">
        <v>0.1779</v>
      </c>
      <c r="K412" t="n">
        <v>0.091</v>
      </c>
      <c r="L412" t="n">
        <v>0.791</v>
      </c>
      <c r="M412" t="n">
        <v>0.119</v>
      </c>
    </row>
    <row r="413" spans="1:13">
      <c r="A413" s="1">
        <f>HYPERLINK("http://www.twitter.com/NathanBLawrence/status/991655254444953600", "991655254444953600")</f>
        <v/>
      </c>
      <c r="B413" s="2" t="n">
        <v>43222.51864583333</v>
      </c>
      <c r="C413" t="n">
        <v>0</v>
      </c>
      <c r="D413" t="n">
        <v>5</v>
      </c>
      <c r="E413" t="s">
        <v>421</v>
      </c>
      <c r="F413" t="s"/>
      <c r="G413" t="s"/>
      <c r="H413" t="s"/>
      <c r="I413" t="s"/>
      <c r="J413" t="n">
        <v>-0.2732</v>
      </c>
      <c r="K413" t="n">
        <v>0.13</v>
      </c>
      <c r="L413" t="n">
        <v>0.87</v>
      </c>
      <c r="M413" t="n">
        <v>0</v>
      </c>
    </row>
    <row r="414" spans="1:13">
      <c r="A414" s="1">
        <f>HYPERLINK("http://www.twitter.com/NathanBLawrence/status/991655212023795712", "991655212023795712")</f>
        <v/>
      </c>
      <c r="B414" s="2" t="n">
        <v>43222.5185300926</v>
      </c>
      <c r="C414" t="n">
        <v>0</v>
      </c>
      <c r="D414" t="n">
        <v>3</v>
      </c>
      <c r="E414" t="s">
        <v>422</v>
      </c>
      <c r="F414" t="s"/>
      <c r="G414" t="s"/>
      <c r="H414" t="s"/>
      <c r="I414" t="s"/>
      <c r="J414" t="n">
        <v>0</v>
      </c>
      <c r="K414" t="n">
        <v>0</v>
      </c>
      <c r="L414" t="n">
        <v>1</v>
      </c>
      <c r="M414" t="n">
        <v>0</v>
      </c>
    </row>
    <row r="415" spans="1:13">
      <c r="A415" s="1">
        <f>HYPERLINK("http://www.twitter.com/NathanBLawrence/status/991654402627956741", "991654402627956741")</f>
        <v/>
      </c>
      <c r="B415" s="2" t="n">
        <v>43222.51629629629</v>
      </c>
      <c r="C415" t="n">
        <v>0</v>
      </c>
      <c r="D415" t="n">
        <v>16</v>
      </c>
      <c r="E415" t="s">
        <v>423</v>
      </c>
      <c r="F415" t="s"/>
      <c r="G415" t="s"/>
      <c r="H415" t="s"/>
      <c r="I415" t="s"/>
      <c r="J415" t="n">
        <v>-0.1613</v>
      </c>
      <c r="K415" t="n">
        <v>0.109</v>
      </c>
      <c r="L415" t="n">
        <v>0.803</v>
      </c>
      <c r="M415" t="n">
        <v>0.08699999999999999</v>
      </c>
    </row>
    <row r="416" spans="1:13">
      <c r="A416" s="1">
        <f>HYPERLINK("http://www.twitter.com/NathanBLawrence/status/991433842245423104", "991433842245423104")</f>
        <v/>
      </c>
      <c r="B416" s="2" t="n">
        <v>43221.90766203704</v>
      </c>
      <c r="C416" t="n">
        <v>0</v>
      </c>
      <c r="D416" t="n">
        <v>9</v>
      </c>
      <c r="E416" t="s">
        <v>424</v>
      </c>
      <c r="F416" t="s"/>
      <c r="G416" t="s"/>
      <c r="H416" t="s"/>
      <c r="I416" t="s"/>
      <c r="J416" t="n">
        <v>0.5093</v>
      </c>
      <c r="K416" t="n">
        <v>0</v>
      </c>
      <c r="L416" t="n">
        <v>0.843</v>
      </c>
      <c r="M416" t="n">
        <v>0.157</v>
      </c>
    </row>
    <row r="417" spans="1:13">
      <c r="A417" s="1">
        <f>HYPERLINK("http://www.twitter.com/NathanBLawrence/status/991429327718895617", "991429327718895617")</f>
        <v/>
      </c>
      <c r="B417" s="2" t="n">
        <v>43221.89520833334</v>
      </c>
      <c r="C417" t="n">
        <v>5</v>
      </c>
      <c r="D417" t="n">
        <v>5</v>
      </c>
      <c r="E417" t="s">
        <v>425</v>
      </c>
      <c r="F417" t="s"/>
      <c r="G417" t="s"/>
      <c r="H417" t="s"/>
      <c r="I417" t="s"/>
      <c r="J417" t="n">
        <v>-0.2263</v>
      </c>
      <c r="K417" t="n">
        <v>0.056</v>
      </c>
      <c r="L417" t="n">
        <v>0.944</v>
      </c>
      <c r="M417" t="n">
        <v>0</v>
      </c>
    </row>
    <row r="418" spans="1:13">
      <c r="A418" s="1">
        <f>HYPERLINK("http://www.twitter.com/NathanBLawrence/status/991413085754847232", "991413085754847232")</f>
        <v/>
      </c>
      <c r="B418" s="2" t="n">
        <v>43221.85038194444</v>
      </c>
      <c r="C418" t="n">
        <v>2</v>
      </c>
      <c r="D418" t="n">
        <v>4</v>
      </c>
      <c r="E418" t="s">
        <v>426</v>
      </c>
      <c r="F418" t="s"/>
      <c r="G418" t="s"/>
      <c r="H418" t="s"/>
      <c r="I418" t="s"/>
      <c r="J418" t="n">
        <v>0.4951</v>
      </c>
      <c r="K418" t="n">
        <v>0.116</v>
      </c>
      <c r="L418" t="n">
        <v>0.673</v>
      </c>
      <c r="M418" t="n">
        <v>0.211</v>
      </c>
    </row>
    <row r="419" spans="1:13">
      <c r="A419" s="1">
        <f>HYPERLINK("http://www.twitter.com/NathanBLawrence/status/991406273093566465", "991406273093566465")</f>
        <v/>
      </c>
      <c r="B419" s="2" t="n">
        <v>43221.83158564815</v>
      </c>
      <c r="C419" t="n">
        <v>0</v>
      </c>
      <c r="D419" t="n">
        <v>15</v>
      </c>
      <c r="E419" t="s">
        <v>427</v>
      </c>
      <c r="F419" t="s"/>
      <c r="G419" t="s"/>
      <c r="H419" t="s"/>
      <c r="I419" t="s"/>
      <c r="J419" t="n">
        <v>0.6124000000000001</v>
      </c>
      <c r="K419" t="n">
        <v>0</v>
      </c>
      <c r="L419" t="n">
        <v>0.846</v>
      </c>
      <c r="M419" t="n">
        <v>0.154</v>
      </c>
    </row>
    <row r="420" spans="1:13">
      <c r="A420" s="1">
        <f>HYPERLINK("http://www.twitter.com/NathanBLawrence/status/991378208514871296", "991378208514871296")</f>
        <v/>
      </c>
      <c r="B420" s="2" t="n">
        <v>43221.75414351852</v>
      </c>
      <c r="C420" t="n">
        <v>0</v>
      </c>
      <c r="D420" t="n">
        <v>2</v>
      </c>
      <c r="E420" t="s">
        <v>428</v>
      </c>
      <c r="F420" t="s"/>
      <c r="G420" t="s"/>
      <c r="H420" t="s"/>
      <c r="I420" t="s"/>
      <c r="J420" t="n">
        <v>0.7351</v>
      </c>
      <c r="K420" t="n">
        <v>0</v>
      </c>
      <c r="L420" t="n">
        <v>0.714</v>
      </c>
      <c r="M420" t="n">
        <v>0.286</v>
      </c>
    </row>
    <row r="421" spans="1:13">
      <c r="A421" s="1">
        <f>HYPERLINK("http://www.twitter.com/NathanBLawrence/status/991377536218292224", "991377536218292224")</f>
        <v/>
      </c>
      <c r="B421" s="2" t="n">
        <v>43221.75229166666</v>
      </c>
      <c r="C421" t="n">
        <v>1</v>
      </c>
      <c r="D421" t="n">
        <v>1</v>
      </c>
      <c r="E421" t="s">
        <v>429</v>
      </c>
      <c r="F421" t="s"/>
      <c r="G421" t="s"/>
      <c r="H421" t="s"/>
      <c r="I421" t="s"/>
      <c r="J421" t="n">
        <v>-0.4926</v>
      </c>
      <c r="K421" t="n">
        <v>0.242</v>
      </c>
      <c r="L421" t="n">
        <v>0.758</v>
      </c>
      <c r="M421" t="n">
        <v>0</v>
      </c>
    </row>
    <row r="422" spans="1:13">
      <c r="A422" s="1">
        <f>HYPERLINK("http://www.twitter.com/NathanBLawrence/status/991377018171293702", "991377018171293702")</f>
        <v/>
      </c>
      <c r="B422" s="2" t="n">
        <v>43221.75085648148</v>
      </c>
      <c r="C422" t="n">
        <v>0</v>
      </c>
      <c r="D422" t="n">
        <v>17</v>
      </c>
      <c r="E422" t="s">
        <v>430</v>
      </c>
      <c r="F422">
        <f>HYPERLINK("http://pbs.twimg.com/media/DcIQ_1-X0AA7Qe0.jpg", "http://pbs.twimg.com/media/DcIQ_1-X0AA7Qe0.jpg")</f>
        <v/>
      </c>
      <c r="G422" t="s"/>
      <c r="H422" t="s"/>
      <c r="I422" t="s"/>
      <c r="J422" t="n">
        <v>0</v>
      </c>
      <c r="K422" t="n">
        <v>0</v>
      </c>
      <c r="L422" t="n">
        <v>1</v>
      </c>
      <c r="M422" t="n">
        <v>0</v>
      </c>
    </row>
    <row r="423" spans="1:13">
      <c r="A423" s="1">
        <f>HYPERLINK("http://www.twitter.com/NathanBLawrence/status/991369184008392705", "991369184008392705")</f>
        <v/>
      </c>
      <c r="B423" s="2" t="n">
        <v>43221.72923611111</v>
      </c>
      <c r="C423" t="n">
        <v>0</v>
      </c>
      <c r="D423" t="n">
        <v>8</v>
      </c>
      <c r="E423" t="s">
        <v>431</v>
      </c>
      <c r="F423" t="s"/>
      <c r="G423" t="s"/>
      <c r="H423" t="s"/>
      <c r="I423" t="s"/>
      <c r="J423" t="n">
        <v>-0.2263</v>
      </c>
      <c r="K423" t="n">
        <v>0.142</v>
      </c>
      <c r="L423" t="n">
        <v>0.753</v>
      </c>
      <c r="M423" t="n">
        <v>0.105</v>
      </c>
    </row>
    <row r="424" spans="1:13">
      <c r="A424" s="1">
        <f>HYPERLINK("http://www.twitter.com/NathanBLawrence/status/991368248800268288", "991368248800268288")</f>
        <v/>
      </c>
      <c r="B424" s="2" t="n">
        <v>43221.72665509259</v>
      </c>
      <c r="C424" t="n">
        <v>0</v>
      </c>
      <c r="D424" t="n">
        <v>11</v>
      </c>
      <c r="E424" t="s">
        <v>432</v>
      </c>
      <c r="F424" t="s"/>
      <c r="G424" t="s"/>
      <c r="H424" t="s"/>
      <c r="I424" t="s"/>
      <c r="J424" t="n">
        <v>0</v>
      </c>
      <c r="K424" t="n">
        <v>0</v>
      </c>
      <c r="L424" t="n">
        <v>1</v>
      </c>
      <c r="M424" t="n">
        <v>0</v>
      </c>
    </row>
    <row r="425" spans="1:13">
      <c r="A425" s="1">
        <f>HYPERLINK("http://www.twitter.com/NathanBLawrence/status/991368029874343937", "991368029874343937")</f>
        <v/>
      </c>
      <c r="B425" s="2" t="n">
        <v>43221.72605324074</v>
      </c>
      <c r="C425" t="n">
        <v>0</v>
      </c>
      <c r="D425" t="n">
        <v>12</v>
      </c>
      <c r="E425" t="s">
        <v>433</v>
      </c>
      <c r="F425" t="s"/>
      <c r="G425" t="s"/>
      <c r="H425" t="s"/>
      <c r="I425" t="s"/>
      <c r="J425" t="n">
        <v>0.128</v>
      </c>
      <c r="K425" t="n">
        <v>0.101</v>
      </c>
      <c r="L425" t="n">
        <v>0.773</v>
      </c>
      <c r="M425" t="n">
        <v>0.126</v>
      </c>
    </row>
    <row r="426" spans="1:13">
      <c r="A426" s="1">
        <f>HYPERLINK("http://www.twitter.com/NathanBLawrence/status/991367689535926272", "991367689535926272")</f>
        <v/>
      </c>
      <c r="B426" s="2" t="n">
        <v>43221.72511574074</v>
      </c>
      <c r="C426" t="n">
        <v>0</v>
      </c>
      <c r="D426" t="n">
        <v>10</v>
      </c>
      <c r="E426" t="s">
        <v>434</v>
      </c>
      <c r="F426" t="s"/>
      <c r="G426" t="s"/>
      <c r="H426" t="s"/>
      <c r="I426" t="s"/>
      <c r="J426" t="n">
        <v>0.5266999999999999</v>
      </c>
      <c r="K426" t="n">
        <v>0.064</v>
      </c>
      <c r="L426" t="n">
        <v>0.75</v>
      </c>
      <c r="M426" t="n">
        <v>0.186</v>
      </c>
    </row>
    <row r="427" spans="1:13">
      <c r="A427" s="1">
        <f>HYPERLINK("http://www.twitter.com/NathanBLawrence/status/991351288305733632", "991351288305733632")</f>
        <v/>
      </c>
      <c r="B427" s="2" t="n">
        <v>43221.67986111111</v>
      </c>
      <c r="C427" t="n">
        <v>0</v>
      </c>
      <c r="D427" t="n">
        <v>1</v>
      </c>
      <c r="E427" t="s">
        <v>435</v>
      </c>
      <c r="F427" t="s"/>
      <c r="G427" t="s"/>
      <c r="H427" t="s"/>
      <c r="I427" t="s"/>
      <c r="J427" t="n">
        <v>0</v>
      </c>
      <c r="K427" t="n">
        <v>0</v>
      </c>
      <c r="L427" t="n">
        <v>1</v>
      </c>
      <c r="M427" t="n">
        <v>0</v>
      </c>
    </row>
    <row r="428" spans="1:13">
      <c r="A428" s="1">
        <f>HYPERLINK("http://www.twitter.com/NathanBLawrence/status/991350754773471233", "991350754773471233")</f>
        <v/>
      </c>
      <c r="B428" s="2" t="n">
        <v>43221.67839120371</v>
      </c>
      <c r="C428" t="n">
        <v>0</v>
      </c>
      <c r="D428" t="n">
        <v>1446</v>
      </c>
      <c r="E428" t="s">
        <v>436</v>
      </c>
      <c r="F428" t="s"/>
      <c r="G428" t="s"/>
      <c r="H428" t="s"/>
      <c r="I428" t="s"/>
      <c r="J428" t="n">
        <v>-0.6908</v>
      </c>
      <c r="K428" t="n">
        <v>0.198</v>
      </c>
      <c r="L428" t="n">
        <v>0.802</v>
      </c>
      <c r="M428" t="n">
        <v>0</v>
      </c>
    </row>
    <row r="429" spans="1:13">
      <c r="A429" s="1">
        <f>HYPERLINK("http://www.twitter.com/NathanBLawrence/status/991349951262347265", "991349951262347265")</f>
        <v/>
      </c>
      <c r="B429" s="2" t="n">
        <v>43221.67616898148</v>
      </c>
      <c r="C429" t="n">
        <v>0</v>
      </c>
      <c r="D429" t="n">
        <v>13</v>
      </c>
      <c r="E429" t="s">
        <v>437</v>
      </c>
      <c r="F429" t="s"/>
      <c r="G429" t="s"/>
      <c r="H429" t="s"/>
      <c r="I429" t="s"/>
      <c r="J429" t="n">
        <v>-0.1316</v>
      </c>
      <c r="K429" t="n">
        <v>0.07000000000000001</v>
      </c>
      <c r="L429" t="n">
        <v>0.93</v>
      </c>
      <c r="M429" t="n">
        <v>0</v>
      </c>
    </row>
    <row r="430" spans="1:13">
      <c r="A430" s="1">
        <f>HYPERLINK("http://www.twitter.com/NathanBLawrence/status/991346965555400704", "991346965555400704")</f>
        <v/>
      </c>
      <c r="B430" s="2" t="n">
        <v>43221.66792824074</v>
      </c>
      <c r="C430" t="n">
        <v>0</v>
      </c>
      <c r="D430" t="n">
        <v>43</v>
      </c>
      <c r="E430" t="s">
        <v>438</v>
      </c>
      <c r="F430" t="s"/>
      <c r="G430" t="s"/>
      <c r="H430" t="s"/>
      <c r="I430" t="s"/>
      <c r="J430" t="n">
        <v>0</v>
      </c>
      <c r="K430" t="n">
        <v>0</v>
      </c>
      <c r="L430" t="n">
        <v>1</v>
      </c>
      <c r="M430" t="n">
        <v>0</v>
      </c>
    </row>
    <row r="431" spans="1:13">
      <c r="A431" s="1">
        <f>HYPERLINK("http://www.twitter.com/NathanBLawrence/status/991336132834156544", "991336132834156544")</f>
        <v/>
      </c>
      <c r="B431" s="2" t="n">
        <v>43221.63803240741</v>
      </c>
      <c r="C431" t="n">
        <v>0</v>
      </c>
      <c r="D431" t="n">
        <v>1</v>
      </c>
      <c r="E431" t="s">
        <v>439</v>
      </c>
      <c r="F431" t="s"/>
      <c r="G431" t="s"/>
      <c r="H431" t="s"/>
      <c r="I431" t="s"/>
      <c r="J431" t="n">
        <v>0.1779</v>
      </c>
      <c r="K431" t="n">
        <v>0.08699999999999999</v>
      </c>
      <c r="L431" t="n">
        <v>0.801</v>
      </c>
      <c r="M431" t="n">
        <v>0.111</v>
      </c>
    </row>
    <row r="432" spans="1:13">
      <c r="A432" s="1">
        <f>HYPERLINK("http://www.twitter.com/NathanBLawrence/status/991328325359558657", "991328325359558657")</f>
        <v/>
      </c>
      <c r="B432" s="2" t="n">
        <v>43221.61649305555</v>
      </c>
      <c r="C432" t="n">
        <v>0</v>
      </c>
      <c r="D432" t="n">
        <v>1</v>
      </c>
      <c r="E432" t="s">
        <v>440</v>
      </c>
      <c r="F432">
        <f>HYPERLINK("http://pbs.twimg.com/media/DcG_HNyVwAE6lK0.jpg", "http://pbs.twimg.com/media/DcG_HNyVwAE6lK0.jpg")</f>
        <v/>
      </c>
      <c r="G432" t="s"/>
      <c r="H432" t="s"/>
      <c r="I432" t="s"/>
      <c r="J432" t="n">
        <v>-0.3612</v>
      </c>
      <c r="K432" t="n">
        <v>0.122</v>
      </c>
      <c r="L432" t="n">
        <v>0.878</v>
      </c>
      <c r="M432" t="n">
        <v>0</v>
      </c>
    </row>
    <row r="433" spans="1:13">
      <c r="A433" s="1">
        <f>HYPERLINK("http://www.twitter.com/NathanBLawrence/status/991323721813151745", "991323721813151745")</f>
        <v/>
      </c>
      <c r="B433" s="2" t="n">
        <v>43221.60378472223</v>
      </c>
      <c r="C433" t="n">
        <v>0</v>
      </c>
      <c r="D433" t="n">
        <v>5509</v>
      </c>
      <c r="E433" t="s">
        <v>441</v>
      </c>
      <c r="F433" t="s"/>
      <c r="G433" t="s"/>
      <c r="H433" t="s"/>
      <c r="I433" t="s"/>
      <c r="J433" t="n">
        <v>0.5</v>
      </c>
      <c r="K433" t="n">
        <v>0.127</v>
      </c>
      <c r="L433" t="n">
        <v>0.598</v>
      </c>
      <c r="M433" t="n">
        <v>0.276</v>
      </c>
    </row>
    <row r="434" spans="1:13">
      <c r="A434" s="1">
        <f>HYPERLINK("http://www.twitter.com/NathanBLawrence/status/991320915450490881", "991320915450490881")</f>
        <v/>
      </c>
      <c r="B434" s="2" t="n">
        <v>43221.59604166666</v>
      </c>
      <c r="C434" t="n">
        <v>0</v>
      </c>
      <c r="D434" t="n">
        <v>26377</v>
      </c>
      <c r="E434" t="s">
        <v>442</v>
      </c>
      <c r="F434" t="s"/>
      <c r="G434" t="s"/>
      <c r="H434" t="s"/>
      <c r="I434" t="s"/>
      <c r="J434" t="n">
        <v>-0.5719</v>
      </c>
      <c r="K434" t="n">
        <v>0.198</v>
      </c>
      <c r="L434" t="n">
        <v>0.802</v>
      </c>
      <c r="M434" t="n">
        <v>0</v>
      </c>
    </row>
    <row r="435" spans="1:13">
      <c r="A435" s="1">
        <f>HYPERLINK("http://www.twitter.com/NathanBLawrence/status/991318835281186816", "991318835281186816")</f>
        <v/>
      </c>
      <c r="B435" s="2" t="n">
        <v>43221.59030092593</v>
      </c>
      <c r="C435" t="n">
        <v>0</v>
      </c>
      <c r="D435" t="n">
        <v>72</v>
      </c>
      <c r="E435" t="s">
        <v>443</v>
      </c>
      <c r="F435" t="s"/>
      <c r="G435" t="s"/>
      <c r="H435" t="s"/>
      <c r="I435" t="s"/>
      <c r="J435" t="n">
        <v>-0.5423</v>
      </c>
      <c r="K435" t="n">
        <v>0.204</v>
      </c>
      <c r="L435" t="n">
        <v>0.735</v>
      </c>
      <c r="M435" t="n">
        <v>0.061</v>
      </c>
    </row>
    <row r="436" spans="1:13">
      <c r="A436" s="1">
        <f>HYPERLINK("http://www.twitter.com/NathanBLawrence/status/991205371787202561", "991205371787202561")</f>
        <v/>
      </c>
      <c r="B436" s="2" t="n">
        <v>43221.27719907407</v>
      </c>
      <c r="C436" t="n">
        <v>0</v>
      </c>
      <c r="D436" t="n">
        <v>4</v>
      </c>
      <c r="E436" t="s">
        <v>444</v>
      </c>
      <c r="F436" t="s"/>
      <c r="G436" t="s"/>
      <c r="H436" t="s"/>
      <c r="I436" t="s"/>
      <c r="J436" t="n">
        <v>0.6588000000000001</v>
      </c>
      <c r="K436" t="n">
        <v>0</v>
      </c>
      <c r="L436" t="n">
        <v>0.532</v>
      </c>
      <c r="M436" t="n">
        <v>0.468</v>
      </c>
    </row>
    <row r="437" spans="1:13">
      <c r="A437" s="1">
        <f>HYPERLINK("http://www.twitter.com/NathanBLawrence/status/991193653304594432", "991193653304594432")</f>
        <v/>
      </c>
      <c r="B437" s="2" t="n">
        <v>43221.24487268519</v>
      </c>
      <c r="C437" t="n">
        <v>0</v>
      </c>
      <c r="D437" t="n">
        <v>11</v>
      </c>
      <c r="E437" t="s">
        <v>445</v>
      </c>
      <c r="F437" t="s"/>
      <c r="G437" t="s"/>
      <c r="H437" t="s"/>
      <c r="I437" t="s"/>
      <c r="J437" t="n">
        <v>0.128</v>
      </c>
      <c r="K437" t="n">
        <v>0</v>
      </c>
      <c r="L437" t="n">
        <v>0.927</v>
      </c>
      <c r="M437" t="n">
        <v>0.073</v>
      </c>
    </row>
    <row r="438" spans="1:13">
      <c r="A438" s="1">
        <f>HYPERLINK("http://www.twitter.com/NathanBLawrence/status/991193496647290880", "991193496647290880")</f>
        <v/>
      </c>
      <c r="B438" s="2" t="n">
        <v>43221.24443287037</v>
      </c>
      <c r="C438" t="n">
        <v>0</v>
      </c>
      <c r="D438" t="n">
        <v>17</v>
      </c>
      <c r="E438" t="s">
        <v>446</v>
      </c>
      <c r="F438" t="s"/>
      <c r="G438" t="s"/>
      <c r="H438" t="s"/>
      <c r="I438" t="s"/>
      <c r="J438" t="n">
        <v>0</v>
      </c>
      <c r="K438" t="n">
        <v>0</v>
      </c>
      <c r="L438" t="n">
        <v>1</v>
      </c>
      <c r="M438" t="n">
        <v>0</v>
      </c>
    </row>
    <row r="439" spans="1:13">
      <c r="A439" s="1">
        <f>HYPERLINK("http://www.twitter.com/NathanBLawrence/status/991163426637602816", "991163426637602816")</f>
        <v/>
      </c>
      <c r="B439" s="2" t="n">
        <v>43221.16145833334</v>
      </c>
      <c r="C439" t="n">
        <v>0</v>
      </c>
      <c r="D439" t="n">
        <v>32</v>
      </c>
      <c r="E439" t="s">
        <v>447</v>
      </c>
      <c r="F439" t="s"/>
      <c r="G439" t="s"/>
      <c r="H439" t="s"/>
      <c r="I439" t="s"/>
      <c r="J439" t="n">
        <v>0</v>
      </c>
      <c r="K439" t="n">
        <v>0</v>
      </c>
      <c r="L439" t="n">
        <v>1</v>
      </c>
      <c r="M439" t="n">
        <v>0</v>
      </c>
    </row>
    <row r="440" spans="1:13">
      <c r="A440" s="1">
        <f>HYPERLINK("http://www.twitter.com/NathanBLawrence/status/991162264714711040", "991162264714711040")</f>
        <v/>
      </c>
      <c r="B440" s="2" t="n">
        <v>43221.15825231482</v>
      </c>
      <c r="C440" t="n">
        <v>0</v>
      </c>
      <c r="D440" t="n">
        <v>4</v>
      </c>
      <c r="E440" t="s">
        <v>448</v>
      </c>
      <c r="F440" t="s"/>
      <c r="G440" t="s"/>
      <c r="H440" t="s"/>
      <c r="I440" t="s"/>
      <c r="J440" t="n">
        <v>0.1531</v>
      </c>
      <c r="K440" t="n">
        <v>0.132</v>
      </c>
      <c r="L440" t="n">
        <v>0.752</v>
      </c>
      <c r="M440" t="n">
        <v>0.117</v>
      </c>
    </row>
    <row r="441" spans="1:13">
      <c r="A441" s="1">
        <f>HYPERLINK("http://www.twitter.com/NathanBLawrence/status/991161585883369477", "991161585883369477")</f>
        <v/>
      </c>
      <c r="B441" s="2" t="n">
        <v>43221.15637731482</v>
      </c>
      <c r="C441" t="n">
        <v>0</v>
      </c>
      <c r="D441" t="n">
        <v>5</v>
      </c>
      <c r="E441" t="s">
        <v>449</v>
      </c>
      <c r="F441" t="s"/>
      <c r="G441" t="s"/>
      <c r="H441" t="s"/>
      <c r="I441" t="s"/>
      <c r="J441" t="n">
        <v>-0.5423</v>
      </c>
      <c r="K441" t="n">
        <v>0.17</v>
      </c>
      <c r="L441" t="n">
        <v>0.83</v>
      </c>
      <c r="M441" t="n">
        <v>0</v>
      </c>
    </row>
    <row r="442" spans="1:13">
      <c r="A442" s="1">
        <f>HYPERLINK("http://www.twitter.com/NathanBLawrence/status/991161550030495744", "991161550030495744")</f>
        <v/>
      </c>
      <c r="B442" s="2" t="n">
        <v>43221.15628472222</v>
      </c>
      <c r="C442" t="n">
        <v>0</v>
      </c>
      <c r="D442" t="n">
        <v>10</v>
      </c>
      <c r="E442" t="s">
        <v>450</v>
      </c>
      <c r="F442" t="s"/>
      <c r="G442" t="s"/>
      <c r="H442" t="s"/>
      <c r="I442" t="s"/>
      <c r="J442" t="n">
        <v>-0.099</v>
      </c>
      <c r="K442" t="n">
        <v>0.198</v>
      </c>
      <c r="L442" t="n">
        <v>0.626</v>
      </c>
      <c r="M442" t="n">
        <v>0.176</v>
      </c>
    </row>
    <row r="443" spans="1:13">
      <c r="A443" s="1">
        <f>HYPERLINK("http://www.twitter.com/NathanBLawrence/status/991161428458528769", "991161428458528769")</f>
        <v/>
      </c>
      <c r="B443" s="2" t="n">
        <v>43221.15594907408</v>
      </c>
      <c r="C443" t="n">
        <v>0</v>
      </c>
      <c r="D443" t="n">
        <v>16</v>
      </c>
      <c r="E443" t="s">
        <v>451</v>
      </c>
      <c r="F443" t="s"/>
      <c r="G443" t="s"/>
      <c r="H443" t="s"/>
      <c r="I443" t="s"/>
      <c r="J443" t="n">
        <v>-0.1027</v>
      </c>
      <c r="K443" t="n">
        <v>0.062</v>
      </c>
      <c r="L443" t="n">
        <v>0.9379999999999999</v>
      </c>
      <c r="M443" t="n">
        <v>0</v>
      </c>
    </row>
    <row r="444" spans="1:13">
      <c r="A444" s="1">
        <f>HYPERLINK("http://www.twitter.com/NathanBLawrence/status/991150864348917760", "991150864348917760")</f>
        <v/>
      </c>
      <c r="B444" s="2" t="n">
        <v>43221.12679398148</v>
      </c>
      <c r="C444" t="n">
        <v>0</v>
      </c>
      <c r="D444" t="n">
        <v>34</v>
      </c>
      <c r="E444" t="s">
        <v>452</v>
      </c>
      <c r="F444" t="s"/>
      <c r="G444" t="s"/>
      <c r="H444" t="s"/>
      <c r="I444" t="s"/>
      <c r="J444" t="n">
        <v>0</v>
      </c>
      <c r="K444" t="n">
        <v>0</v>
      </c>
      <c r="L444" t="n">
        <v>1</v>
      </c>
      <c r="M444" t="n">
        <v>0</v>
      </c>
    </row>
    <row r="445" spans="1:13">
      <c r="A445" s="1">
        <f>HYPERLINK("http://www.twitter.com/NathanBLawrence/status/991150786238349312", "991150786238349312")</f>
        <v/>
      </c>
      <c r="B445" s="2" t="n">
        <v>43221.12657407407</v>
      </c>
      <c r="C445" t="n">
        <v>0</v>
      </c>
      <c r="D445" t="n">
        <v>5</v>
      </c>
      <c r="E445" t="s">
        <v>453</v>
      </c>
      <c r="F445" t="s"/>
      <c r="G445" t="s"/>
      <c r="H445" t="s"/>
      <c r="I445" t="s"/>
      <c r="J445" t="n">
        <v>-0.2023</v>
      </c>
      <c r="K445" t="n">
        <v>0.133</v>
      </c>
      <c r="L445" t="n">
        <v>0.766</v>
      </c>
      <c r="M445" t="n">
        <v>0.101</v>
      </c>
    </row>
    <row r="446" spans="1:13">
      <c r="A446" s="1">
        <f>HYPERLINK("http://www.twitter.com/NathanBLawrence/status/991150665903767553", "991150665903767553")</f>
        <v/>
      </c>
      <c r="B446" s="2" t="n">
        <v>43221.12625</v>
      </c>
      <c r="C446" t="n">
        <v>0</v>
      </c>
      <c r="D446" t="n">
        <v>28</v>
      </c>
      <c r="E446" t="s">
        <v>454</v>
      </c>
      <c r="F446" t="s"/>
      <c r="G446" t="s"/>
      <c r="H446" t="s"/>
      <c r="I446" t="s"/>
      <c r="J446" t="n">
        <v>0.25</v>
      </c>
      <c r="K446" t="n">
        <v>0.062</v>
      </c>
      <c r="L446" t="n">
        <v>0.839</v>
      </c>
      <c r="M446" t="n">
        <v>0.099</v>
      </c>
    </row>
    <row r="447" spans="1:13">
      <c r="A447" s="1">
        <f>HYPERLINK("http://www.twitter.com/NathanBLawrence/status/991138208275628037", "991138208275628037")</f>
        <v/>
      </c>
      <c r="B447" s="2" t="n">
        <v>43221.09186342593</v>
      </c>
      <c r="C447" t="n">
        <v>0</v>
      </c>
      <c r="D447" t="n">
        <v>0</v>
      </c>
      <c r="E447" t="s">
        <v>455</v>
      </c>
      <c r="F447" t="s"/>
      <c r="G447" t="s"/>
      <c r="H447" t="s"/>
      <c r="I447" t="s"/>
      <c r="J447" t="n">
        <v>-0.25</v>
      </c>
      <c r="K447" t="n">
        <v>0.08</v>
      </c>
      <c r="L447" t="n">
        <v>0.861</v>
      </c>
      <c r="M447" t="n">
        <v>0.059</v>
      </c>
    </row>
    <row r="448" spans="1:13">
      <c r="A448" s="1">
        <f>HYPERLINK("http://www.twitter.com/NathanBLawrence/status/991135777513000962", "991135777513000962")</f>
        <v/>
      </c>
      <c r="B448" s="2" t="n">
        <v>43221.08516203704</v>
      </c>
      <c r="C448" t="n">
        <v>0</v>
      </c>
      <c r="D448" t="n">
        <v>2</v>
      </c>
      <c r="E448" t="s">
        <v>456</v>
      </c>
      <c r="F448">
        <f>HYPERLINK("http://pbs.twimg.com/media/DcE3DAQUwAAaU8L.jpg", "http://pbs.twimg.com/media/DcE3DAQUwAAaU8L.jpg")</f>
        <v/>
      </c>
      <c r="G448" t="s"/>
      <c r="H448" t="s"/>
      <c r="I448" t="s"/>
      <c r="J448" t="n">
        <v>0</v>
      </c>
      <c r="K448" t="n">
        <v>0</v>
      </c>
      <c r="L448" t="n">
        <v>1</v>
      </c>
      <c r="M448" t="n">
        <v>0</v>
      </c>
    </row>
    <row r="449" spans="1:13">
      <c r="A449" s="1">
        <f>HYPERLINK("http://www.twitter.com/NathanBLawrence/status/991135642846400512", "991135642846400512")</f>
        <v/>
      </c>
      <c r="B449" s="2" t="n">
        <v>43221.08479166667</v>
      </c>
      <c r="C449" t="n">
        <v>0</v>
      </c>
      <c r="D449" t="n">
        <v>5</v>
      </c>
      <c r="E449" t="s">
        <v>457</v>
      </c>
      <c r="F449" t="s"/>
      <c r="G449" t="s"/>
      <c r="H449" t="s"/>
      <c r="I449" t="s"/>
      <c r="J449" t="n">
        <v>0</v>
      </c>
      <c r="K449" t="n">
        <v>0</v>
      </c>
      <c r="L449" t="n">
        <v>1</v>
      </c>
      <c r="M449" t="n">
        <v>0</v>
      </c>
    </row>
    <row r="450" spans="1:13">
      <c r="A450" s="1">
        <f>HYPERLINK("http://www.twitter.com/NathanBLawrence/status/991135315787120641", "991135315787120641")</f>
        <v/>
      </c>
      <c r="B450" s="2" t="n">
        <v>43221.08388888889</v>
      </c>
      <c r="C450" t="n">
        <v>0</v>
      </c>
      <c r="D450" t="n">
        <v>0</v>
      </c>
      <c r="E450" t="s">
        <v>458</v>
      </c>
      <c r="F450" t="s"/>
      <c r="G450" t="s"/>
      <c r="H450" t="s"/>
      <c r="I450" t="s"/>
      <c r="J450" t="n">
        <v>-0.3612</v>
      </c>
      <c r="K450" t="n">
        <v>0.152</v>
      </c>
      <c r="L450" t="n">
        <v>0.785</v>
      </c>
      <c r="M450" t="n">
        <v>0.063</v>
      </c>
    </row>
    <row r="451" spans="1:13">
      <c r="A451" s="1">
        <f>HYPERLINK("http://www.twitter.com/NathanBLawrence/status/991134595960786944", "991134595960786944")</f>
        <v/>
      </c>
      <c r="B451" s="2" t="n">
        <v>43221.08189814815</v>
      </c>
      <c r="C451" t="n">
        <v>0</v>
      </c>
      <c r="D451" t="n">
        <v>4</v>
      </c>
      <c r="E451" t="s">
        <v>459</v>
      </c>
      <c r="F451" t="s"/>
      <c r="G451" t="s"/>
      <c r="H451" t="s"/>
      <c r="I451" t="s"/>
      <c r="J451" t="n">
        <v>0.2716</v>
      </c>
      <c r="K451" t="n">
        <v>0.09</v>
      </c>
      <c r="L451" t="n">
        <v>0.694</v>
      </c>
      <c r="M451" t="n">
        <v>0.216</v>
      </c>
    </row>
    <row r="452" spans="1:13">
      <c r="A452" s="1">
        <f>HYPERLINK("http://www.twitter.com/NathanBLawrence/status/991133806265602048", "991133806265602048")</f>
        <v/>
      </c>
      <c r="B452" s="2" t="n">
        <v>43221.07972222222</v>
      </c>
      <c r="C452" t="n">
        <v>0</v>
      </c>
      <c r="D452" t="n">
        <v>8</v>
      </c>
      <c r="E452" t="s">
        <v>460</v>
      </c>
      <c r="F452" t="s"/>
      <c r="G452" t="s"/>
      <c r="H452" t="s"/>
      <c r="I452" t="s"/>
      <c r="J452" t="n">
        <v>-0.2411</v>
      </c>
      <c r="K452" t="n">
        <v>0.076</v>
      </c>
      <c r="L452" t="n">
        <v>0.924</v>
      </c>
      <c r="M452" t="n">
        <v>0</v>
      </c>
    </row>
    <row r="453" spans="1:13">
      <c r="A453" s="1">
        <f>HYPERLINK("http://www.twitter.com/NathanBLawrence/status/991120638134898688", "991120638134898688")</f>
        <v/>
      </c>
      <c r="B453" s="2" t="n">
        <v>43221.04337962963</v>
      </c>
      <c r="C453" t="n">
        <v>1</v>
      </c>
      <c r="D453" t="n">
        <v>0</v>
      </c>
      <c r="E453" t="s">
        <v>461</v>
      </c>
      <c r="F453" t="s"/>
      <c r="G453" t="s"/>
      <c r="H453" t="s"/>
      <c r="I453" t="s"/>
      <c r="J453" t="n">
        <v>0.5588</v>
      </c>
      <c r="K453" t="n">
        <v>0</v>
      </c>
      <c r="L453" t="n">
        <v>0.765</v>
      </c>
      <c r="M453" t="n">
        <v>0.235</v>
      </c>
    </row>
    <row r="454" spans="1:13">
      <c r="A454" s="1">
        <f>HYPERLINK("http://www.twitter.com/NathanBLawrence/status/991120035526643713", "991120035526643713")</f>
        <v/>
      </c>
      <c r="B454" s="2" t="n">
        <v>43221.04172453703</v>
      </c>
      <c r="C454" t="n">
        <v>0</v>
      </c>
      <c r="D454" t="n">
        <v>46</v>
      </c>
      <c r="E454" t="s">
        <v>462</v>
      </c>
      <c r="F454" t="s"/>
      <c r="G454" t="s"/>
      <c r="H454" t="s"/>
      <c r="I454" t="s"/>
      <c r="J454" t="n">
        <v>-0.6143999999999999</v>
      </c>
      <c r="K454" t="n">
        <v>0.179</v>
      </c>
      <c r="L454" t="n">
        <v>0.821</v>
      </c>
      <c r="M454" t="n">
        <v>0</v>
      </c>
    </row>
    <row r="455" spans="1:13">
      <c r="A455" s="1">
        <f>HYPERLINK("http://www.twitter.com/NathanBLawrence/status/991115600029249538", "991115600029249538")</f>
        <v/>
      </c>
      <c r="B455" s="2" t="n">
        <v>43221.02947916667</v>
      </c>
      <c r="C455" t="n">
        <v>1</v>
      </c>
      <c r="D455" t="n">
        <v>0</v>
      </c>
      <c r="E455" t="s">
        <v>463</v>
      </c>
      <c r="F455" t="s"/>
      <c r="G455" t="s"/>
      <c r="H455" t="s"/>
      <c r="I455" t="s"/>
      <c r="J455" t="n">
        <v>-0.4767</v>
      </c>
      <c r="K455" t="n">
        <v>0.151</v>
      </c>
      <c r="L455" t="n">
        <v>0.849</v>
      </c>
      <c r="M455" t="n">
        <v>0</v>
      </c>
    </row>
    <row r="456" spans="1:13">
      <c r="A456" s="1">
        <f>HYPERLINK("http://www.twitter.com/NathanBLawrence/status/991114680486776833", "991114680486776833")</f>
        <v/>
      </c>
      <c r="B456" s="2" t="n">
        <v>43221.02694444444</v>
      </c>
      <c r="C456" t="n">
        <v>0</v>
      </c>
      <c r="D456" t="n">
        <v>47</v>
      </c>
      <c r="E456" t="s">
        <v>464</v>
      </c>
      <c r="F456" t="s"/>
      <c r="G456" t="s"/>
      <c r="H456" t="s"/>
      <c r="I456" t="s"/>
      <c r="J456" t="n">
        <v>0</v>
      </c>
      <c r="K456" t="n">
        <v>0</v>
      </c>
      <c r="L456" t="n">
        <v>1</v>
      </c>
      <c r="M456" t="n">
        <v>0</v>
      </c>
    </row>
    <row r="457" spans="1:13">
      <c r="A457" s="1">
        <f>HYPERLINK("http://www.twitter.com/NathanBLawrence/status/991114538228559872", "991114538228559872")</f>
        <v/>
      </c>
      <c r="B457" s="2" t="n">
        <v>43221.02655092593</v>
      </c>
      <c r="C457" t="n">
        <v>0</v>
      </c>
      <c r="D457" t="n">
        <v>9</v>
      </c>
      <c r="E457" t="s">
        <v>465</v>
      </c>
      <c r="F457" t="s"/>
      <c r="G457" t="s"/>
      <c r="H457" t="s"/>
      <c r="I457" t="s"/>
      <c r="J457" t="n">
        <v>0</v>
      </c>
      <c r="K457" t="n">
        <v>0</v>
      </c>
      <c r="L457" t="n">
        <v>1</v>
      </c>
      <c r="M457" t="n">
        <v>0</v>
      </c>
    </row>
    <row r="458" spans="1:13">
      <c r="A458" s="1">
        <f>HYPERLINK("http://www.twitter.com/NathanBLawrence/status/991114088645316609", "991114088645316609")</f>
        <v/>
      </c>
      <c r="B458" s="2" t="n">
        <v>43221.0253125</v>
      </c>
      <c r="C458" t="n">
        <v>0</v>
      </c>
      <c r="D458" t="n">
        <v>10</v>
      </c>
      <c r="E458" t="s">
        <v>466</v>
      </c>
      <c r="F458" t="s"/>
      <c r="G458" t="s"/>
      <c r="H458" t="s"/>
      <c r="I458" t="s"/>
      <c r="J458" t="n">
        <v>0.3182</v>
      </c>
      <c r="K458" t="n">
        <v>0</v>
      </c>
      <c r="L458" t="n">
        <v>0.913</v>
      </c>
      <c r="M458" t="n">
        <v>0.08699999999999999</v>
      </c>
    </row>
    <row r="459" spans="1:13">
      <c r="A459" s="1">
        <f>HYPERLINK("http://www.twitter.com/NathanBLawrence/status/991113544975507457", "991113544975507457")</f>
        <v/>
      </c>
      <c r="B459" s="2" t="n">
        <v>43221.02380787037</v>
      </c>
      <c r="C459" t="n">
        <v>0</v>
      </c>
      <c r="D459" t="n">
        <v>5</v>
      </c>
      <c r="E459" t="s">
        <v>467</v>
      </c>
      <c r="F459" t="s"/>
      <c r="G459" t="s"/>
      <c r="H459" t="s"/>
      <c r="I459" t="s"/>
      <c r="J459" t="n">
        <v>0.4404</v>
      </c>
      <c r="K459" t="n">
        <v>0</v>
      </c>
      <c r="L459" t="n">
        <v>0.868</v>
      </c>
      <c r="M459" t="n">
        <v>0.132</v>
      </c>
    </row>
    <row r="460" spans="1:13">
      <c r="A460" s="1">
        <f>HYPERLINK("http://www.twitter.com/NathanBLawrence/status/991109939430076421", "991109939430076421")</f>
        <v/>
      </c>
      <c r="B460" s="2" t="n">
        <v>43221.01386574074</v>
      </c>
      <c r="C460" t="n">
        <v>0</v>
      </c>
      <c r="D460" t="n">
        <v>5</v>
      </c>
      <c r="E460" t="s">
        <v>468</v>
      </c>
      <c r="F460" t="s"/>
      <c r="G460" t="s"/>
      <c r="H460" t="s"/>
      <c r="I460" t="s"/>
      <c r="J460" t="n">
        <v>0</v>
      </c>
      <c r="K460" t="n">
        <v>0</v>
      </c>
      <c r="L460" t="n">
        <v>1</v>
      </c>
      <c r="M460" t="n">
        <v>0</v>
      </c>
    </row>
    <row r="461" spans="1:13">
      <c r="A461" s="1">
        <f>HYPERLINK("http://www.twitter.com/NathanBLawrence/status/991109646206238722", "991109646206238722")</f>
        <v/>
      </c>
      <c r="B461" s="2" t="n">
        <v>43221.01305555556</v>
      </c>
      <c r="C461" t="n">
        <v>0</v>
      </c>
      <c r="D461" t="n">
        <v>5</v>
      </c>
      <c r="E461" t="s">
        <v>469</v>
      </c>
      <c r="F461" t="s"/>
      <c r="G461" t="s"/>
      <c r="H461" t="s"/>
      <c r="I461" t="s"/>
      <c r="J461" t="n">
        <v>-0.7088</v>
      </c>
      <c r="K461" t="n">
        <v>0.247</v>
      </c>
      <c r="L461" t="n">
        <v>0.753</v>
      </c>
      <c r="M461" t="n">
        <v>0</v>
      </c>
    </row>
    <row r="462" spans="1:13">
      <c r="A462" s="1">
        <f>HYPERLINK("http://www.twitter.com/NathanBLawrence/status/991107286637694977", "991107286637694977")</f>
        <v/>
      </c>
      <c r="B462" s="2" t="n">
        <v>43221.00653935185</v>
      </c>
      <c r="C462" t="n">
        <v>3</v>
      </c>
      <c r="D462" t="n">
        <v>5</v>
      </c>
      <c r="E462" t="s">
        <v>470</v>
      </c>
      <c r="F462" t="s"/>
      <c r="G462" t="s"/>
      <c r="H462" t="s"/>
      <c r="I462" t="s"/>
      <c r="J462" t="n">
        <v>-0.8516</v>
      </c>
      <c r="K462" t="n">
        <v>0.217</v>
      </c>
      <c r="L462" t="n">
        <v>0.737</v>
      </c>
      <c r="M462" t="n">
        <v>0.046</v>
      </c>
    </row>
    <row r="463" spans="1:13">
      <c r="A463" s="1">
        <f>HYPERLINK("http://www.twitter.com/NathanBLawrence/status/991101609596870657", "991101609596870657")</f>
        <v/>
      </c>
      <c r="B463" s="2" t="n">
        <v>43220.99087962963</v>
      </c>
      <c r="C463" t="n">
        <v>9</v>
      </c>
      <c r="D463" t="n">
        <v>5</v>
      </c>
      <c r="E463" t="s">
        <v>471</v>
      </c>
      <c r="F463" t="s"/>
      <c r="G463" t="s"/>
      <c r="H463" t="s"/>
      <c r="I463" t="s"/>
      <c r="J463" t="n">
        <v>-0.3804</v>
      </c>
      <c r="K463" t="n">
        <v>0.174</v>
      </c>
      <c r="L463" t="n">
        <v>0.711</v>
      </c>
      <c r="M463" t="n">
        <v>0.115</v>
      </c>
    </row>
    <row r="464" spans="1:13">
      <c r="A464" s="1">
        <f>HYPERLINK("http://www.twitter.com/NathanBLawrence/status/991100693946695681", "991100693946695681")</f>
        <v/>
      </c>
      <c r="B464" s="2" t="n">
        <v>43220.9883449074</v>
      </c>
      <c r="C464" t="n">
        <v>0</v>
      </c>
      <c r="D464" t="n">
        <v>40</v>
      </c>
      <c r="E464" t="s">
        <v>472</v>
      </c>
      <c r="F464">
        <f>HYPERLINK("http://pbs.twimg.com/media/DcEP1EyVAAAAJtl.jpg", "http://pbs.twimg.com/media/DcEP1EyVAAAAJtl.jpg")</f>
        <v/>
      </c>
      <c r="G464" t="s"/>
      <c r="H464" t="s"/>
      <c r="I464" t="s"/>
      <c r="J464" t="n">
        <v>0</v>
      </c>
      <c r="K464" t="n">
        <v>0</v>
      </c>
      <c r="L464" t="n">
        <v>1</v>
      </c>
      <c r="M464" t="n">
        <v>0</v>
      </c>
    </row>
    <row r="465" spans="1:13">
      <c r="A465" s="1">
        <f>HYPERLINK("http://www.twitter.com/NathanBLawrence/status/990956465836974080", "990956465836974080")</f>
        <v/>
      </c>
      <c r="B465" s="2" t="n">
        <v>43220.5903587963</v>
      </c>
      <c r="C465" t="n">
        <v>0</v>
      </c>
      <c r="D465" t="n">
        <v>2178</v>
      </c>
      <c r="E465" t="s">
        <v>473</v>
      </c>
      <c r="F465" t="s"/>
      <c r="G465" t="s"/>
      <c r="H465" t="s"/>
      <c r="I465" t="s"/>
      <c r="J465" t="n">
        <v>0.4767</v>
      </c>
      <c r="K465" t="n">
        <v>0</v>
      </c>
      <c r="L465" t="n">
        <v>0.846</v>
      </c>
      <c r="M465" t="n">
        <v>0.154</v>
      </c>
    </row>
    <row r="466" spans="1:13">
      <c r="A466" s="1">
        <f>HYPERLINK("http://www.twitter.com/NathanBLawrence/status/990953246356377600", "990953246356377600")</f>
        <v/>
      </c>
      <c r="B466" s="2" t="n">
        <v>43220.58146990741</v>
      </c>
      <c r="C466" t="n">
        <v>0</v>
      </c>
      <c r="D466" t="n">
        <v>2</v>
      </c>
      <c r="E466" t="s">
        <v>474</v>
      </c>
      <c r="F466" t="s"/>
      <c r="G466" t="s"/>
      <c r="H466" t="s"/>
      <c r="I466" t="s"/>
      <c r="J466" t="n">
        <v>0.3682</v>
      </c>
      <c r="K466" t="n">
        <v>0.067</v>
      </c>
      <c r="L466" t="n">
        <v>0.804</v>
      </c>
      <c r="M466" t="n">
        <v>0.129</v>
      </c>
    </row>
    <row r="467" spans="1:13">
      <c r="A467" s="1">
        <f>HYPERLINK("http://www.twitter.com/NathanBLawrence/status/990953235786686466", "990953235786686466")</f>
        <v/>
      </c>
      <c r="B467" s="2" t="n">
        <v>43220.58144675926</v>
      </c>
      <c r="C467" t="n">
        <v>0</v>
      </c>
      <c r="D467" t="n">
        <v>1</v>
      </c>
      <c r="E467" t="s">
        <v>475</v>
      </c>
      <c r="F467" t="s"/>
      <c r="G467" t="s"/>
      <c r="H467" t="s"/>
      <c r="I467" t="s"/>
      <c r="J467" t="n">
        <v>0.4019</v>
      </c>
      <c r="K467" t="n">
        <v>0</v>
      </c>
      <c r="L467" t="n">
        <v>0.876</v>
      </c>
      <c r="M467" t="n">
        <v>0.124</v>
      </c>
    </row>
    <row r="468" spans="1:13">
      <c r="A468" s="1">
        <f>HYPERLINK("http://www.twitter.com/NathanBLawrence/status/990952196522086400", "990952196522086400")</f>
        <v/>
      </c>
      <c r="B468" s="2" t="n">
        <v>43220.57857638889</v>
      </c>
      <c r="C468" t="n">
        <v>0</v>
      </c>
      <c r="D468" t="n">
        <v>2</v>
      </c>
      <c r="E468" t="s">
        <v>476</v>
      </c>
      <c r="F468" t="s"/>
      <c r="G468" t="s"/>
      <c r="H468" t="s"/>
      <c r="I468" t="s"/>
      <c r="J468" t="n">
        <v>-0.8717</v>
      </c>
      <c r="K468" t="n">
        <v>0.432</v>
      </c>
      <c r="L468" t="n">
        <v>0.5679999999999999</v>
      </c>
      <c r="M468" t="n">
        <v>0</v>
      </c>
    </row>
    <row r="469" spans="1:13">
      <c r="A469" s="1">
        <f>HYPERLINK("http://www.twitter.com/NathanBLawrence/status/990951796335153153", "990951796335153153")</f>
        <v/>
      </c>
      <c r="B469" s="2" t="n">
        <v>43220.57746527778</v>
      </c>
      <c r="C469" t="n">
        <v>0</v>
      </c>
      <c r="D469" t="n">
        <v>26</v>
      </c>
      <c r="E469" t="s">
        <v>477</v>
      </c>
      <c r="F469">
        <f>HYPERLINK("http://pbs.twimg.com/media/DcCEsc0W4AEMLOd.jpg", "http://pbs.twimg.com/media/DcCEsc0W4AEMLOd.jpg")</f>
        <v/>
      </c>
      <c r="G469" t="s"/>
      <c r="H469" t="s"/>
      <c r="I469" t="s"/>
      <c r="J469" t="n">
        <v>0</v>
      </c>
      <c r="K469" t="n">
        <v>0</v>
      </c>
      <c r="L469" t="n">
        <v>1</v>
      </c>
      <c r="M469" t="n">
        <v>0</v>
      </c>
    </row>
    <row r="470" spans="1:13">
      <c r="A470" s="1">
        <f>HYPERLINK("http://www.twitter.com/NathanBLawrence/status/990726851969634310", "990726851969634310")</f>
        <v/>
      </c>
      <c r="B470" s="2" t="n">
        <v>43219.95673611111</v>
      </c>
      <c r="C470" t="n">
        <v>0</v>
      </c>
      <c r="D470" t="n">
        <v>2</v>
      </c>
      <c r="E470" t="s">
        <v>478</v>
      </c>
      <c r="F470" t="s"/>
      <c r="G470" t="s"/>
      <c r="H470" t="s"/>
      <c r="I470" t="s"/>
      <c r="J470" t="n">
        <v>0.7003</v>
      </c>
      <c r="K470" t="n">
        <v>0</v>
      </c>
      <c r="L470" t="n">
        <v>0.766</v>
      </c>
      <c r="M470" t="n">
        <v>0.234</v>
      </c>
    </row>
    <row r="471" spans="1:13">
      <c r="A471" s="1">
        <f>HYPERLINK("http://www.twitter.com/NathanBLawrence/status/990725763333836800", "990725763333836800")</f>
        <v/>
      </c>
      <c r="B471" s="2" t="n">
        <v>43219.95373842592</v>
      </c>
      <c r="C471" t="n">
        <v>0</v>
      </c>
      <c r="D471" t="n">
        <v>2</v>
      </c>
      <c r="E471" t="s">
        <v>479</v>
      </c>
      <c r="F471" t="s"/>
      <c r="G471" t="s"/>
      <c r="H471" t="s"/>
      <c r="I471" t="s"/>
      <c r="J471" t="n">
        <v>-0.7925</v>
      </c>
      <c r="K471" t="n">
        <v>0.351</v>
      </c>
      <c r="L471" t="n">
        <v>0.649</v>
      </c>
      <c r="M471" t="n">
        <v>0</v>
      </c>
    </row>
    <row r="472" spans="1:13">
      <c r="A472" s="1">
        <f>HYPERLINK("http://www.twitter.com/NathanBLawrence/status/990724558360662016", "990724558360662016")</f>
        <v/>
      </c>
      <c r="B472" s="2" t="n">
        <v>43219.95041666667</v>
      </c>
      <c r="C472" t="n">
        <v>12</v>
      </c>
      <c r="D472" t="n">
        <v>7</v>
      </c>
      <c r="E472" t="s">
        <v>480</v>
      </c>
      <c r="F472" t="s"/>
      <c r="G472" t="s"/>
      <c r="H472" t="s"/>
      <c r="I472" t="s"/>
      <c r="J472" t="n">
        <v>0.7776999999999999</v>
      </c>
      <c r="K472" t="n">
        <v>0</v>
      </c>
      <c r="L472" t="n">
        <v>0.738</v>
      </c>
      <c r="M472" t="n">
        <v>0.262</v>
      </c>
    </row>
    <row r="473" spans="1:13">
      <c r="A473" s="1">
        <f>HYPERLINK("http://www.twitter.com/NathanBLawrence/status/990721248887009282", "990721248887009282")</f>
        <v/>
      </c>
      <c r="B473" s="2" t="n">
        <v>43219.94128472222</v>
      </c>
      <c r="C473" t="n">
        <v>0</v>
      </c>
      <c r="D473" t="n">
        <v>18</v>
      </c>
      <c r="E473" t="s">
        <v>481</v>
      </c>
      <c r="F473" t="s"/>
      <c r="G473" t="s"/>
      <c r="H473" t="s"/>
      <c r="I473" t="s"/>
      <c r="J473" t="n">
        <v>0.5574</v>
      </c>
      <c r="K473" t="n">
        <v>0</v>
      </c>
      <c r="L473" t="n">
        <v>0.825</v>
      </c>
      <c r="M473" t="n">
        <v>0.175</v>
      </c>
    </row>
    <row r="474" spans="1:13">
      <c r="A474" s="1">
        <f>HYPERLINK("http://www.twitter.com/NathanBLawrence/status/990720695654080513", "990720695654080513")</f>
        <v/>
      </c>
      <c r="B474" s="2" t="n">
        <v>43219.93975694444</v>
      </c>
      <c r="C474" t="n">
        <v>0</v>
      </c>
      <c r="D474" t="n">
        <v>9</v>
      </c>
      <c r="E474" t="s">
        <v>482</v>
      </c>
      <c r="F474" t="s"/>
      <c r="G474" t="s"/>
      <c r="H474" t="s"/>
      <c r="I474" t="s"/>
      <c r="J474" t="n">
        <v>0</v>
      </c>
      <c r="K474" t="n">
        <v>0</v>
      </c>
      <c r="L474" t="n">
        <v>1</v>
      </c>
      <c r="M474" t="n">
        <v>0</v>
      </c>
    </row>
    <row r="475" spans="1:13">
      <c r="A475" s="1">
        <f>HYPERLINK("http://www.twitter.com/NathanBLawrence/status/990720617665228801", "990720617665228801")</f>
        <v/>
      </c>
      <c r="B475" s="2" t="n">
        <v>43219.93953703704</v>
      </c>
      <c r="C475" t="n">
        <v>0</v>
      </c>
      <c r="D475" t="n">
        <v>10</v>
      </c>
      <c r="E475" t="s">
        <v>483</v>
      </c>
      <c r="F475" t="s"/>
      <c r="G475" t="s"/>
      <c r="H475" t="s"/>
      <c r="I475" t="s"/>
      <c r="J475" t="n">
        <v>0</v>
      </c>
      <c r="K475" t="n">
        <v>0</v>
      </c>
      <c r="L475" t="n">
        <v>1</v>
      </c>
      <c r="M475" t="n">
        <v>0</v>
      </c>
    </row>
    <row r="476" spans="1:13">
      <c r="A476" s="1">
        <f>HYPERLINK("http://www.twitter.com/NathanBLawrence/status/990719911298326530", "990719911298326530")</f>
        <v/>
      </c>
      <c r="B476" s="2" t="n">
        <v>43219.93759259259</v>
      </c>
      <c r="C476" t="n">
        <v>0</v>
      </c>
      <c r="D476" t="n">
        <v>15</v>
      </c>
      <c r="E476" t="s">
        <v>484</v>
      </c>
      <c r="F476">
        <f>HYPERLINK("https://video.twimg.com/ext_tw_video/990716019965595649/pu/vid/1280x720/QZ-gh-7kTDJccVv-.mp4?tag=3", "https://video.twimg.com/ext_tw_video/990716019965595649/pu/vid/1280x720/QZ-gh-7kTDJccVv-.mp4?tag=3")</f>
        <v/>
      </c>
      <c r="G476" t="s"/>
      <c r="H476" t="s"/>
      <c r="I476" t="s"/>
      <c r="J476" t="n">
        <v>-0.2649</v>
      </c>
      <c r="K476" t="n">
        <v>0.128</v>
      </c>
      <c r="L476" t="n">
        <v>0.787</v>
      </c>
      <c r="M476" t="n">
        <v>0.08400000000000001</v>
      </c>
    </row>
    <row r="477" spans="1:13">
      <c r="A477" s="1">
        <f>HYPERLINK("http://www.twitter.com/NathanBLawrence/status/990671798449721344", "990671798449721344")</f>
        <v/>
      </c>
      <c r="B477" s="2" t="n">
        <v>43219.80482638889</v>
      </c>
      <c r="C477" t="n">
        <v>0</v>
      </c>
      <c r="D477" t="n">
        <v>15310</v>
      </c>
      <c r="E477" t="s">
        <v>485</v>
      </c>
      <c r="F477" t="s"/>
      <c r="G477" t="s"/>
      <c r="H477" t="s"/>
      <c r="I477" t="s"/>
      <c r="J477" t="n">
        <v>-0.4939</v>
      </c>
      <c r="K477" t="n">
        <v>0.144</v>
      </c>
      <c r="L477" t="n">
        <v>0.856</v>
      </c>
      <c r="M477" t="n">
        <v>0</v>
      </c>
    </row>
    <row r="478" spans="1:13">
      <c r="A478" s="1">
        <f>HYPERLINK("http://www.twitter.com/NathanBLawrence/status/990599222394347521", "990599222394347521")</f>
        <v/>
      </c>
      <c r="B478" s="2" t="n">
        <v>43219.60454861111</v>
      </c>
      <c r="C478" t="n">
        <v>0</v>
      </c>
      <c r="D478" t="n">
        <v>448</v>
      </c>
      <c r="E478" t="s">
        <v>486</v>
      </c>
      <c r="F478">
        <f>HYPERLINK("http://pbs.twimg.com/media/Dbzb0ZFWAAAd50G.png", "http://pbs.twimg.com/media/Dbzb0ZFWAAAd50G.png")</f>
        <v/>
      </c>
      <c r="G478">
        <f>HYPERLINK("http://pbs.twimg.com/media/Dbzb1R9WAAA86k4.jpg", "http://pbs.twimg.com/media/Dbzb1R9WAAA86k4.jpg")</f>
        <v/>
      </c>
      <c r="H478" t="s"/>
      <c r="I478" t="s"/>
      <c r="J478" t="n">
        <v>0.8658</v>
      </c>
      <c r="K478" t="n">
        <v>0</v>
      </c>
      <c r="L478" t="n">
        <v>0.65</v>
      </c>
      <c r="M478" t="n">
        <v>0.35</v>
      </c>
    </row>
    <row r="479" spans="1:13">
      <c r="A479" s="1">
        <f>HYPERLINK("http://www.twitter.com/NathanBLawrence/status/990598603298271232", "990598603298271232")</f>
        <v/>
      </c>
      <c r="B479" s="2" t="n">
        <v>43219.60284722222</v>
      </c>
      <c r="C479" t="n">
        <v>0</v>
      </c>
      <c r="D479" t="n">
        <v>1255</v>
      </c>
      <c r="E479" t="s">
        <v>487</v>
      </c>
      <c r="F479" t="s"/>
      <c r="G479" t="s"/>
      <c r="H479" t="s"/>
      <c r="I479" t="s"/>
      <c r="J479" t="n">
        <v>0</v>
      </c>
      <c r="K479" t="n">
        <v>0</v>
      </c>
      <c r="L479" t="n">
        <v>1</v>
      </c>
      <c r="M479" t="n">
        <v>0</v>
      </c>
    </row>
    <row r="480" spans="1:13">
      <c r="A480" s="1">
        <f>HYPERLINK("http://www.twitter.com/NathanBLawrence/status/990598516031574016", "990598516031574016")</f>
        <v/>
      </c>
      <c r="B480" s="2" t="n">
        <v>43219.60260416667</v>
      </c>
      <c r="C480" t="n">
        <v>0</v>
      </c>
      <c r="D480" t="n">
        <v>509</v>
      </c>
      <c r="E480" t="s">
        <v>488</v>
      </c>
      <c r="F480" t="s"/>
      <c r="G480" t="s"/>
      <c r="H480" t="s"/>
      <c r="I480" t="s"/>
      <c r="J480" t="n">
        <v>-0.4767</v>
      </c>
      <c r="K480" t="n">
        <v>0.159</v>
      </c>
      <c r="L480" t="n">
        <v>0.758</v>
      </c>
      <c r="M480" t="n">
        <v>0.083</v>
      </c>
    </row>
    <row r="481" spans="1:13">
      <c r="A481" s="1">
        <f>HYPERLINK("http://www.twitter.com/NathanBLawrence/status/990597807953317890", "990597807953317890")</f>
        <v/>
      </c>
      <c r="B481" s="2" t="n">
        <v>43219.60064814815</v>
      </c>
      <c r="C481" t="n">
        <v>0</v>
      </c>
      <c r="D481" t="n">
        <v>8203</v>
      </c>
      <c r="E481" t="s">
        <v>489</v>
      </c>
      <c r="F481">
        <f>HYPERLINK("https://video.twimg.com/ext_tw_video/989660330308579330/pu/vid/1280x720/M-Kf0073vP6pd0KU.mp4?tag=3", "https://video.twimg.com/ext_tw_video/989660330308579330/pu/vid/1280x720/M-Kf0073vP6pd0KU.mp4?tag=3")</f>
        <v/>
      </c>
      <c r="G481" t="s"/>
      <c r="H481" t="s"/>
      <c r="I481" t="s"/>
      <c r="J481" t="n">
        <v>0</v>
      </c>
      <c r="K481" t="n">
        <v>0</v>
      </c>
      <c r="L481" t="n">
        <v>1</v>
      </c>
      <c r="M481" t="n">
        <v>0</v>
      </c>
    </row>
    <row r="482" spans="1:13">
      <c r="A482" s="1">
        <f>HYPERLINK("http://www.twitter.com/NathanBLawrence/status/990594054206492677", "990594054206492677")</f>
        <v/>
      </c>
      <c r="B482" s="2" t="n">
        <v>43219.59028935185</v>
      </c>
      <c r="C482" t="n">
        <v>0</v>
      </c>
      <c r="D482" t="n">
        <v>7806</v>
      </c>
      <c r="E482" t="s">
        <v>490</v>
      </c>
      <c r="F482" t="s"/>
      <c r="G482" t="s"/>
      <c r="H482" t="s"/>
      <c r="I482" t="s"/>
      <c r="J482" t="n">
        <v>0.8316</v>
      </c>
      <c r="K482" t="n">
        <v>0</v>
      </c>
      <c r="L482" t="n">
        <v>0.672</v>
      </c>
      <c r="M482" t="n">
        <v>0.328</v>
      </c>
    </row>
    <row r="483" spans="1:13">
      <c r="A483" s="1">
        <f>HYPERLINK("http://www.twitter.com/NathanBLawrence/status/990593819145105410", "990593819145105410")</f>
        <v/>
      </c>
      <c r="B483" s="2" t="n">
        <v>43219.5896412037</v>
      </c>
      <c r="C483" t="n">
        <v>0</v>
      </c>
      <c r="D483" t="n">
        <v>16388</v>
      </c>
      <c r="E483" t="s">
        <v>491</v>
      </c>
      <c r="F483" t="s"/>
      <c r="G483" t="s"/>
      <c r="H483" t="s"/>
      <c r="I483" t="s"/>
      <c r="J483" t="n">
        <v>-0.0516</v>
      </c>
      <c r="K483" t="n">
        <v>0.245</v>
      </c>
      <c r="L483" t="n">
        <v>0.516</v>
      </c>
      <c r="M483" t="n">
        <v>0.239</v>
      </c>
    </row>
    <row r="484" spans="1:13">
      <c r="A484" s="1">
        <f>HYPERLINK("http://www.twitter.com/NathanBLawrence/status/990471821370839041", "990471821370839041")</f>
        <v/>
      </c>
      <c r="B484" s="2" t="n">
        <v>43219.25298611111</v>
      </c>
      <c r="C484" t="n">
        <v>1</v>
      </c>
      <c r="D484" t="n">
        <v>0</v>
      </c>
      <c r="E484" t="s">
        <v>492</v>
      </c>
      <c r="F484" t="s"/>
      <c r="G484" t="s"/>
      <c r="H484" t="s"/>
      <c r="I484" t="s"/>
      <c r="J484" t="n">
        <v>0.1761</v>
      </c>
      <c r="K484" t="n">
        <v>0.117</v>
      </c>
      <c r="L484" t="n">
        <v>0.727</v>
      </c>
      <c r="M484" t="n">
        <v>0.156</v>
      </c>
    </row>
    <row r="485" spans="1:13">
      <c r="A485" s="1">
        <f>HYPERLINK("http://www.twitter.com/NathanBLawrence/status/990465650635177984", "990465650635177984")</f>
        <v/>
      </c>
      <c r="B485" s="2" t="n">
        <v>43219.23596064815</v>
      </c>
      <c r="C485" t="n">
        <v>0</v>
      </c>
      <c r="D485" t="n">
        <v>2593</v>
      </c>
      <c r="E485" t="s">
        <v>493</v>
      </c>
      <c r="F485" t="s"/>
      <c r="G485" t="s"/>
      <c r="H485" t="s"/>
      <c r="I485" t="s"/>
      <c r="J485" t="n">
        <v>-0.8779</v>
      </c>
      <c r="K485" t="n">
        <v>0.369</v>
      </c>
      <c r="L485" t="n">
        <v>0.631</v>
      </c>
      <c r="M485" t="n">
        <v>0</v>
      </c>
    </row>
    <row r="486" spans="1:13">
      <c r="A486" s="1">
        <f>HYPERLINK("http://www.twitter.com/NathanBLawrence/status/990452749916614656", "990452749916614656")</f>
        <v/>
      </c>
      <c r="B486" s="2" t="n">
        <v>43219.2003587963</v>
      </c>
      <c r="C486" t="n">
        <v>0</v>
      </c>
      <c r="D486" t="n">
        <v>7833</v>
      </c>
      <c r="E486" t="s">
        <v>494</v>
      </c>
      <c r="F486" t="s"/>
      <c r="G486" t="s"/>
      <c r="H486" t="s"/>
      <c r="I486" t="s"/>
      <c r="J486" t="n">
        <v>-0.8023</v>
      </c>
      <c r="K486" t="n">
        <v>0.302</v>
      </c>
      <c r="L486" t="n">
        <v>0.698</v>
      </c>
      <c r="M486" t="n">
        <v>0</v>
      </c>
    </row>
    <row r="487" spans="1:13">
      <c r="A487" s="1">
        <f>HYPERLINK("http://www.twitter.com/NathanBLawrence/status/990332314596073479", "990332314596073479")</f>
        <v/>
      </c>
      <c r="B487" s="2" t="n">
        <v>43218.86802083333</v>
      </c>
      <c r="C487" t="n">
        <v>3</v>
      </c>
      <c r="D487" t="n">
        <v>0</v>
      </c>
      <c r="E487" t="s">
        <v>495</v>
      </c>
      <c r="F487" t="s"/>
      <c r="G487" t="s"/>
      <c r="H487" t="s"/>
      <c r="I487" t="s"/>
      <c r="J487" t="n">
        <v>-0.1027</v>
      </c>
      <c r="K487" t="n">
        <v>0.18</v>
      </c>
      <c r="L487" t="n">
        <v>0.625</v>
      </c>
      <c r="M487" t="n">
        <v>0.195</v>
      </c>
    </row>
    <row r="488" spans="1:13">
      <c r="A488" s="1">
        <f>HYPERLINK("http://www.twitter.com/NathanBLawrence/status/990285407836426241", "990285407836426241")</f>
        <v/>
      </c>
      <c r="B488" s="2" t="n">
        <v>43218.73858796297</v>
      </c>
      <c r="C488" t="n">
        <v>3</v>
      </c>
      <c r="D488" t="n">
        <v>0</v>
      </c>
      <c r="E488" t="s">
        <v>496</v>
      </c>
      <c r="F488" t="s"/>
      <c r="G488" t="s"/>
      <c r="H488" t="s"/>
      <c r="I488" t="s"/>
      <c r="J488" t="n">
        <v>-0.3743</v>
      </c>
      <c r="K488" t="n">
        <v>0.094</v>
      </c>
      <c r="L488" t="n">
        <v>0.824</v>
      </c>
      <c r="M488" t="n">
        <v>0.082</v>
      </c>
    </row>
    <row r="489" spans="1:13">
      <c r="A489" s="1">
        <f>HYPERLINK("http://www.twitter.com/NathanBLawrence/status/990282139789819904", "990282139789819904")</f>
        <v/>
      </c>
      <c r="B489" s="2" t="n">
        <v>43218.72957175926</v>
      </c>
      <c r="C489" t="n">
        <v>9</v>
      </c>
      <c r="D489" t="n">
        <v>8</v>
      </c>
      <c r="E489" t="s">
        <v>497</v>
      </c>
      <c r="F489" t="s"/>
      <c r="G489" t="s"/>
      <c r="H489" t="s"/>
      <c r="I489" t="s"/>
      <c r="J489" t="n">
        <v>0.4019</v>
      </c>
      <c r="K489" t="n">
        <v>0</v>
      </c>
      <c r="L489" t="n">
        <v>0.945</v>
      </c>
      <c r="M489" t="n">
        <v>0.055</v>
      </c>
    </row>
    <row r="490" spans="1:13">
      <c r="A490" s="1">
        <f>HYPERLINK("http://www.twitter.com/NathanBLawrence/status/990280791363129346", "990280791363129346")</f>
        <v/>
      </c>
      <c r="B490" s="2" t="n">
        <v>43218.72584490741</v>
      </c>
      <c r="C490" t="n">
        <v>0</v>
      </c>
      <c r="D490" t="n">
        <v>4</v>
      </c>
      <c r="E490" t="s">
        <v>498</v>
      </c>
      <c r="F490" t="s"/>
      <c r="G490" t="s"/>
      <c r="H490" t="s"/>
      <c r="I490" t="s"/>
      <c r="J490" t="n">
        <v>0.3058</v>
      </c>
      <c r="K490" t="n">
        <v>0.182</v>
      </c>
      <c r="L490" t="n">
        <v>0.595</v>
      </c>
      <c r="M490" t="n">
        <v>0.223</v>
      </c>
    </row>
    <row r="491" spans="1:13">
      <c r="A491" s="1">
        <f>HYPERLINK("http://www.twitter.com/NathanBLawrence/status/990279774739292160", "990279774739292160")</f>
        <v/>
      </c>
      <c r="B491" s="2" t="n">
        <v>43218.72304398148</v>
      </c>
      <c r="C491" t="n">
        <v>0</v>
      </c>
      <c r="D491" t="n">
        <v>10</v>
      </c>
      <c r="E491" t="s">
        <v>499</v>
      </c>
      <c r="F491" t="s"/>
      <c r="G491" t="s"/>
      <c r="H491" t="s"/>
      <c r="I491" t="s"/>
      <c r="J491" t="n">
        <v>-0.4023</v>
      </c>
      <c r="K491" t="n">
        <v>0.119</v>
      </c>
      <c r="L491" t="n">
        <v>0.881</v>
      </c>
      <c r="M491" t="n">
        <v>0</v>
      </c>
    </row>
    <row r="492" spans="1:13">
      <c r="A492" s="1">
        <f>HYPERLINK("http://www.twitter.com/NathanBLawrence/status/990279435361443842", "990279435361443842")</f>
        <v/>
      </c>
      <c r="B492" s="2" t="n">
        <v>43218.72210648148</v>
      </c>
      <c r="C492" t="n">
        <v>0</v>
      </c>
      <c r="D492" t="n">
        <v>335</v>
      </c>
      <c r="E492" t="s">
        <v>500</v>
      </c>
      <c r="F492" t="s"/>
      <c r="G492" t="s"/>
      <c r="H492" t="s"/>
      <c r="I492" t="s"/>
      <c r="J492" t="n">
        <v>0.5622</v>
      </c>
      <c r="K492" t="n">
        <v>0.091</v>
      </c>
      <c r="L492" t="n">
        <v>0.681</v>
      </c>
      <c r="M492" t="n">
        <v>0.228</v>
      </c>
    </row>
    <row r="493" spans="1:13">
      <c r="A493" s="1">
        <f>HYPERLINK("http://www.twitter.com/NathanBLawrence/status/990278517563764738", "990278517563764738")</f>
        <v/>
      </c>
      <c r="B493" s="2" t="n">
        <v>43218.71957175926</v>
      </c>
      <c r="C493" t="n">
        <v>0</v>
      </c>
      <c r="D493" t="n">
        <v>484</v>
      </c>
      <c r="E493" t="s">
        <v>501</v>
      </c>
      <c r="F493">
        <f>HYPERLINK("https://video.twimg.com/ext_tw_video/990253593251975168/pu/vid/1280x720/mkPyRu1iqWfVDcBZ.mp4?tag=3", "https://video.twimg.com/ext_tw_video/990253593251975168/pu/vid/1280x720/mkPyRu1iqWfVDcBZ.mp4?tag=3")</f>
        <v/>
      </c>
      <c r="G493" t="s"/>
      <c r="H493" t="s"/>
      <c r="I493" t="s"/>
      <c r="J493" t="n">
        <v>-0.6908</v>
      </c>
      <c r="K493" t="n">
        <v>0.19</v>
      </c>
      <c r="L493" t="n">
        <v>0.8100000000000001</v>
      </c>
      <c r="M493" t="n">
        <v>0</v>
      </c>
    </row>
    <row r="494" spans="1:13">
      <c r="A494" s="1">
        <f>HYPERLINK("http://www.twitter.com/NathanBLawrence/status/990260695877943296", "990260695877943296")</f>
        <v/>
      </c>
      <c r="B494" s="2" t="n">
        <v>43218.67039351852</v>
      </c>
      <c r="C494" t="n">
        <v>0</v>
      </c>
      <c r="D494" t="n">
        <v>2</v>
      </c>
      <c r="E494" t="s">
        <v>502</v>
      </c>
      <c r="F494" t="s"/>
      <c r="G494" t="s"/>
      <c r="H494" t="s"/>
      <c r="I494" t="s"/>
      <c r="J494" t="n">
        <v>0</v>
      </c>
      <c r="K494" t="n">
        <v>0</v>
      </c>
      <c r="L494" t="n">
        <v>1</v>
      </c>
      <c r="M494" t="n">
        <v>0</v>
      </c>
    </row>
    <row r="495" spans="1:13">
      <c r="A495" s="1">
        <f>HYPERLINK("http://www.twitter.com/NathanBLawrence/status/990260258487570432", "990260258487570432")</f>
        <v/>
      </c>
      <c r="B495" s="2" t="n">
        <v>43218.66918981481</v>
      </c>
      <c r="C495" t="n">
        <v>0</v>
      </c>
      <c r="D495" t="n">
        <v>5468</v>
      </c>
      <c r="E495" t="s">
        <v>503</v>
      </c>
      <c r="F495" t="s"/>
      <c r="G495" t="s"/>
      <c r="H495" t="s"/>
      <c r="I495" t="s"/>
      <c r="J495" t="n">
        <v>-0.7269</v>
      </c>
      <c r="K495" t="n">
        <v>0.21</v>
      </c>
      <c r="L495" t="n">
        <v>0.79</v>
      </c>
      <c r="M495" t="n">
        <v>0</v>
      </c>
    </row>
    <row r="496" spans="1:13">
      <c r="A496" s="1">
        <f>HYPERLINK("http://www.twitter.com/NathanBLawrence/status/990255641787813888", "990255641787813888")</f>
        <v/>
      </c>
      <c r="B496" s="2" t="n">
        <v>43218.65644675926</v>
      </c>
      <c r="C496" t="n">
        <v>0</v>
      </c>
      <c r="D496" t="n">
        <v>1363</v>
      </c>
      <c r="E496" t="s">
        <v>504</v>
      </c>
      <c r="F496">
        <f>HYPERLINK("http://pbs.twimg.com/media/Db4Q4u4XkAEQwHQ.jpg", "http://pbs.twimg.com/media/Db4Q4u4XkAEQwHQ.jpg")</f>
        <v/>
      </c>
      <c r="G496" t="s"/>
      <c r="H496" t="s"/>
      <c r="I496" t="s"/>
      <c r="J496" t="n">
        <v>-0.8270999999999999</v>
      </c>
      <c r="K496" t="n">
        <v>0.386</v>
      </c>
      <c r="L496" t="n">
        <v>0.5580000000000001</v>
      </c>
      <c r="M496" t="n">
        <v>0.056</v>
      </c>
    </row>
    <row r="497" spans="1:13">
      <c r="A497" s="1">
        <f>HYPERLINK("http://www.twitter.com/NathanBLawrence/status/990253397386416129", "990253397386416129")</f>
        <v/>
      </c>
      <c r="B497" s="2" t="n">
        <v>43218.65025462963</v>
      </c>
      <c r="C497" t="n">
        <v>0</v>
      </c>
      <c r="D497" t="n">
        <v>16</v>
      </c>
      <c r="E497" t="s">
        <v>505</v>
      </c>
      <c r="F497" t="s"/>
      <c r="G497" t="s"/>
      <c r="H497" t="s"/>
      <c r="I497" t="s"/>
      <c r="J497" t="n">
        <v>-0.5946</v>
      </c>
      <c r="K497" t="n">
        <v>0.291</v>
      </c>
      <c r="L497" t="n">
        <v>0.572</v>
      </c>
      <c r="M497" t="n">
        <v>0.137</v>
      </c>
    </row>
    <row r="498" spans="1:13">
      <c r="A498" s="1">
        <f>HYPERLINK("http://www.twitter.com/NathanBLawrence/status/990250417652224000", "990250417652224000")</f>
        <v/>
      </c>
      <c r="B498" s="2" t="n">
        <v>43218.64203703704</v>
      </c>
      <c r="C498" t="n">
        <v>0</v>
      </c>
      <c r="D498" t="n">
        <v>8</v>
      </c>
      <c r="E498" t="s">
        <v>506</v>
      </c>
      <c r="F498" t="s"/>
      <c r="G498" t="s"/>
      <c r="H498" t="s"/>
      <c r="I498" t="s"/>
      <c r="J498" t="n">
        <v>-0.1926</v>
      </c>
      <c r="K498" t="n">
        <v>0.081</v>
      </c>
      <c r="L498" t="n">
        <v>0.919</v>
      </c>
      <c r="M498" t="n">
        <v>0</v>
      </c>
    </row>
    <row r="499" spans="1:13">
      <c r="A499" s="1">
        <f>HYPERLINK("http://www.twitter.com/NathanBLawrence/status/990249211554877440", "990249211554877440")</f>
        <v/>
      </c>
      <c r="B499" s="2" t="n">
        <v>43218.63870370371</v>
      </c>
      <c r="C499" t="n">
        <v>0</v>
      </c>
      <c r="D499" t="n">
        <v>8</v>
      </c>
      <c r="E499" t="s">
        <v>507</v>
      </c>
      <c r="F499" t="s"/>
      <c r="G499" t="s"/>
      <c r="H499" t="s"/>
      <c r="I499" t="s"/>
      <c r="J499" t="n">
        <v>0.5185999999999999</v>
      </c>
      <c r="K499" t="n">
        <v>0.126</v>
      </c>
      <c r="L499" t="n">
        <v>0.672</v>
      </c>
      <c r="M499" t="n">
        <v>0.202</v>
      </c>
    </row>
    <row r="500" spans="1:13">
      <c r="A500" s="1">
        <f>HYPERLINK("http://www.twitter.com/NathanBLawrence/status/990006005672169472", "990006005672169472")</f>
        <v/>
      </c>
      <c r="B500" s="2" t="n">
        <v>43217.96758101852</v>
      </c>
      <c r="C500" t="n">
        <v>0</v>
      </c>
      <c r="D500" t="n">
        <v>2</v>
      </c>
      <c r="E500" t="s">
        <v>508</v>
      </c>
      <c r="F500" t="s"/>
      <c r="G500" t="s"/>
      <c r="H500" t="s"/>
      <c r="I500" t="s"/>
      <c r="J500" t="n">
        <v>-0.296</v>
      </c>
      <c r="K500" t="n">
        <v>0.099</v>
      </c>
      <c r="L500" t="n">
        <v>0.901</v>
      </c>
      <c r="M500" t="n">
        <v>0</v>
      </c>
    </row>
    <row r="501" spans="1:13">
      <c r="A501" s="1">
        <f>HYPERLINK("http://www.twitter.com/NathanBLawrence/status/990003381421903874", "990003381421903874")</f>
        <v/>
      </c>
      <c r="B501" s="2" t="n">
        <v>43217.96034722222</v>
      </c>
      <c r="C501" t="n">
        <v>0</v>
      </c>
      <c r="D501" t="n">
        <v>2</v>
      </c>
      <c r="E501" t="s">
        <v>509</v>
      </c>
      <c r="F501" t="s"/>
      <c r="G501" t="s"/>
      <c r="H501" t="s"/>
      <c r="I501" t="s"/>
      <c r="J501" t="n">
        <v>0</v>
      </c>
      <c r="K501" t="n">
        <v>0</v>
      </c>
      <c r="L501" t="n">
        <v>1</v>
      </c>
      <c r="M501" t="n">
        <v>0</v>
      </c>
    </row>
    <row r="502" spans="1:13">
      <c r="A502" s="1">
        <f>HYPERLINK("http://www.twitter.com/NathanBLawrence/status/990002808593186816", "990002808593186816")</f>
        <v/>
      </c>
      <c r="B502" s="2" t="n">
        <v>43217.95876157407</v>
      </c>
      <c r="C502" t="n">
        <v>0</v>
      </c>
      <c r="D502" t="n">
        <v>1</v>
      </c>
      <c r="E502" t="s">
        <v>510</v>
      </c>
      <c r="F502" t="s"/>
      <c r="G502" t="s"/>
      <c r="H502" t="s"/>
      <c r="I502" t="s"/>
      <c r="J502" t="n">
        <v>0</v>
      </c>
      <c r="K502" t="n">
        <v>0</v>
      </c>
      <c r="L502" t="n">
        <v>1</v>
      </c>
      <c r="M502" t="n">
        <v>0</v>
      </c>
    </row>
    <row r="503" spans="1:13">
      <c r="A503" s="1">
        <f>HYPERLINK("http://www.twitter.com/NathanBLawrence/status/989952452794478595", "989952452794478595")</f>
        <v/>
      </c>
      <c r="B503" s="2" t="n">
        <v>43217.81980324074</v>
      </c>
      <c r="C503" t="n">
        <v>0</v>
      </c>
      <c r="D503" t="n">
        <v>1</v>
      </c>
      <c r="E503" t="s">
        <v>511</v>
      </c>
      <c r="F503" t="s"/>
      <c r="G503" t="s"/>
      <c r="H503" t="s"/>
      <c r="I503" t="s"/>
      <c r="J503" t="n">
        <v>-0.6369</v>
      </c>
      <c r="K503" t="n">
        <v>0.225</v>
      </c>
      <c r="L503" t="n">
        <v>0.6860000000000001</v>
      </c>
      <c r="M503" t="n">
        <v>0.08799999999999999</v>
      </c>
    </row>
    <row r="504" spans="1:13">
      <c r="A504" s="1">
        <f>HYPERLINK("http://www.twitter.com/NathanBLawrence/status/989912813316591617", "989912813316591617")</f>
        <v/>
      </c>
      <c r="B504" s="2" t="n">
        <v>43217.71042824074</v>
      </c>
      <c r="C504" t="n">
        <v>0</v>
      </c>
      <c r="D504" t="n">
        <v>4986</v>
      </c>
      <c r="E504" t="s">
        <v>512</v>
      </c>
      <c r="F504" t="s"/>
      <c r="G504" t="s"/>
      <c r="H504" t="s"/>
      <c r="I504" t="s"/>
      <c r="J504" t="n">
        <v>0.8555</v>
      </c>
      <c r="K504" t="n">
        <v>0.042</v>
      </c>
      <c r="L504" t="n">
        <v>0.625</v>
      </c>
      <c r="M504" t="n">
        <v>0.333</v>
      </c>
    </row>
    <row r="505" spans="1:13">
      <c r="A505" s="1">
        <f>HYPERLINK("http://www.twitter.com/NathanBLawrence/status/989866528748331008", "989866528748331008")</f>
        <v/>
      </c>
      <c r="B505" s="2" t="n">
        <v>43217.58269675926</v>
      </c>
      <c r="C505" t="n">
        <v>0</v>
      </c>
      <c r="D505" t="n">
        <v>9</v>
      </c>
      <c r="E505" t="s">
        <v>513</v>
      </c>
      <c r="F505">
        <f>HYPERLINK("http://pbs.twimg.com/media/DbyxAPmVAAULL79.jpg", "http://pbs.twimg.com/media/DbyxAPmVAAULL79.jpg")</f>
        <v/>
      </c>
      <c r="G505" t="s"/>
      <c r="H505" t="s"/>
      <c r="I505" t="s"/>
      <c r="J505" t="n">
        <v>0</v>
      </c>
      <c r="K505" t="n">
        <v>0</v>
      </c>
      <c r="L505" t="n">
        <v>1</v>
      </c>
      <c r="M505" t="n">
        <v>0</v>
      </c>
    </row>
    <row r="506" spans="1:13">
      <c r="A506" s="1">
        <f>HYPERLINK("http://www.twitter.com/NathanBLawrence/status/989701403168985089", "989701403168985089")</f>
        <v/>
      </c>
      <c r="B506" s="2" t="n">
        <v>43217.12703703704</v>
      </c>
      <c r="C506" t="n">
        <v>3</v>
      </c>
      <c r="D506" t="n">
        <v>1</v>
      </c>
      <c r="E506" t="s">
        <v>514</v>
      </c>
      <c r="F506" t="s"/>
      <c r="G506" t="s"/>
      <c r="H506" t="s"/>
      <c r="I506" t="s"/>
      <c r="J506" t="n">
        <v>-0.358</v>
      </c>
      <c r="K506" t="n">
        <v>0.163</v>
      </c>
      <c r="L506" t="n">
        <v>0.735</v>
      </c>
      <c r="M506" t="n">
        <v>0.102</v>
      </c>
    </row>
    <row r="507" spans="1:13">
      <c r="A507" s="1">
        <f>HYPERLINK("http://www.twitter.com/NathanBLawrence/status/989689155629314049", "989689155629314049")</f>
        <v/>
      </c>
      <c r="B507" s="2" t="n">
        <v>43217.09324074074</v>
      </c>
      <c r="C507" t="n">
        <v>6</v>
      </c>
      <c r="D507" t="n">
        <v>2</v>
      </c>
      <c r="E507" t="s">
        <v>515</v>
      </c>
      <c r="F507" t="s"/>
      <c r="G507" t="s"/>
      <c r="H507" t="s"/>
      <c r="I507" t="s"/>
      <c r="J507" t="n">
        <v>0.8762</v>
      </c>
      <c r="K507" t="n">
        <v>0</v>
      </c>
      <c r="L507" t="n">
        <v>0.726</v>
      </c>
      <c r="M507" t="n">
        <v>0.274</v>
      </c>
    </row>
    <row r="508" spans="1:13">
      <c r="A508" s="1">
        <f>HYPERLINK("http://www.twitter.com/NathanBLawrence/status/989684137857515522", "989684137857515522")</f>
        <v/>
      </c>
      <c r="B508" s="2" t="n">
        <v>43217.07939814815</v>
      </c>
      <c r="C508" t="n">
        <v>13</v>
      </c>
      <c r="D508" t="n">
        <v>12</v>
      </c>
      <c r="E508" t="s">
        <v>516</v>
      </c>
      <c r="F508" t="s"/>
      <c r="G508" t="s"/>
      <c r="H508" t="s"/>
      <c r="I508" t="s"/>
      <c r="J508" t="n">
        <v>0</v>
      </c>
      <c r="K508" t="n">
        <v>0</v>
      </c>
      <c r="L508" t="n">
        <v>1</v>
      </c>
      <c r="M508" t="n">
        <v>0</v>
      </c>
    </row>
    <row r="509" spans="1:13">
      <c r="A509" s="1">
        <f>HYPERLINK("http://www.twitter.com/NathanBLawrence/status/989655565554110464", "989655565554110464")</f>
        <v/>
      </c>
      <c r="B509" s="2" t="n">
        <v>43217.00055555555</v>
      </c>
      <c r="C509" t="n">
        <v>0</v>
      </c>
      <c r="D509" t="n">
        <v>64</v>
      </c>
      <c r="E509" t="s">
        <v>517</v>
      </c>
      <c r="F509">
        <f>HYPERLINK("http://pbs.twimg.com/media/Dbt6xk0VAAAOJpt.jpg", "http://pbs.twimg.com/media/Dbt6xk0VAAAOJpt.jpg")</f>
        <v/>
      </c>
      <c r="G509" t="s"/>
      <c r="H509" t="s"/>
      <c r="I509" t="s"/>
      <c r="J509" t="n">
        <v>-0.5574</v>
      </c>
      <c r="K509" t="n">
        <v>0.141</v>
      </c>
      <c r="L509" t="n">
        <v>0.859</v>
      </c>
      <c r="M509" t="n">
        <v>0</v>
      </c>
    </row>
    <row r="510" spans="1:13">
      <c r="A510" s="1">
        <f>HYPERLINK("http://www.twitter.com/NathanBLawrence/status/989652706355761152", "989652706355761152")</f>
        <v/>
      </c>
      <c r="B510" s="2" t="n">
        <v>43216.99266203704</v>
      </c>
      <c r="C510" t="n">
        <v>0</v>
      </c>
      <c r="D510" t="n">
        <v>9295</v>
      </c>
      <c r="E510" t="s">
        <v>518</v>
      </c>
      <c r="F510" t="s"/>
      <c r="G510" t="s"/>
      <c r="H510" t="s"/>
      <c r="I510" t="s"/>
      <c r="J510" t="n">
        <v>0.6523</v>
      </c>
      <c r="K510" t="n">
        <v>0</v>
      </c>
      <c r="L510" t="n">
        <v>0.805</v>
      </c>
      <c r="M510" t="n">
        <v>0.195</v>
      </c>
    </row>
    <row r="511" spans="1:13">
      <c r="A511" s="1">
        <f>HYPERLINK("http://www.twitter.com/NathanBLawrence/status/989648760526471168", "989648760526471168")</f>
        <v/>
      </c>
      <c r="B511" s="2" t="n">
        <v>43216.98177083334</v>
      </c>
      <c r="C511" t="n">
        <v>0</v>
      </c>
      <c r="D511" t="n">
        <v>622</v>
      </c>
      <c r="E511" t="s">
        <v>519</v>
      </c>
      <c r="F511">
        <f>HYPERLINK("http://pbs.twimg.com/media/Dbvccj_VAAAXRhv.jpg", "http://pbs.twimg.com/media/Dbvccj_VAAAXRhv.jpg")</f>
        <v/>
      </c>
      <c r="G511" t="s"/>
      <c r="H511" t="s"/>
      <c r="I511" t="s"/>
      <c r="J511" t="n">
        <v>-0.2481</v>
      </c>
      <c r="K511" t="n">
        <v>0.122</v>
      </c>
      <c r="L511" t="n">
        <v>0.792</v>
      </c>
      <c r="M511" t="n">
        <v>0.08599999999999999</v>
      </c>
    </row>
    <row r="512" spans="1:13">
      <c r="A512" s="1">
        <f>HYPERLINK("http://www.twitter.com/NathanBLawrence/status/989644575479345152", "989644575479345152")</f>
        <v/>
      </c>
      <c r="B512" s="2" t="n">
        <v>43216.97023148148</v>
      </c>
      <c r="C512" t="n">
        <v>0</v>
      </c>
      <c r="D512" t="n">
        <v>1354</v>
      </c>
      <c r="E512" t="s">
        <v>520</v>
      </c>
      <c r="F512">
        <f>HYPERLINK("http://pbs.twimg.com/media/Dbt3eVbWsAAVuec.jpg", "http://pbs.twimg.com/media/Dbt3eVbWsAAVuec.jpg")</f>
        <v/>
      </c>
      <c r="G512" t="s"/>
      <c r="H512" t="s"/>
      <c r="I512" t="s"/>
      <c r="J512" t="n">
        <v>-0.3612</v>
      </c>
      <c r="K512" t="n">
        <v>0.111</v>
      </c>
      <c r="L512" t="n">
        <v>0.889</v>
      </c>
      <c r="M512" t="n">
        <v>0</v>
      </c>
    </row>
    <row r="513" spans="1:13">
      <c r="A513" s="1">
        <f>HYPERLINK("http://www.twitter.com/NathanBLawrence/status/989642862915739648", "989642862915739648")</f>
        <v/>
      </c>
      <c r="B513" s="2" t="n">
        <v>43216.96549768518</v>
      </c>
      <c r="C513" t="n">
        <v>0</v>
      </c>
      <c r="D513" t="n">
        <v>9</v>
      </c>
      <c r="E513" t="s">
        <v>521</v>
      </c>
      <c r="F513" t="s"/>
      <c r="G513" t="s"/>
      <c r="H513" t="s"/>
      <c r="I513" t="s"/>
      <c r="J513" t="n">
        <v>0</v>
      </c>
      <c r="K513" t="n">
        <v>0</v>
      </c>
      <c r="L513" t="n">
        <v>1</v>
      </c>
      <c r="M513" t="n">
        <v>0</v>
      </c>
    </row>
    <row r="514" spans="1:13">
      <c r="A514" s="1">
        <f>HYPERLINK("http://www.twitter.com/NathanBLawrence/status/989639878592909312", "989639878592909312")</f>
        <v/>
      </c>
      <c r="B514" s="2" t="n">
        <v>43216.95726851852</v>
      </c>
      <c r="C514" t="n">
        <v>5</v>
      </c>
      <c r="D514" t="n">
        <v>2</v>
      </c>
      <c r="E514" t="s">
        <v>522</v>
      </c>
      <c r="F514" t="s"/>
      <c r="G514" t="s"/>
      <c r="H514" t="s"/>
      <c r="I514" t="s"/>
      <c r="J514" t="n">
        <v>0</v>
      </c>
      <c r="K514" t="n">
        <v>0</v>
      </c>
      <c r="L514" t="n">
        <v>1</v>
      </c>
      <c r="M514" t="n">
        <v>0</v>
      </c>
    </row>
    <row r="515" spans="1:13">
      <c r="A515" s="1">
        <f>HYPERLINK("http://www.twitter.com/NathanBLawrence/status/989607980453761025", "989607980453761025")</f>
        <v/>
      </c>
      <c r="B515" s="2" t="n">
        <v>43216.86924768519</v>
      </c>
      <c r="C515" t="n">
        <v>0</v>
      </c>
      <c r="D515" t="n">
        <v>5112</v>
      </c>
      <c r="E515" t="s">
        <v>523</v>
      </c>
      <c r="F515" t="s"/>
      <c r="G515" t="s"/>
      <c r="H515" t="s"/>
      <c r="I515" t="s"/>
      <c r="J515" t="n">
        <v>0</v>
      </c>
      <c r="K515" t="n">
        <v>0</v>
      </c>
      <c r="L515" t="n">
        <v>1</v>
      </c>
      <c r="M515" t="n">
        <v>0</v>
      </c>
    </row>
    <row r="516" spans="1:13">
      <c r="A516" s="1">
        <f>HYPERLINK("http://www.twitter.com/NathanBLawrence/status/989606643506778113", "989606643506778113")</f>
        <v/>
      </c>
      <c r="B516" s="2" t="n">
        <v>43216.86555555555</v>
      </c>
      <c r="C516" t="n">
        <v>0</v>
      </c>
      <c r="D516" t="n">
        <v>12</v>
      </c>
      <c r="E516" t="s">
        <v>524</v>
      </c>
      <c r="F516" t="s"/>
      <c r="G516" t="s"/>
      <c r="H516" t="s"/>
      <c r="I516" t="s"/>
      <c r="J516" t="n">
        <v>0.128</v>
      </c>
      <c r="K516" t="n">
        <v>0</v>
      </c>
      <c r="L516" t="n">
        <v>0.897</v>
      </c>
      <c r="M516" t="n">
        <v>0.103</v>
      </c>
    </row>
    <row r="517" spans="1:13">
      <c r="A517" s="1">
        <f>HYPERLINK("http://www.twitter.com/NathanBLawrence/status/989603432691625990", "989603432691625990")</f>
        <v/>
      </c>
      <c r="B517" s="2" t="n">
        <v>43216.85668981481</v>
      </c>
      <c r="C517" t="n">
        <v>0</v>
      </c>
      <c r="D517" t="n">
        <v>1</v>
      </c>
      <c r="E517" t="s">
        <v>525</v>
      </c>
      <c r="F517" t="s"/>
      <c r="G517" t="s"/>
      <c r="H517" t="s"/>
      <c r="I517" t="s"/>
      <c r="J517" t="n">
        <v>0</v>
      </c>
      <c r="K517" t="n">
        <v>0</v>
      </c>
      <c r="L517" t="n">
        <v>1</v>
      </c>
      <c r="M517" t="n">
        <v>0</v>
      </c>
    </row>
    <row r="518" spans="1:13">
      <c r="A518" s="1">
        <f>HYPERLINK("http://www.twitter.com/NathanBLawrence/status/989602650600759297", "989602650600759297")</f>
        <v/>
      </c>
      <c r="B518" s="2" t="n">
        <v>43216.85453703703</v>
      </c>
      <c r="C518" t="n">
        <v>0</v>
      </c>
      <c r="D518" t="n">
        <v>6</v>
      </c>
      <c r="E518" t="s">
        <v>526</v>
      </c>
      <c r="F518" t="s"/>
      <c r="G518" t="s"/>
      <c r="H518" t="s"/>
      <c r="I518" t="s"/>
      <c r="J518" t="n">
        <v>0</v>
      </c>
      <c r="K518" t="n">
        <v>0</v>
      </c>
      <c r="L518" t="n">
        <v>1</v>
      </c>
      <c r="M518" t="n">
        <v>0</v>
      </c>
    </row>
    <row r="519" spans="1:13">
      <c r="A519" s="1">
        <f>HYPERLINK("http://www.twitter.com/NathanBLawrence/status/989602609462960128", "989602609462960128")</f>
        <v/>
      </c>
      <c r="B519" s="2" t="n">
        <v>43216.8544212963</v>
      </c>
      <c r="C519" t="n">
        <v>0</v>
      </c>
      <c r="D519" t="n">
        <v>13</v>
      </c>
      <c r="E519" t="s">
        <v>527</v>
      </c>
      <c r="F519" t="s"/>
      <c r="G519" t="s"/>
      <c r="H519" t="s"/>
      <c r="I519" t="s"/>
      <c r="J519" t="n">
        <v>-0.2732</v>
      </c>
      <c r="K519" t="n">
        <v>0.095</v>
      </c>
      <c r="L519" t="n">
        <v>0.905</v>
      </c>
      <c r="M519" t="n">
        <v>0</v>
      </c>
    </row>
    <row r="520" spans="1:13">
      <c r="A520" s="1">
        <f>HYPERLINK("http://www.twitter.com/NathanBLawrence/status/989600030372827137", "989600030372827137")</f>
        <v/>
      </c>
      <c r="B520" s="2" t="n">
        <v>43216.84730324074</v>
      </c>
      <c r="C520" t="n">
        <v>0</v>
      </c>
      <c r="D520" t="n">
        <v>6</v>
      </c>
      <c r="E520" t="s">
        <v>528</v>
      </c>
      <c r="F520" t="s"/>
      <c r="G520" t="s"/>
      <c r="H520" t="s"/>
      <c r="I520" t="s"/>
      <c r="J520" t="n">
        <v>-0.3939</v>
      </c>
      <c r="K520" t="n">
        <v>0.104</v>
      </c>
      <c r="L520" t="n">
        <v>0.896</v>
      </c>
      <c r="M520" t="n">
        <v>0</v>
      </c>
    </row>
    <row r="521" spans="1:13">
      <c r="A521" s="1">
        <f>HYPERLINK("http://www.twitter.com/NathanBLawrence/status/989599451512786944", "989599451512786944")</f>
        <v/>
      </c>
      <c r="B521" s="2" t="n">
        <v>43216.84570601852</v>
      </c>
      <c r="C521" t="n">
        <v>0</v>
      </c>
      <c r="D521" t="n">
        <v>6</v>
      </c>
      <c r="E521" t="s">
        <v>529</v>
      </c>
      <c r="F521" t="s"/>
      <c r="G521" t="s"/>
      <c r="H521" t="s"/>
      <c r="I521" t="s"/>
      <c r="J521" t="n">
        <v>0</v>
      </c>
      <c r="K521" t="n">
        <v>0</v>
      </c>
      <c r="L521" t="n">
        <v>1</v>
      </c>
      <c r="M521" t="n">
        <v>0</v>
      </c>
    </row>
    <row r="522" spans="1:13">
      <c r="A522" s="1">
        <f>HYPERLINK("http://www.twitter.com/NathanBLawrence/status/989599103762956289", "989599103762956289")</f>
        <v/>
      </c>
      <c r="B522" s="2" t="n">
        <v>43216.84474537037</v>
      </c>
      <c r="C522" t="n">
        <v>0</v>
      </c>
      <c r="D522" t="n">
        <v>11</v>
      </c>
      <c r="E522" t="s">
        <v>530</v>
      </c>
      <c r="F522" t="s"/>
      <c r="G522" t="s"/>
      <c r="H522" t="s"/>
      <c r="I522" t="s"/>
      <c r="J522" t="n">
        <v>-0.6515</v>
      </c>
      <c r="K522" t="n">
        <v>0.239</v>
      </c>
      <c r="L522" t="n">
        <v>0.761</v>
      </c>
      <c r="M522" t="n">
        <v>0</v>
      </c>
    </row>
    <row r="523" spans="1:13">
      <c r="A523" s="1">
        <f>HYPERLINK("http://www.twitter.com/NathanBLawrence/status/989585312245575681", "989585312245575681")</f>
        <v/>
      </c>
      <c r="B523" s="2" t="n">
        <v>43216.80668981482</v>
      </c>
      <c r="C523" t="n">
        <v>0</v>
      </c>
      <c r="D523" t="n">
        <v>8</v>
      </c>
      <c r="E523" t="s">
        <v>531</v>
      </c>
      <c r="F523" t="s"/>
      <c r="G523" t="s"/>
      <c r="H523" t="s"/>
      <c r="I523" t="s"/>
      <c r="J523" t="n">
        <v>0.5362</v>
      </c>
      <c r="K523" t="n">
        <v>0</v>
      </c>
      <c r="L523" t="n">
        <v>0.859</v>
      </c>
      <c r="M523" t="n">
        <v>0.141</v>
      </c>
    </row>
    <row r="524" spans="1:13">
      <c r="A524" s="1">
        <f>HYPERLINK("http://www.twitter.com/NathanBLawrence/status/989574585342480385", "989574585342480385")</f>
        <v/>
      </c>
      <c r="B524" s="2" t="n">
        <v>43216.7770949074</v>
      </c>
      <c r="C524" t="n">
        <v>0</v>
      </c>
      <c r="D524" t="n">
        <v>41</v>
      </c>
      <c r="E524" t="s">
        <v>532</v>
      </c>
      <c r="F524">
        <f>HYPERLINK("http://pbs.twimg.com/media/DbusgTpX0AAO83e.jpg", "http://pbs.twimg.com/media/DbusgTpX0AAO83e.jpg")</f>
        <v/>
      </c>
      <c r="G524" t="s"/>
      <c r="H524" t="s"/>
      <c r="I524" t="s"/>
      <c r="J524" t="n">
        <v>0.3804</v>
      </c>
      <c r="K524" t="n">
        <v>0</v>
      </c>
      <c r="L524" t="n">
        <v>0.885</v>
      </c>
      <c r="M524" t="n">
        <v>0.115</v>
      </c>
    </row>
    <row r="525" spans="1:13">
      <c r="A525" s="1">
        <f>HYPERLINK("http://www.twitter.com/NathanBLawrence/status/989570846653108224", "989570846653108224")</f>
        <v/>
      </c>
      <c r="B525" s="2" t="n">
        <v>43216.76677083333</v>
      </c>
      <c r="C525" t="n">
        <v>0</v>
      </c>
      <c r="D525" t="n">
        <v>14</v>
      </c>
      <c r="E525" t="s">
        <v>533</v>
      </c>
      <c r="F525">
        <f>HYPERLINK("http://pbs.twimg.com/media/DbuoNWiX0AAGW03.jpg", "http://pbs.twimg.com/media/DbuoNWiX0AAGW03.jpg")</f>
        <v/>
      </c>
      <c r="G525">
        <f>HYPERLINK("http://pbs.twimg.com/media/DbuoNw6WkAEH4fJ.jpg", "http://pbs.twimg.com/media/DbuoNw6WkAEH4fJ.jpg")</f>
        <v/>
      </c>
      <c r="H525" t="s"/>
      <c r="I525" t="s"/>
      <c r="J525" t="n">
        <v>0</v>
      </c>
      <c r="K525" t="n">
        <v>0</v>
      </c>
      <c r="L525" t="n">
        <v>1</v>
      </c>
      <c r="M525" t="n">
        <v>0</v>
      </c>
    </row>
    <row r="526" spans="1:13">
      <c r="A526" s="1">
        <f>HYPERLINK("http://www.twitter.com/NathanBLawrence/status/989566990791659524", "989566990791659524")</f>
        <v/>
      </c>
      <c r="B526" s="2" t="n">
        <v>43216.75613425926</v>
      </c>
      <c r="C526" t="n">
        <v>0</v>
      </c>
      <c r="D526" t="n">
        <v>16</v>
      </c>
      <c r="E526" t="s">
        <v>534</v>
      </c>
      <c r="F526" t="s"/>
      <c r="G526" t="s"/>
      <c r="H526" t="s"/>
      <c r="I526" t="s"/>
      <c r="J526" t="n">
        <v>-0.8481</v>
      </c>
      <c r="K526" t="n">
        <v>0.305</v>
      </c>
      <c r="L526" t="n">
        <v>0.695</v>
      </c>
      <c r="M526" t="n">
        <v>0</v>
      </c>
    </row>
    <row r="527" spans="1:13">
      <c r="A527" s="1">
        <f>HYPERLINK("http://www.twitter.com/NathanBLawrence/status/989566880515067904", "989566880515067904")</f>
        <v/>
      </c>
      <c r="B527" s="2" t="n">
        <v>43216.75583333334</v>
      </c>
      <c r="C527" t="n">
        <v>0</v>
      </c>
      <c r="D527" t="n">
        <v>12</v>
      </c>
      <c r="E527" t="s">
        <v>535</v>
      </c>
      <c r="F527" t="s"/>
      <c r="G527" t="s"/>
      <c r="H527" t="s"/>
      <c r="I527" t="s"/>
      <c r="J527" t="n">
        <v>-0.3089</v>
      </c>
      <c r="K527" t="n">
        <v>0.111</v>
      </c>
      <c r="L527" t="n">
        <v>0.889</v>
      </c>
      <c r="M527" t="n">
        <v>0</v>
      </c>
    </row>
    <row r="528" spans="1:13">
      <c r="A528" s="1">
        <f>HYPERLINK("http://www.twitter.com/NathanBLawrence/status/989566109065072643", "989566109065072643")</f>
        <v/>
      </c>
      <c r="B528" s="2" t="n">
        <v>43216.7537037037</v>
      </c>
      <c r="C528" t="n">
        <v>0</v>
      </c>
      <c r="D528" t="n">
        <v>4</v>
      </c>
      <c r="E528" t="s">
        <v>536</v>
      </c>
      <c r="F528" t="s"/>
      <c r="G528" t="s"/>
      <c r="H528" t="s"/>
      <c r="I528" t="s"/>
      <c r="J528" t="n">
        <v>-0.7925</v>
      </c>
      <c r="K528" t="n">
        <v>0.251</v>
      </c>
      <c r="L528" t="n">
        <v>0.749</v>
      </c>
      <c r="M528" t="n">
        <v>0</v>
      </c>
    </row>
    <row r="529" spans="1:13">
      <c r="A529" s="1">
        <f>HYPERLINK("http://www.twitter.com/NathanBLawrence/status/989565916932386817", "989565916932386817")</f>
        <v/>
      </c>
      <c r="B529" s="2" t="n">
        <v>43216.7531712963</v>
      </c>
      <c r="C529" t="n">
        <v>0</v>
      </c>
      <c r="D529" t="n">
        <v>2</v>
      </c>
      <c r="E529" t="s">
        <v>537</v>
      </c>
      <c r="F529" t="s"/>
      <c r="G529" t="s"/>
      <c r="H529" t="s"/>
      <c r="I529" t="s"/>
      <c r="J529" t="n">
        <v>-0.7783</v>
      </c>
      <c r="K529" t="n">
        <v>0.236</v>
      </c>
      <c r="L529" t="n">
        <v>0.764</v>
      </c>
      <c r="M529" t="n">
        <v>0</v>
      </c>
    </row>
    <row r="530" spans="1:13">
      <c r="A530" s="1">
        <f>HYPERLINK("http://www.twitter.com/NathanBLawrence/status/989563972658622464", "989563972658622464")</f>
        <v/>
      </c>
      <c r="B530" s="2" t="n">
        <v>43216.74780092593</v>
      </c>
      <c r="C530" t="n">
        <v>6</v>
      </c>
      <c r="D530" t="n">
        <v>2</v>
      </c>
      <c r="E530" t="s">
        <v>538</v>
      </c>
      <c r="F530" t="s"/>
      <c r="G530" t="s"/>
      <c r="H530" t="s"/>
      <c r="I530" t="s"/>
      <c r="J530" t="n">
        <v>-0.4215</v>
      </c>
      <c r="K530" t="n">
        <v>0.145</v>
      </c>
      <c r="L530" t="n">
        <v>0.789</v>
      </c>
      <c r="M530" t="n">
        <v>0.066</v>
      </c>
    </row>
    <row r="531" spans="1:13">
      <c r="A531" s="1">
        <f>HYPERLINK("http://www.twitter.com/NathanBLawrence/status/989562727420104704", "989562727420104704")</f>
        <v/>
      </c>
      <c r="B531" s="2" t="n">
        <v>43216.744375</v>
      </c>
      <c r="C531" t="n">
        <v>0</v>
      </c>
      <c r="D531" t="n">
        <v>6</v>
      </c>
      <c r="E531" t="s">
        <v>539</v>
      </c>
      <c r="F531" t="s"/>
      <c r="G531" t="s"/>
      <c r="H531" t="s"/>
      <c r="I531" t="s"/>
      <c r="J531" t="n">
        <v>-0.5266999999999999</v>
      </c>
      <c r="K531" t="n">
        <v>0.145</v>
      </c>
      <c r="L531" t="n">
        <v>0.855</v>
      </c>
      <c r="M531" t="n">
        <v>0</v>
      </c>
    </row>
    <row r="532" spans="1:13">
      <c r="A532" s="1">
        <f>HYPERLINK("http://www.twitter.com/NathanBLawrence/status/989558840071991299", "989558840071991299")</f>
        <v/>
      </c>
      <c r="B532" s="2" t="n">
        <v>43216.73364583333</v>
      </c>
      <c r="C532" t="n">
        <v>0</v>
      </c>
      <c r="D532" t="n">
        <v>4</v>
      </c>
      <c r="E532" t="s">
        <v>540</v>
      </c>
      <c r="F532" t="s"/>
      <c r="G532" t="s"/>
      <c r="H532" t="s"/>
      <c r="I532" t="s"/>
      <c r="J532" t="n">
        <v>-0.4199</v>
      </c>
      <c r="K532" t="n">
        <v>0.188</v>
      </c>
      <c r="L532" t="n">
        <v>0.725</v>
      </c>
      <c r="M532" t="n">
        <v>0.08699999999999999</v>
      </c>
    </row>
    <row r="533" spans="1:13">
      <c r="A533" s="1">
        <f>HYPERLINK("http://www.twitter.com/NathanBLawrence/status/989558351519473664", "989558351519473664")</f>
        <v/>
      </c>
      <c r="B533" s="2" t="n">
        <v>43216.73229166667</v>
      </c>
      <c r="C533" t="n">
        <v>0</v>
      </c>
      <c r="D533" t="n">
        <v>5</v>
      </c>
      <c r="E533" t="s">
        <v>541</v>
      </c>
      <c r="F533" t="s"/>
      <c r="G533" t="s"/>
      <c r="H533" t="s"/>
      <c r="I533" t="s"/>
      <c r="J533" t="n">
        <v>0.2263</v>
      </c>
      <c r="K533" t="n">
        <v>0.065</v>
      </c>
      <c r="L533" t="n">
        <v>0.829</v>
      </c>
      <c r="M533" t="n">
        <v>0.106</v>
      </c>
    </row>
    <row r="534" spans="1:13">
      <c r="A534" s="1">
        <f>HYPERLINK("http://www.twitter.com/NathanBLawrence/status/989557289404239872", "989557289404239872")</f>
        <v/>
      </c>
      <c r="B534" s="2" t="n">
        <v>43216.72936342593</v>
      </c>
      <c r="C534" t="n">
        <v>12</v>
      </c>
      <c r="D534" t="n">
        <v>8</v>
      </c>
      <c r="E534" t="s">
        <v>542</v>
      </c>
      <c r="F534" t="s"/>
      <c r="G534" t="s"/>
      <c r="H534" t="s"/>
      <c r="I534" t="s"/>
      <c r="J534" t="n">
        <v>-0.5106000000000001</v>
      </c>
      <c r="K534" t="n">
        <v>0.155</v>
      </c>
      <c r="L534" t="n">
        <v>0.777</v>
      </c>
      <c r="M534" t="n">
        <v>0.067</v>
      </c>
    </row>
    <row r="535" spans="1:13">
      <c r="A535" s="1">
        <f>HYPERLINK("http://www.twitter.com/NathanBLawrence/status/989554964614860800", "989554964614860800")</f>
        <v/>
      </c>
      <c r="B535" s="2" t="n">
        <v>43216.72295138889</v>
      </c>
      <c r="C535" t="n">
        <v>7</v>
      </c>
      <c r="D535" t="n">
        <v>9</v>
      </c>
      <c r="E535" t="s">
        <v>543</v>
      </c>
      <c r="F535" t="s"/>
      <c r="G535" t="s"/>
      <c r="H535" t="s"/>
      <c r="I535" t="s"/>
      <c r="J535" t="n">
        <v>0.2732</v>
      </c>
      <c r="K535" t="n">
        <v>0</v>
      </c>
      <c r="L535" t="n">
        <v>0.906</v>
      </c>
      <c r="M535" t="n">
        <v>0.094</v>
      </c>
    </row>
    <row r="536" spans="1:13">
      <c r="A536" s="1">
        <f>HYPERLINK("http://www.twitter.com/NathanBLawrence/status/989513991817965569", "989513991817965569")</f>
        <v/>
      </c>
      <c r="B536" s="2" t="n">
        <v>43216.60988425926</v>
      </c>
      <c r="C536" t="n">
        <v>0</v>
      </c>
      <c r="D536" t="n">
        <v>38</v>
      </c>
      <c r="E536" t="s">
        <v>544</v>
      </c>
      <c r="F536" t="s"/>
      <c r="G536" t="s"/>
      <c r="H536" t="s"/>
      <c r="I536" t="s"/>
      <c r="J536" t="n">
        <v>0</v>
      </c>
      <c r="K536" t="n">
        <v>0</v>
      </c>
      <c r="L536" t="n">
        <v>1</v>
      </c>
      <c r="M536" t="n">
        <v>0</v>
      </c>
    </row>
    <row r="537" spans="1:13">
      <c r="A537" s="1">
        <f>HYPERLINK("http://www.twitter.com/NathanBLawrence/status/989500149100699648", "989500149100699648")</f>
        <v/>
      </c>
      <c r="B537" s="2" t="n">
        <v>43216.57168981482</v>
      </c>
      <c r="C537" t="n">
        <v>0</v>
      </c>
      <c r="D537" t="n">
        <v>1</v>
      </c>
      <c r="E537" t="s">
        <v>545</v>
      </c>
      <c r="F537" t="s"/>
      <c r="G537" t="s"/>
      <c r="H537" t="s"/>
      <c r="I537" t="s"/>
      <c r="J537" t="n">
        <v>0.128</v>
      </c>
      <c r="K537" t="n">
        <v>0</v>
      </c>
      <c r="L537" t="n">
        <v>0.9360000000000001</v>
      </c>
      <c r="M537" t="n">
        <v>0.064</v>
      </c>
    </row>
    <row r="538" spans="1:13">
      <c r="A538" s="1">
        <f>HYPERLINK("http://www.twitter.com/NathanBLawrence/status/989405872983027718", "989405872983027718")</f>
        <v/>
      </c>
      <c r="B538" s="2" t="n">
        <v>43216.31153935185</v>
      </c>
      <c r="C538" t="n">
        <v>0</v>
      </c>
      <c r="D538" t="n">
        <v>6995</v>
      </c>
      <c r="E538" t="s">
        <v>546</v>
      </c>
      <c r="F538" t="s"/>
      <c r="G538" t="s"/>
      <c r="H538" t="s"/>
      <c r="I538" t="s"/>
      <c r="J538" t="n">
        <v>0.25</v>
      </c>
      <c r="K538" t="n">
        <v>0</v>
      </c>
      <c r="L538" t="n">
        <v>0.909</v>
      </c>
      <c r="M538" t="n">
        <v>0.091</v>
      </c>
    </row>
    <row r="539" spans="1:13">
      <c r="A539" s="1">
        <f>HYPERLINK("http://www.twitter.com/NathanBLawrence/status/989382010727780352", "989382010727780352")</f>
        <v/>
      </c>
      <c r="B539" s="2" t="n">
        <v>43216.24568287037</v>
      </c>
      <c r="C539" t="n">
        <v>0</v>
      </c>
      <c r="D539" t="n">
        <v>1123</v>
      </c>
      <c r="E539" t="s">
        <v>547</v>
      </c>
      <c r="F539" t="s"/>
      <c r="G539" t="s"/>
      <c r="H539" t="s"/>
      <c r="I539" t="s"/>
      <c r="J539" t="n">
        <v>0</v>
      </c>
      <c r="K539" t="n">
        <v>0</v>
      </c>
      <c r="L539" t="n">
        <v>1</v>
      </c>
      <c r="M539" t="n">
        <v>0</v>
      </c>
    </row>
    <row r="540" spans="1:13">
      <c r="A540" s="1">
        <f>HYPERLINK("http://www.twitter.com/NathanBLawrence/status/989365327560695808", "989365327560695808")</f>
        <v/>
      </c>
      <c r="B540" s="2" t="n">
        <v>43216.19965277778</v>
      </c>
      <c r="C540" t="n">
        <v>0</v>
      </c>
      <c r="D540" t="n">
        <v>1657</v>
      </c>
      <c r="E540" t="s">
        <v>548</v>
      </c>
      <c r="F540" t="s"/>
      <c r="G540" t="s"/>
      <c r="H540" t="s"/>
      <c r="I540" t="s"/>
      <c r="J540" t="n">
        <v>0.6808</v>
      </c>
      <c r="K540" t="n">
        <v>0</v>
      </c>
      <c r="L540" t="n">
        <v>0.789</v>
      </c>
      <c r="M540" t="n">
        <v>0.211</v>
      </c>
    </row>
    <row r="541" spans="1:13">
      <c r="A541" s="1">
        <f>HYPERLINK("http://www.twitter.com/NathanBLawrence/status/989360169225195521", "989360169225195521")</f>
        <v/>
      </c>
      <c r="B541" s="2" t="n">
        <v>43216.18541666667</v>
      </c>
      <c r="C541" t="n">
        <v>0</v>
      </c>
      <c r="D541" t="n">
        <v>3</v>
      </c>
      <c r="E541" t="s">
        <v>549</v>
      </c>
      <c r="F541" t="s"/>
      <c r="G541" t="s"/>
      <c r="H541" t="s"/>
      <c r="I541" t="s"/>
      <c r="J541" t="n">
        <v>0</v>
      </c>
      <c r="K541" t="n">
        <v>0</v>
      </c>
      <c r="L541" t="n">
        <v>1</v>
      </c>
      <c r="M541" t="n">
        <v>0</v>
      </c>
    </row>
    <row r="542" spans="1:13">
      <c r="A542" s="1">
        <f>HYPERLINK("http://www.twitter.com/NathanBLawrence/status/989355334983651328", "989355334983651328")</f>
        <v/>
      </c>
      <c r="B542" s="2" t="n">
        <v>43216.17207175926</v>
      </c>
      <c r="C542" t="n">
        <v>0</v>
      </c>
      <c r="D542" t="n">
        <v>12</v>
      </c>
      <c r="E542" t="s">
        <v>550</v>
      </c>
      <c r="F542" t="s"/>
      <c r="G542" t="s"/>
      <c r="H542" t="s"/>
      <c r="I542" t="s"/>
      <c r="J542" t="n">
        <v>-0.8126</v>
      </c>
      <c r="K542" t="n">
        <v>0.318</v>
      </c>
      <c r="L542" t="n">
        <v>0.6820000000000001</v>
      </c>
      <c r="M542" t="n">
        <v>0</v>
      </c>
    </row>
    <row r="543" spans="1:13">
      <c r="A543" s="1">
        <f>HYPERLINK("http://www.twitter.com/NathanBLawrence/status/989353323924000768", "989353323924000768")</f>
        <v/>
      </c>
      <c r="B543" s="2" t="n">
        <v>43216.16652777778</v>
      </c>
      <c r="C543" t="n">
        <v>2</v>
      </c>
      <c r="D543" t="n">
        <v>2</v>
      </c>
      <c r="E543" t="s">
        <v>551</v>
      </c>
      <c r="F543" t="s"/>
      <c r="G543" t="s"/>
      <c r="H543" t="s"/>
      <c r="I543" t="s"/>
      <c r="J543" t="n">
        <v>-0.1779</v>
      </c>
      <c r="K543" t="n">
        <v>0.095</v>
      </c>
      <c r="L543" t="n">
        <v>0.831</v>
      </c>
      <c r="M543" t="n">
        <v>0.074</v>
      </c>
    </row>
    <row r="544" spans="1:13">
      <c r="A544" s="1">
        <f>HYPERLINK("http://www.twitter.com/NathanBLawrence/status/989341035926032385", "989341035926032385")</f>
        <v/>
      </c>
      <c r="B544" s="2" t="n">
        <v>43216.13261574074</v>
      </c>
      <c r="C544" t="n">
        <v>0</v>
      </c>
      <c r="D544" t="n">
        <v>18</v>
      </c>
      <c r="E544" t="s">
        <v>552</v>
      </c>
      <c r="F544" t="s"/>
      <c r="G544" t="s"/>
      <c r="H544" t="s"/>
      <c r="I544" t="s"/>
      <c r="J544" t="n">
        <v>0.4215</v>
      </c>
      <c r="K544" t="n">
        <v>0</v>
      </c>
      <c r="L544" t="n">
        <v>0.865</v>
      </c>
      <c r="M544" t="n">
        <v>0.135</v>
      </c>
    </row>
    <row r="545" spans="1:13">
      <c r="A545" s="1">
        <f>HYPERLINK("http://www.twitter.com/NathanBLawrence/status/989248431175749632", "989248431175749632")</f>
        <v/>
      </c>
      <c r="B545" s="2" t="n">
        <v>43215.87707175926</v>
      </c>
      <c r="C545" t="n">
        <v>0</v>
      </c>
      <c r="D545" t="n">
        <v>474</v>
      </c>
      <c r="E545" t="s">
        <v>553</v>
      </c>
      <c r="F545" t="s"/>
      <c r="G545" t="s"/>
      <c r="H545" t="s"/>
      <c r="I545" t="s"/>
      <c r="J545" t="n">
        <v>-0.1695</v>
      </c>
      <c r="K545" t="n">
        <v>0.077</v>
      </c>
      <c r="L545" t="n">
        <v>0.923</v>
      </c>
      <c r="M545" t="n">
        <v>0</v>
      </c>
    </row>
    <row r="546" spans="1:13">
      <c r="A546" s="1">
        <f>HYPERLINK("http://www.twitter.com/NathanBLawrence/status/989236709572382720", "989236709572382720")</f>
        <v/>
      </c>
      <c r="B546" s="2" t="n">
        <v>43215.84473379629</v>
      </c>
      <c r="C546" t="n">
        <v>1</v>
      </c>
      <c r="D546" t="n">
        <v>0</v>
      </c>
      <c r="E546" t="s">
        <v>554</v>
      </c>
      <c r="F546" t="s"/>
      <c r="G546" t="s"/>
      <c r="H546" t="s"/>
      <c r="I546" t="s"/>
      <c r="J546" t="n">
        <v>0.09</v>
      </c>
      <c r="K546" t="n">
        <v>0.079</v>
      </c>
      <c r="L546" t="n">
        <v>0.836</v>
      </c>
      <c r="M546" t="n">
        <v>0.08599999999999999</v>
      </c>
    </row>
    <row r="547" spans="1:13">
      <c r="A547" s="1">
        <f>HYPERLINK("http://www.twitter.com/NathanBLawrence/status/989230606658801666", "989230606658801666")</f>
        <v/>
      </c>
      <c r="B547" s="2" t="n">
        <v>43215.82789351852</v>
      </c>
      <c r="C547" t="n">
        <v>1</v>
      </c>
      <c r="D547" t="n">
        <v>3</v>
      </c>
      <c r="E547" t="s">
        <v>555</v>
      </c>
      <c r="F547" t="s"/>
      <c r="G547" t="s"/>
      <c r="H547" t="s"/>
      <c r="I547" t="s"/>
      <c r="J547" t="n">
        <v>0.4576</v>
      </c>
      <c r="K547" t="n">
        <v>0</v>
      </c>
      <c r="L547" t="n">
        <v>0.917</v>
      </c>
      <c r="M547" t="n">
        <v>0.083</v>
      </c>
    </row>
    <row r="548" spans="1:13">
      <c r="A548" s="1">
        <f>HYPERLINK("http://www.twitter.com/NathanBLawrence/status/989226370499776514", "989226370499776514")</f>
        <v/>
      </c>
      <c r="B548" s="2" t="n">
        <v>43215.8162037037</v>
      </c>
      <c r="C548" t="n">
        <v>0</v>
      </c>
      <c r="D548" t="n">
        <v>1</v>
      </c>
      <c r="E548" t="s">
        <v>556</v>
      </c>
      <c r="F548" t="s"/>
      <c r="G548" t="s"/>
      <c r="H548" t="s"/>
      <c r="I548" t="s"/>
      <c r="J548" t="n">
        <v>-0.3612</v>
      </c>
      <c r="K548" t="n">
        <v>0.128</v>
      </c>
      <c r="L548" t="n">
        <v>0.872</v>
      </c>
      <c r="M548" t="n">
        <v>0</v>
      </c>
    </row>
    <row r="549" spans="1:13">
      <c r="A549" s="1">
        <f>HYPERLINK("http://www.twitter.com/NathanBLawrence/status/989222791919566848", "989222791919566848")</f>
        <v/>
      </c>
      <c r="B549" s="2" t="n">
        <v>43215.80633101852</v>
      </c>
      <c r="C549" t="n">
        <v>0</v>
      </c>
      <c r="D549" t="n">
        <v>116</v>
      </c>
      <c r="E549" t="s">
        <v>557</v>
      </c>
      <c r="F549">
        <f>HYPERLINK("http://pbs.twimg.com/media/DbpA6VLWAAAmPl_.jpg", "http://pbs.twimg.com/media/DbpA6VLWAAAmPl_.jpg")</f>
        <v/>
      </c>
      <c r="G549" t="s"/>
      <c r="H549" t="s"/>
      <c r="I549" t="s"/>
      <c r="J549" t="n">
        <v>0</v>
      </c>
      <c r="K549" t="n">
        <v>0</v>
      </c>
      <c r="L549" t="n">
        <v>1</v>
      </c>
      <c r="M549" t="n">
        <v>0</v>
      </c>
    </row>
    <row r="550" spans="1:13">
      <c r="A550" s="1">
        <f>HYPERLINK("http://www.twitter.com/NathanBLawrence/status/989218867502374914", "989218867502374914")</f>
        <v/>
      </c>
      <c r="B550" s="2" t="n">
        <v>43215.79549768518</v>
      </c>
      <c r="C550" t="n">
        <v>0</v>
      </c>
      <c r="D550" t="n">
        <v>1</v>
      </c>
      <c r="E550" t="s">
        <v>558</v>
      </c>
      <c r="F550" t="s"/>
      <c r="G550" t="s"/>
      <c r="H550" t="s"/>
      <c r="I550" t="s"/>
      <c r="J550" t="n">
        <v>0.4588</v>
      </c>
      <c r="K550" t="n">
        <v>0.097</v>
      </c>
      <c r="L550" t="n">
        <v>0.636</v>
      </c>
      <c r="M550" t="n">
        <v>0.267</v>
      </c>
    </row>
    <row r="551" spans="1:13">
      <c r="A551" s="1">
        <f>HYPERLINK("http://www.twitter.com/NathanBLawrence/status/989217539703148544", "989217539703148544")</f>
        <v/>
      </c>
      <c r="B551" s="2" t="n">
        <v>43215.7918287037</v>
      </c>
      <c r="C551" t="n">
        <v>0</v>
      </c>
      <c r="D551" t="n">
        <v>13</v>
      </c>
      <c r="E551" t="s">
        <v>559</v>
      </c>
      <c r="F551">
        <f>HYPERLINK("http://pbs.twimg.com/media/DbpOJ2ZUwAEjEXr.jpg", "http://pbs.twimg.com/media/DbpOJ2ZUwAEjEXr.jpg")</f>
        <v/>
      </c>
      <c r="G551" t="s"/>
      <c r="H551" t="s"/>
      <c r="I551" t="s"/>
      <c r="J551" t="n">
        <v>0</v>
      </c>
      <c r="K551" t="n">
        <v>0</v>
      </c>
      <c r="L551" t="n">
        <v>1</v>
      </c>
      <c r="M551" t="n">
        <v>0</v>
      </c>
    </row>
    <row r="552" spans="1:13">
      <c r="A552" s="1">
        <f>HYPERLINK("http://www.twitter.com/NathanBLawrence/status/989214423427551232", "989214423427551232")</f>
        <v/>
      </c>
      <c r="B552" s="2" t="n">
        <v>43215.78322916666</v>
      </c>
      <c r="C552" t="n">
        <v>0</v>
      </c>
      <c r="D552" t="n">
        <v>10</v>
      </c>
      <c r="E552" t="s">
        <v>560</v>
      </c>
      <c r="F552" t="s"/>
      <c r="G552" t="s"/>
      <c r="H552" t="s"/>
      <c r="I552" t="s"/>
      <c r="J552" t="n">
        <v>-0.3753</v>
      </c>
      <c r="K552" t="n">
        <v>0.105</v>
      </c>
      <c r="L552" t="n">
        <v>0.895</v>
      </c>
      <c r="M552" t="n">
        <v>0</v>
      </c>
    </row>
    <row r="553" spans="1:13">
      <c r="A553" s="1">
        <f>HYPERLINK("http://www.twitter.com/NathanBLawrence/status/989200765175697409", "989200765175697409")</f>
        <v/>
      </c>
      <c r="B553" s="2" t="n">
        <v>43215.74554398148</v>
      </c>
      <c r="C553" t="n">
        <v>0</v>
      </c>
      <c r="D553" t="n">
        <v>7</v>
      </c>
      <c r="E553" t="s">
        <v>561</v>
      </c>
      <c r="F553" t="s"/>
      <c r="G553" t="s"/>
      <c r="H553" t="s"/>
      <c r="I553" t="s"/>
      <c r="J553" t="n">
        <v>-0.4019</v>
      </c>
      <c r="K553" t="n">
        <v>0.153</v>
      </c>
      <c r="L553" t="n">
        <v>0.847</v>
      </c>
      <c r="M553" t="n">
        <v>0</v>
      </c>
    </row>
    <row r="554" spans="1:13">
      <c r="A554" s="1">
        <f>HYPERLINK("http://www.twitter.com/NathanBLawrence/status/989162884830818305", "989162884830818305")</f>
        <v/>
      </c>
      <c r="B554" s="2" t="n">
        <v>43215.64101851852</v>
      </c>
      <c r="C554" t="n">
        <v>0</v>
      </c>
      <c r="D554" t="n">
        <v>860</v>
      </c>
      <c r="E554" t="s">
        <v>562</v>
      </c>
      <c r="F554" t="s"/>
      <c r="G554" t="s"/>
      <c r="H554" t="s"/>
      <c r="I554" t="s"/>
      <c r="J554" t="n">
        <v>0.3612</v>
      </c>
      <c r="K554" t="n">
        <v>0</v>
      </c>
      <c r="L554" t="n">
        <v>0.898</v>
      </c>
      <c r="M554" t="n">
        <v>0.102</v>
      </c>
    </row>
    <row r="555" spans="1:13">
      <c r="A555" s="1">
        <f>HYPERLINK("http://www.twitter.com/NathanBLawrence/status/989014917524197376", "989014917524197376")</f>
        <v/>
      </c>
      <c r="B555" s="2" t="n">
        <v>43215.23270833334</v>
      </c>
      <c r="C555" t="n">
        <v>0</v>
      </c>
      <c r="D555" t="n">
        <v>1946</v>
      </c>
      <c r="E555" t="s">
        <v>563</v>
      </c>
      <c r="F555" t="s"/>
      <c r="G555" t="s"/>
      <c r="H555" t="s"/>
      <c r="I555" t="s"/>
      <c r="J555" t="n">
        <v>0.3818</v>
      </c>
      <c r="K555" t="n">
        <v>0</v>
      </c>
      <c r="L555" t="n">
        <v>0.698</v>
      </c>
      <c r="M555" t="n">
        <v>0.302</v>
      </c>
    </row>
    <row r="556" spans="1:13">
      <c r="A556" s="1">
        <f>HYPERLINK("http://www.twitter.com/NathanBLawrence/status/988863122848079879", "988863122848079879")</f>
        <v/>
      </c>
      <c r="B556" s="2" t="n">
        <v>43214.81383101852</v>
      </c>
      <c r="C556" t="n">
        <v>0</v>
      </c>
      <c r="D556" t="n">
        <v>2</v>
      </c>
      <c r="E556" t="s">
        <v>564</v>
      </c>
      <c r="F556" t="s"/>
      <c r="G556" t="s"/>
      <c r="H556" t="s"/>
      <c r="I556" t="s"/>
      <c r="J556" t="n">
        <v>0.6597</v>
      </c>
      <c r="K556" t="n">
        <v>0</v>
      </c>
      <c r="L556" t="n">
        <v>0.769</v>
      </c>
      <c r="M556" t="n">
        <v>0.231</v>
      </c>
    </row>
    <row r="557" spans="1:13">
      <c r="A557" s="1">
        <f>HYPERLINK("http://www.twitter.com/NathanBLawrence/status/988862766806130690", "988862766806130690")</f>
        <v/>
      </c>
      <c r="B557" s="2" t="n">
        <v>43214.81284722222</v>
      </c>
      <c r="C557" t="n">
        <v>0</v>
      </c>
      <c r="D557" t="n">
        <v>293</v>
      </c>
      <c r="E557" t="s">
        <v>565</v>
      </c>
      <c r="F557" t="s"/>
      <c r="G557" t="s"/>
      <c r="H557" t="s"/>
      <c r="I557" t="s"/>
      <c r="J557" t="n">
        <v>0.4466</v>
      </c>
      <c r="K557" t="n">
        <v>0.054</v>
      </c>
      <c r="L557" t="n">
        <v>0.8159999999999999</v>
      </c>
      <c r="M557" t="n">
        <v>0.13</v>
      </c>
    </row>
    <row r="558" spans="1:13">
      <c r="A558" s="1">
        <f>HYPERLINK("http://www.twitter.com/NathanBLawrence/status/988831608290578433", "988831608290578433")</f>
        <v/>
      </c>
      <c r="B558" s="2" t="n">
        <v>43214.72686342592</v>
      </c>
      <c r="C558" t="n">
        <v>0</v>
      </c>
      <c r="D558" t="n">
        <v>2838</v>
      </c>
      <c r="E558" t="s">
        <v>566</v>
      </c>
      <c r="F558" t="s"/>
      <c r="G558" t="s"/>
      <c r="H558" t="s"/>
      <c r="I558" t="s"/>
      <c r="J558" t="n">
        <v>-0.9774</v>
      </c>
      <c r="K558" t="n">
        <v>0.58</v>
      </c>
      <c r="L558" t="n">
        <v>0.42</v>
      </c>
      <c r="M558" t="n">
        <v>0</v>
      </c>
    </row>
    <row r="559" spans="1:13">
      <c r="A559" s="1">
        <f>HYPERLINK("http://www.twitter.com/NathanBLawrence/status/988829533687156737", "988829533687156737")</f>
        <v/>
      </c>
      <c r="B559" s="2" t="n">
        <v>43214.72114583333</v>
      </c>
      <c r="C559" t="n">
        <v>0</v>
      </c>
      <c r="D559" t="n">
        <v>1</v>
      </c>
      <c r="E559" t="s">
        <v>567</v>
      </c>
      <c r="F559" t="s"/>
      <c r="G559" t="s"/>
      <c r="H559" t="s"/>
      <c r="I559" t="s"/>
      <c r="J559" t="n">
        <v>0</v>
      </c>
      <c r="K559" t="n">
        <v>0</v>
      </c>
      <c r="L559" t="n">
        <v>1</v>
      </c>
      <c r="M559" t="n">
        <v>0</v>
      </c>
    </row>
    <row r="560" spans="1:13">
      <c r="A560" s="1">
        <f>HYPERLINK("http://www.twitter.com/NathanBLawrence/status/988821154818347010", "988821154818347010")</f>
        <v/>
      </c>
      <c r="B560" s="2" t="n">
        <v>43214.69802083333</v>
      </c>
      <c r="C560" t="n">
        <v>0</v>
      </c>
      <c r="D560" t="n">
        <v>2006</v>
      </c>
      <c r="E560" t="s">
        <v>568</v>
      </c>
      <c r="F560" t="s"/>
      <c r="G560" t="s"/>
      <c r="H560" t="s"/>
      <c r="I560" t="s"/>
      <c r="J560" t="n">
        <v>-0.34</v>
      </c>
      <c r="K560" t="n">
        <v>0.112</v>
      </c>
      <c r="L560" t="n">
        <v>0.888</v>
      </c>
      <c r="M560" t="n">
        <v>0</v>
      </c>
    </row>
    <row r="561" spans="1:13">
      <c r="A561" s="1">
        <f>HYPERLINK("http://www.twitter.com/NathanBLawrence/status/988819226139004928", "988819226139004928")</f>
        <v/>
      </c>
      <c r="B561" s="2" t="n">
        <v>43214.69269675926</v>
      </c>
      <c r="C561" t="n">
        <v>0</v>
      </c>
      <c r="D561" t="n">
        <v>59</v>
      </c>
      <c r="E561" t="s">
        <v>569</v>
      </c>
      <c r="F561" t="s"/>
      <c r="G561" t="s"/>
      <c r="H561" t="s"/>
      <c r="I561" t="s"/>
      <c r="J561" t="n">
        <v>0.3612</v>
      </c>
      <c r="K561" t="n">
        <v>0</v>
      </c>
      <c r="L561" t="n">
        <v>0.872</v>
      </c>
      <c r="M561" t="n">
        <v>0.128</v>
      </c>
    </row>
    <row r="562" spans="1:13">
      <c r="A562" s="1">
        <f>HYPERLINK("http://www.twitter.com/NathanBLawrence/status/988814886452060161", "988814886452060161")</f>
        <v/>
      </c>
      <c r="B562" s="2" t="n">
        <v>43214.68071759259</v>
      </c>
      <c r="C562" t="n">
        <v>0</v>
      </c>
      <c r="D562" t="n">
        <v>125</v>
      </c>
      <c r="E562" t="s">
        <v>570</v>
      </c>
      <c r="F562" t="s"/>
      <c r="G562" t="s"/>
      <c r="H562" t="s"/>
      <c r="I562" t="s"/>
      <c r="J562" t="n">
        <v>-0.5266999999999999</v>
      </c>
      <c r="K562" t="n">
        <v>0.173</v>
      </c>
      <c r="L562" t="n">
        <v>0.827</v>
      </c>
      <c r="M562" t="n">
        <v>0</v>
      </c>
    </row>
    <row r="563" spans="1:13">
      <c r="A563" s="1">
        <f>HYPERLINK("http://www.twitter.com/NathanBLawrence/status/988813376334725121", "988813376334725121")</f>
        <v/>
      </c>
      <c r="B563" s="2" t="n">
        <v>43214.67655092593</v>
      </c>
      <c r="C563" t="n">
        <v>1</v>
      </c>
      <c r="D563" t="n">
        <v>2</v>
      </c>
      <c r="E563" t="s">
        <v>571</v>
      </c>
      <c r="F563" t="s"/>
      <c r="G563" t="s"/>
      <c r="H563" t="s"/>
      <c r="I563" t="s"/>
      <c r="J563" t="n">
        <v>0.3612</v>
      </c>
      <c r="K563" t="n">
        <v>0</v>
      </c>
      <c r="L563" t="n">
        <v>0.923</v>
      </c>
      <c r="M563" t="n">
        <v>0.077</v>
      </c>
    </row>
    <row r="564" spans="1:13">
      <c r="A564" s="1">
        <f>HYPERLINK("http://www.twitter.com/NathanBLawrence/status/988809059238338560", "988809059238338560")</f>
        <v/>
      </c>
      <c r="B564" s="2" t="n">
        <v>43214.6646412037</v>
      </c>
      <c r="C564" t="n">
        <v>0</v>
      </c>
      <c r="D564" t="n">
        <v>100</v>
      </c>
      <c r="E564" t="s">
        <v>572</v>
      </c>
      <c r="F564" t="s"/>
      <c r="G564" t="s"/>
      <c r="H564" t="s"/>
      <c r="I564" t="s"/>
      <c r="J564" t="n">
        <v>-0.25</v>
      </c>
      <c r="K564" t="n">
        <v>0.1</v>
      </c>
      <c r="L564" t="n">
        <v>0.84</v>
      </c>
      <c r="M564" t="n">
        <v>0.06</v>
      </c>
    </row>
    <row r="565" spans="1:13">
      <c r="A565" s="1">
        <f>HYPERLINK("http://www.twitter.com/NathanBLawrence/status/988808726915231746", "988808726915231746")</f>
        <v/>
      </c>
      <c r="B565" s="2" t="n">
        <v>43214.66372685185</v>
      </c>
      <c r="C565" t="n">
        <v>6</v>
      </c>
      <c r="D565" t="n">
        <v>5</v>
      </c>
      <c r="E565" t="s">
        <v>573</v>
      </c>
      <c r="F565" t="s"/>
      <c r="G565" t="s"/>
      <c r="H565" t="s"/>
      <c r="I565" t="s"/>
      <c r="J565" t="n">
        <v>0</v>
      </c>
      <c r="K565" t="n">
        <v>0.104</v>
      </c>
      <c r="L565" t="n">
        <v>0.792</v>
      </c>
      <c r="M565" t="n">
        <v>0.104</v>
      </c>
    </row>
    <row r="566" spans="1:13">
      <c r="A566" s="1">
        <f>HYPERLINK("http://www.twitter.com/NathanBLawrence/status/988802317502820353", "988802317502820353")</f>
        <v/>
      </c>
      <c r="B566" s="2" t="n">
        <v>43214.64604166667</v>
      </c>
      <c r="C566" t="n">
        <v>0</v>
      </c>
      <c r="D566" t="n">
        <v>16</v>
      </c>
      <c r="E566" t="s">
        <v>574</v>
      </c>
      <c r="F566" t="s"/>
      <c r="G566" t="s"/>
      <c r="H566" t="s"/>
      <c r="I566" t="s"/>
      <c r="J566" t="n">
        <v>-0.3182</v>
      </c>
      <c r="K566" t="n">
        <v>0.113</v>
      </c>
      <c r="L566" t="n">
        <v>0.887</v>
      </c>
      <c r="M566" t="n">
        <v>0</v>
      </c>
    </row>
    <row r="567" spans="1:13">
      <c r="A567" s="1">
        <f>HYPERLINK("http://www.twitter.com/NathanBLawrence/status/988800773382434818", "988800773382434818")</f>
        <v/>
      </c>
      <c r="B567" s="2" t="n">
        <v>43214.64178240741</v>
      </c>
      <c r="C567" t="n">
        <v>0</v>
      </c>
      <c r="D567" t="n">
        <v>11</v>
      </c>
      <c r="E567" t="s">
        <v>575</v>
      </c>
      <c r="F567">
        <f>HYPERLINK("http://pbs.twimg.com/media/DbjTbPEUQAExp25.jpg", "http://pbs.twimg.com/media/DbjTbPEUQAExp25.jpg")</f>
        <v/>
      </c>
      <c r="G567">
        <f>HYPERLINK("http://pbs.twimg.com/media/DbjTbO8U8AEQhWv.jpg", "http://pbs.twimg.com/media/DbjTbO8U8AEQhWv.jpg")</f>
        <v/>
      </c>
      <c r="H567" t="s"/>
      <c r="I567" t="s"/>
      <c r="J567" t="n">
        <v>0.5709</v>
      </c>
      <c r="K567" t="n">
        <v>0</v>
      </c>
      <c r="L567" t="n">
        <v>0.831</v>
      </c>
      <c r="M567" t="n">
        <v>0.169</v>
      </c>
    </row>
    <row r="568" spans="1:13">
      <c r="A568" s="1">
        <f>HYPERLINK("http://www.twitter.com/NathanBLawrence/status/988800388294901760", "988800388294901760")</f>
        <v/>
      </c>
      <c r="B568" s="2" t="n">
        <v>43214.64071759259</v>
      </c>
      <c r="C568" t="n">
        <v>0</v>
      </c>
      <c r="D568" t="n">
        <v>14</v>
      </c>
      <c r="E568" t="s">
        <v>576</v>
      </c>
      <c r="F568">
        <f>HYPERLINK("http://pbs.twimg.com/media/DbjSvMRVQAEvz_u.jpg", "http://pbs.twimg.com/media/DbjSvMRVQAEvz_u.jpg")</f>
        <v/>
      </c>
      <c r="G568" t="s"/>
      <c r="H568" t="s"/>
      <c r="I568" t="s"/>
      <c r="J568" t="n">
        <v>0.6369</v>
      </c>
      <c r="K568" t="n">
        <v>0.089</v>
      </c>
      <c r="L568" t="n">
        <v>0.674</v>
      </c>
      <c r="M568" t="n">
        <v>0.238</v>
      </c>
    </row>
    <row r="569" spans="1:13">
      <c r="A569" s="1">
        <f>HYPERLINK("http://www.twitter.com/NathanBLawrence/status/988800042113945600", "988800042113945600")</f>
        <v/>
      </c>
      <c r="B569" s="2" t="n">
        <v>43214.63975694445</v>
      </c>
      <c r="C569" t="n">
        <v>0</v>
      </c>
      <c r="D569" t="n">
        <v>13</v>
      </c>
      <c r="E569" t="s">
        <v>577</v>
      </c>
      <c r="F569" t="s"/>
      <c r="G569" t="s"/>
      <c r="H569" t="s"/>
      <c r="I569" t="s"/>
      <c r="J569" t="n">
        <v>0.5859</v>
      </c>
      <c r="K569" t="n">
        <v>0</v>
      </c>
      <c r="L569" t="n">
        <v>0.833</v>
      </c>
      <c r="M569" t="n">
        <v>0.167</v>
      </c>
    </row>
    <row r="570" spans="1:13">
      <c r="A570" s="1">
        <f>HYPERLINK("http://www.twitter.com/NathanBLawrence/status/988799884244418560", "988799884244418560")</f>
        <v/>
      </c>
      <c r="B570" s="2" t="n">
        <v>43214.63932870371</v>
      </c>
      <c r="C570" t="n">
        <v>0</v>
      </c>
      <c r="D570" t="n">
        <v>78</v>
      </c>
      <c r="E570" t="s">
        <v>578</v>
      </c>
      <c r="F570" t="s"/>
      <c r="G570" t="s"/>
      <c r="H570" t="s"/>
      <c r="I570" t="s"/>
      <c r="J570" t="n">
        <v>-0.5622</v>
      </c>
      <c r="K570" t="n">
        <v>0.176</v>
      </c>
      <c r="L570" t="n">
        <v>0.824</v>
      </c>
      <c r="M570" t="n">
        <v>0</v>
      </c>
    </row>
    <row r="571" spans="1:13">
      <c r="A571" s="1">
        <f>HYPERLINK("http://www.twitter.com/NathanBLawrence/status/988799808877072384", "988799808877072384")</f>
        <v/>
      </c>
      <c r="B571" s="2" t="n">
        <v>43214.63912037037</v>
      </c>
      <c r="C571" t="n">
        <v>0</v>
      </c>
      <c r="D571" t="n">
        <v>18</v>
      </c>
      <c r="E571" t="s">
        <v>579</v>
      </c>
      <c r="F571" t="s"/>
      <c r="G571" t="s"/>
      <c r="H571" t="s"/>
      <c r="I571" t="s"/>
      <c r="J571" t="n">
        <v>0</v>
      </c>
      <c r="K571" t="n">
        <v>0</v>
      </c>
      <c r="L571" t="n">
        <v>1</v>
      </c>
      <c r="M571" t="n">
        <v>0</v>
      </c>
    </row>
    <row r="572" spans="1:13">
      <c r="A572" s="1">
        <f>HYPERLINK("http://www.twitter.com/NathanBLawrence/status/988799603519770625", "988799603519770625")</f>
        <v/>
      </c>
      <c r="B572" s="2" t="n">
        <v>43214.63855324074</v>
      </c>
      <c r="C572" t="n">
        <v>0</v>
      </c>
      <c r="D572" t="n">
        <v>24</v>
      </c>
      <c r="E572" t="s">
        <v>580</v>
      </c>
      <c r="F572" t="s"/>
      <c r="G572" t="s"/>
      <c r="H572" t="s"/>
      <c r="I572" t="s"/>
      <c r="J572" t="n">
        <v>0</v>
      </c>
      <c r="K572" t="n">
        <v>0</v>
      </c>
      <c r="L572" t="n">
        <v>1</v>
      </c>
      <c r="M572" t="n">
        <v>0</v>
      </c>
    </row>
    <row r="573" spans="1:13">
      <c r="A573" s="1">
        <f>HYPERLINK("http://www.twitter.com/NathanBLawrence/status/988586822371545088", "988586822371545088")</f>
        <v/>
      </c>
      <c r="B573" s="2" t="n">
        <v>43214.05138888889</v>
      </c>
      <c r="C573" t="n">
        <v>0</v>
      </c>
      <c r="D573" t="n">
        <v>11</v>
      </c>
      <c r="E573" t="s">
        <v>581</v>
      </c>
      <c r="F573" t="s"/>
      <c r="G573" t="s"/>
      <c r="H573" t="s"/>
      <c r="I573" t="s"/>
      <c r="J573" t="n">
        <v>0</v>
      </c>
      <c r="K573" t="n">
        <v>0</v>
      </c>
      <c r="L573" t="n">
        <v>1</v>
      </c>
      <c r="M573" t="n">
        <v>0</v>
      </c>
    </row>
    <row r="574" spans="1:13">
      <c r="A574" s="1">
        <f>HYPERLINK("http://www.twitter.com/NathanBLawrence/status/988586795322544128", "988586795322544128")</f>
        <v/>
      </c>
      <c r="B574" s="2" t="n">
        <v>43214.05130787037</v>
      </c>
      <c r="C574" t="n">
        <v>0</v>
      </c>
      <c r="D574" t="n">
        <v>9</v>
      </c>
      <c r="E574" t="s">
        <v>582</v>
      </c>
      <c r="F574" t="s"/>
      <c r="G574" t="s"/>
      <c r="H574" t="s"/>
      <c r="I574" t="s"/>
      <c r="J574" t="n">
        <v>0.128</v>
      </c>
      <c r="K574" t="n">
        <v>0</v>
      </c>
      <c r="L574" t="n">
        <v>0.93</v>
      </c>
      <c r="M574" t="n">
        <v>0.07000000000000001</v>
      </c>
    </row>
    <row r="575" spans="1:13">
      <c r="A575" s="1">
        <f>HYPERLINK("http://www.twitter.com/NathanBLawrence/status/988586405021483008", "988586405021483008")</f>
        <v/>
      </c>
      <c r="B575" s="2" t="n">
        <v>43214.05023148148</v>
      </c>
      <c r="C575" t="n">
        <v>0</v>
      </c>
      <c r="D575" t="n">
        <v>17</v>
      </c>
      <c r="E575" t="s">
        <v>583</v>
      </c>
      <c r="F575" t="s"/>
      <c r="G575" t="s"/>
      <c r="H575" t="s"/>
      <c r="I575" t="s"/>
      <c r="J575" t="n">
        <v>0.1779</v>
      </c>
      <c r="K575" t="n">
        <v>0.095</v>
      </c>
      <c r="L575" t="n">
        <v>0.782</v>
      </c>
      <c r="M575" t="n">
        <v>0.123</v>
      </c>
    </row>
    <row r="576" spans="1:13">
      <c r="A576" s="1">
        <f>HYPERLINK("http://www.twitter.com/NathanBLawrence/status/988586325547929600", "988586325547929600")</f>
        <v/>
      </c>
      <c r="B576" s="2" t="n">
        <v>43214.05001157407</v>
      </c>
      <c r="C576" t="n">
        <v>0</v>
      </c>
      <c r="D576" t="n">
        <v>60</v>
      </c>
      <c r="E576" t="s">
        <v>584</v>
      </c>
      <c r="F576" t="s"/>
      <c r="G576" t="s"/>
      <c r="H576" t="s"/>
      <c r="I576" t="s"/>
      <c r="J576" t="n">
        <v>0</v>
      </c>
      <c r="K576" t="n">
        <v>0</v>
      </c>
      <c r="L576" t="n">
        <v>1</v>
      </c>
      <c r="M576" t="n">
        <v>0</v>
      </c>
    </row>
    <row r="577" spans="1:13">
      <c r="A577" s="1">
        <f>HYPERLINK("http://www.twitter.com/NathanBLawrence/status/988585654341832704", "988585654341832704")</f>
        <v/>
      </c>
      <c r="B577" s="2" t="n">
        <v>43214.04815972222</v>
      </c>
      <c r="C577" t="n">
        <v>0</v>
      </c>
      <c r="D577" t="n">
        <v>18</v>
      </c>
      <c r="E577" t="s">
        <v>585</v>
      </c>
      <c r="F577" t="s"/>
      <c r="G577" t="s"/>
      <c r="H577" t="s"/>
      <c r="I577" t="s"/>
      <c r="J577" t="n">
        <v>-0.296</v>
      </c>
      <c r="K577" t="n">
        <v>0.128</v>
      </c>
      <c r="L577" t="n">
        <v>0.872</v>
      </c>
      <c r="M577" t="n">
        <v>0</v>
      </c>
    </row>
    <row r="578" spans="1:13">
      <c r="A578" s="1">
        <f>HYPERLINK("http://www.twitter.com/NathanBLawrence/status/988584851312955392", "988584851312955392")</f>
        <v/>
      </c>
      <c r="B578" s="2" t="n">
        <v>43214.04594907408</v>
      </c>
      <c r="C578" t="n">
        <v>1</v>
      </c>
      <c r="D578" t="n">
        <v>0</v>
      </c>
      <c r="E578" t="s">
        <v>586</v>
      </c>
      <c r="F578" t="s"/>
      <c r="G578" t="s"/>
      <c r="H578" t="s"/>
      <c r="I578" t="s"/>
      <c r="J578" t="n">
        <v>0</v>
      </c>
      <c r="K578" t="n">
        <v>0</v>
      </c>
      <c r="L578" t="n">
        <v>1</v>
      </c>
      <c r="M578" t="n">
        <v>0</v>
      </c>
    </row>
    <row r="579" spans="1:13">
      <c r="A579" s="1">
        <f>HYPERLINK("http://www.twitter.com/NathanBLawrence/status/988584217901785088", "988584217901785088")</f>
        <v/>
      </c>
      <c r="B579" s="2" t="n">
        <v>43214.04420138889</v>
      </c>
      <c r="C579" t="n">
        <v>3</v>
      </c>
      <c r="D579" t="n">
        <v>1</v>
      </c>
      <c r="E579" t="s">
        <v>587</v>
      </c>
      <c r="F579" t="s"/>
      <c r="G579" t="s"/>
      <c r="H579" t="s"/>
      <c r="I579" t="s"/>
      <c r="J579" t="n">
        <v>0.3421</v>
      </c>
      <c r="K579" t="n">
        <v>0</v>
      </c>
      <c r="L579" t="n">
        <v>0.763</v>
      </c>
      <c r="M579" t="n">
        <v>0.237</v>
      </c>
    </row>
    <row r="580" spans="1:13">
      <c r="A580" s="1">
        <f>HYPERLINK("http://www.twitter.com/NathanBLawrence/status/988583669207007232", "988583669207007232")</f>
        <v/>
      </c>
      <c r="B580" s="2" t="n">
        <v>43214.04268518519</v>
      </c>
      <c r="C580" t="n">
        <v>0</v>
      </c>
      <c r="D580" t="n">
        <v>16</v>
      </c>
      <c r="E580" t="s">
        <v>588</v>
      </c>
      <c r="F580" t="s"/>
      <c r="G580" t="s"/>
      <c r="H580" t="s"/>
      <c r="I580" t="s"/>
      <c r="J580" t="n">
        <v>-0.296</v>
      </c>
      <c r="K580" t="n">
        <v>0.104</v>
      </c>
      <c r="L580" t="n">
        <v>0.896</v>
      </c>
      <c r="M580" t="n">
        <v>0</v>
      </c>
    </row>
    <row r="581" spans="1:13">
      <c r="A581" s="1">
        <f>HYPERLINK("http://www.twitter.com/NathanBLawrence/status/988583345679462400", "988583345679462400")</f>
        <v/>
      </c>
      <c r="B581" s="2" t="n">
        <v>43214.04179398148</v>
      </c>
      <c r="C581" t="n">
        <v>0</v>
      </c>
      <c r="D581" t="n">
        <v>5582</v>
      </c>
      <c r="E581" t="s">
        <v>589</v>
      </c>
      <c r="F581" t="s"/>
      <c r="G581" t="s"/>
      <c r="H581" t="s"/>
      <c r="I581" t="s"/>
      <c r="J581" t="n">
        <v>-0.9198</v>
      </c>
      <c r="K581" t="n">
        <v>0.408</v>
      </c>
      <c r="L581" t="n">
        <v>0.592</v>
      </c>
      <c r="M581" t="n">
        <v>0</v>
      </c>
    </row>
    <row r="582" spans="1:13">
      <c r="A582" s="1">
        <f>HYPERLINK("http://www.twitter.com/NathanBLawrence/status/988583264511254528", "988583264511254528")</f>
        <v/>
      </c>
      <c r="B582" s="2" t="n">
        <v>43214.0415625</v>
      </c>
      <c r="C582" t="n">
        <v>0</v>
      </c>
      <c r="D582" t="n">
        <v>731</v>
      </c>
      <c r="E582" t="s">
        <v>590</v>
      </c>
      <c r="F582" t="s"/>
      <c r="G582" t="s"/>
      <c r="H582" t="s"/>
      <c r="I582" t="s"/>
      <c r="J582" t="n">
        <v>-0.25</v>
      </c>
      <c r="K582" t="n">
        <v>0.123</v>
      </c>
      <c r="L582" t="n">
        <v>0.794</v>
      </c>
      <c r="M582" t="n">
        <v>0.083</v>
      </c>
    </row>
    <row r="583" spans="1:13">
      <c r="A583" s="1">
        <f>HYPERLINK("http://www.twitter.com/NathanBLawrence/status/988582163179327488", "988582163179327488")</f>
        <v/>
      </c>
      <c r="B583" s="2" t="n">
        <v>43214.03853009259</v>
      </c>
      <c r="C583" t="n">
        <v>0</v>
      </c>
      <c r="D583" t="n">
        <v>1455</v>
      </c>
      <c r="E583" t="s">
        <v>591</v>
      </c>
      <c r="F583" t="s"/>
      <c r="G583" t="s"/>
      <c r="H583" t="s"/>
      <c r="I583" t="s"/>
      <c r="J583" t="n">
        <v>-0.3802</v>
      </c>
      <c r="K583" t="n">
        <v>0.14</v>
      </c>
      <c r="L583" t="n">
        <v>0.86</v>
      </c>
      <c r="M583" t="n">
        <v>0</v>
      </c>
    </row>
    <row r="584" spans="1:13">
      <c r="A584" s="1">
        <f>HYPERLINK("http://www.twitter.com/NathanBLawrence/status/988512147289395201", "988512147289395201")</f>
        <v/>
      </c>
      <c r="B584" s="2" t="n">
        <v>43213.84532407407</v>
      </c>
      <c r="C584" t="n">
        <v>0</v>
      </c>
      <c r="D584" t="n">
        <v>13</v>
      </c>
      <c r="E584" t="s">
        <v>592</v>
      </c>
      <c r="F584" t="s"/>
      <c r="G584" t="s"/>
      <c r="H584" t="s"/>
      <c r="I584" t="s"/>
      <c r="J584" t="n">
        <v>-0.4215</v>
      </c>
      <c r="K584" t="n">
        <v>0.128</v>
      </c>
      <c r="L584" t="n">
        <v>0.872</v>
      </c>
      <c r="M584" t="n">
        <v>0</v>
      </c>
    </row>
    <row r="585" spans="1:13">
      <c r="A585" s="1">
        <f>HYPERLINK("http://www.twitter.com/NathanBLawrence/status/988497587656380422", "988497587656380422")</f>
        <v/>
      </c>
      <c r="B585" s="2" t="n">
        <v>43213.80513888889</v>
      </c>
      <c r="C585" t="n">
        <v>0</v>
      </c>
      <c r="D585" t="n">
        <v>244</v>
      </c>
      <c r="E585" t="s">
        <v>593</v>
      </c>
      <c r="F585" t="s"/>
      <c r="G585" t="s"/>
      <c r="H585" t="s"/>
      <c r="I585" t="s"/>
      <c r="J585" t="n">
        <v>-0.7508</v>
      </c>
      <c r="K585" t="n">
        <v>0.218</v>
      </c>
      <c r="L585" t="n">
        <v>0.782</v>
      </c>
      <c r="M585" t="n">
        <v>0</v>
      </c>
    </row>
    <row r="586" spans="1:13">
      <c r="A586" s="1">
        <f>HYPERLINK("http://www.twitter.com/NathanBLawrence/status/988494374681096192", "988494374681096192")</f>
        <v/>
      </c>
      <c r="B586" s="2" t="n">
        <v>43213.79627314815</v>
      </c>
      <c r="C586" t="n">
        <v>0</v>
      </c>
      <c r="D586" t="n">
        <v>13</v>
      </c>
      <c r="E586" t="s">
        <v>594</v>
      </c>
      <c r="F586" t="s"/>
      <c r="G586" t="s"/>
      <c r="H586" t="s"/>
      <c r="I586" t="s"/>
      <c r="J586" t="n">
        <v>-0.6124000000000001</v>
      </c>
      <c r="K586" t="n">
        <v>0.167</v>
      </c>
      <c r="L586" t="n">
        <v>0.833</v>
      </c>
      <c r="M586" t="n">
        <v>0</v>
      </c>
    </row>
    <row r="587" spans="1:13">
      <c r="A587" s="1">
        <f>HYPERLINK("http://www.twitter.com/NathanBLawrence/status/988494280670040064", "988494280670040064")</f>
        <v/>
      </c>
      <c r="B587" s="2" t="n">
        <v>43213.79601851852</v>
      </c>
      <c r="C587" t="n">
        <v>0</v>
      </c>
      <c r="D587" t="n">
        <v>5</v>
      </c>
      <c r="E587" t="s">
        <v>595</v>
      </c>
      <c r="F587" t="s"/>
      <c r="G587" t="s"/>
      <c r="H587" t="s"/>
      <c r="I587" t="s"/>
      <c r="J587" t="n">
        <v>0.0772</v>
      </c>
      <c r="K587" t="n">
        <v>0.179</v>
      </c>
      <c r="L587" t="n">
        <v>0.632</v>
      </c>
      <c r="M587" t="n">
        <v>0.189</v>
      </c>
    </row>
    <row r="588" spans="1:13">
      <c r="A588" s="1">
        <f>HYPERLINK("http://www.twitter.com/NathanBLawrence/status/988471937675522048", "988471937675522048")</f>
        <v/>
      </c>
      <c r="B588" s="2" t="n">
        <v>43213.73436342592</v>
      </c>
      <c r="C588" t="n">
        <v>0</v>
      </c>
      <c r="D588" t="n">
        <v>73</v>
      </c>
      <c r="E588" t="s">
        <v>596</v>
      </c>
      <c r="F588" t="s"/>
      <c r="G588" t="s"/>
      <c r="H588" t="s"/>
      <c r="I588" t="s"/>
      <c r="J588" t="n">
        <v>-0.6616</v>
      </c>
      <c r="K588" t="n">
        <v>0.207</v>
      </c>
      <c r="L588" t="n">
        <v>0.6889999999999999</v>
      </c>
      <c r="M588" t="n">
        <v>0.103</v>
      </c>
    </row>
    <row r="589" spans="1:13">
      <c r="A589" s="1">
        <f>HYPERLINK("http://www.twitter.com/NathanBLawrence/status/988466733701791745", "988466733701791745")</f>
        <v/>
      </c>
      <c r="B589" s="2" t="n">
        <v>43213.72</v>
      </c>
      <c r="C589" t="n">
        <v>0</v>
      </c>
      <c r="D589" t="n">
        <v>6</v>
      </c>
      <c r="E589" t="s">
        <v>597</v>
      </c>
      <c r="F589" t="s"/>
      <c r="G589" t="s"/>
      <c r="H589" t="s"/>
      <c r="I589" t="s"/>
      <c r="J589" t="n">
        <v>-0.8689</v>
      </c>
      <c r="K589" t="n">
        <v>0.375</v>
      </c>
      <c r="L589" t="n">
        <v>0.625</v>
      </c>
      <c r="M589" t="n">
        <v>0</v>
      </c>
    </row>
    <row r="590" spans="1:13">
      <c r="A590" s="1">
        <f>HYPERLINK("http://www.twitter.com/NathanBLawrence/status/988465115254149120", "988465115254149120")</f>
        <v/>
      </c>
      <c r="B590" s="2" t="n">
        <v>43213.7155324074</v>
      </c>
      <c r="C590" t="n">
        <v>0</v>
      </c>
      <c r="D590" t="n">
        <v>12079</v>
      </c>
      <c r="E590" t="s">
        <v>598</v>
      </c>
      <c r="F590" t="s"/>
      <c r="G590" t="s"/>
      <c r="H590" t="s"/>
      <c r="I590" t="s"/>
      <c r="J590" t="n">
        <v>0.2732</v>
      </c>
      <c r="K590" t="n">
        <v>0</v>
      </c>
      <c r="L590" t="n">
        <v>0.87</v>
      </c>
      <c r="M590" t="n">
        <v>0.13</v>
      </c>
    </row>
    <row r="591" spans="1:13">
      <c r="A591" s="1">
        <f>HYPERLINK("http://www.twitter.com/NathanBLawrence/status/988455748081418240", "988455748081418240")</f>
        <v/>
      </c>
      <c r="B591" s="2" t="n">
        <v>43213.6896875</v>
      </c>
      <c r="C591" t="n">
        <v>0</v>
      </c>
      <c r="D591" t="n">
        <v>38</v>
      </c>
      <c r="E591" t="s">
        <v>599</v>
      </c>
      <c r="F591" t="s"/>
      <c r="G591" t="s"/>
      <c r="H591" t="s"/>
      <c r="I591" t="s"/>
      <c r="J591" t="n">
        <v>-0.3818</v>
      </c>
      <c r="K591" t="n">
        <v>0.14</v>
      </c>
      <c r="L591" t="n">
        <v>0.86</v>
      </c>
      <c r="M591" t="n">
        <v>0</v>
      </c>
    </row>
    <row r="592" spans="1:13">
      <c r="A592" s="1">
        <f>HYPERLINK("http://www.twitter.com/NathanBLawrence/status/988455339166261248", "988455339166261248")</f>
        <v/>
      </c>
      <c r="B592" s="2" t="n">
        <v>43213.68856481482</v>
      </c>
      <c r="C592" t="n">
        <v>0</v>
      </c>
      <c r="D592" t="n">
        <v>13</v>
      </c>
      <c r="E592" t="s">
        <v>600</v>
      </c>
      <c r="F592" t="s"/>
      <c r="G592" t="s"/>
      <c r="H592" t="s"/>
      <c r="I592" t="s"/>
      <c r="J592" t="n">
        <v>-0.5719</v>
      </c>
      <c r="K592" t="n">
        <v>0.218</v>
      </c>
      <c r="L592" t="n">
        <v>0.701</v>
      </c>
      <c r="M592" t="n">
        <v>0.081</v>
      </c>
    </row>
    <row r="593" spans="1:13">
      <c r="A593" s="1">
        <f>HYPERLINK("http://www.twitter.com/NathanBLawrence/status/988455278445244418", "988455278445244418")</f>
        <v/>
      </c>
      <c r="B593" s="2" t="n">
        <v>43213.6883912037</v>
      </c>
      <c r="C593" t="n">
        <v>0</v>
      </c>
      <c r="D593" t="n">
        <v>12</v>
      </c>
      <c r="E593" t="s">
        <v>601</v>
      </c>
      <c r="F593" t="s"/>
      <c r="G593" t="s"/>
      <c r="H593" t="s"/>
      <c r="I593" t="s"/>
      <c r="J593" t="n">
        <v>0.1779</v>
      </c>
      <c r="K593" t="n">
        <v>0.081</v>
      </c>
      <c r="L593" t="n">
        <v>0.8129999999999999</v>
      </c>
      <c r="M593" t="n">
        <v>0.106</v>
      </c>
    </row>
    <row r="594" spans="1:13">
      <c r="A594" s="1">
        <f>HYPERLINK("http://www.twitter.com/NathanBLawrence/status/988453652888260608", "988453652888260608")</f>
        <v/>
      </c>
      <c r="B594" s="2" t="n">
        <v>43213.68391203704</v>
      </c>
      <c r="C594" t="n">
        <v>0</v>
      </c>
      <c r="D594" t="n">
        <v>167</v>
      </c>
      <c r="E594" t="s">
        <v>602</v>
      </c>
      <c r="F594" t="s"/>
      <c r="G594" t="s"/>
      <c r="H594" t="s"/>
      <c r="I594" t="s"/>
      <c r="J594" t="n">
        <v>0.25</v>
      </c>
      <c r="K594" t="n">
        <v>0</v>
      </c>
      <c r="L594" t="n">
        <v>0.882</v>
      </c>
      <c r="M594" t="n">
        <v>0.118</v>
      </c>
    </row>
    <row r="595" spans="1:13">
      <c r="A595" s="1">
        <f>HYPERLINK("http://www.twitter.com/NathanBLawrence/status/988248300389392384", "988248300389392384")</f>
        <v/>
      </c>
      <c r="B595" s="2" t="n">
        <v>43213.11724537037</v>
      </c>
      <c r="C595" t="n">
        <v>0</v>
      </c>
      <c r="D595" t="n">
        <v>8409</v>
      </c>
      <c r="E595" t="s">
        <v>603</v>
      </c>
      <c r="F595" t="s"/>
      <c r="G595" t="s"/>
      <c r="H595" t="s"/>
      <c r="I595" t="s"/>
      <c r="J595" t="n">
        <v>0</v>
      </c>
      <c r="K595" t="n">
        <v>0</v>
      </c>
      <c r="L595" t="n">
        <v>1</v>
      </c>
      <c r="M595" t="n">
        <v>0</v>
      </c>
    </row>
    <row r="596" spans="1:13">
      <c r="A596" s="1">
        <f>HYPERLINK("http://www.twitter.com/NathanBLawrence/status/988247796343103490", "988247796343103490")</f>
        <v/>
      </c>
      <c r="B596" s="2" t="n">
        <v>43213.11585648148</v>
      </c>
      <c r="C596" t="n">
        <v>0</v>
      </c>
      <c r="D596" t="n">
        <v>3512</v>
      </c>
      <c r="E596" t="s">
        <v>604</v>
      </c>
      <c r="F596" t="s"/>
      <c r="G596" t="s"/>
      <c r="H596" t="s"/>
      <c r="I596" t="s"/>
      <c r="J596" t="n">
        <v>-0.4019</v>
      </c>
      <c r="K596" t="n">
        <v>0.105</v>
      </c>
      <c r="L596" t="n">
        <v>0.895</v>
      </c>
      <c r="M596" t="n">
        <v>0</v>
      </c>
    </row>
    <row r="597" spans="1:13">
      <c r="A597" s="1">
        <f>HYPERLINK("http://www.twitter.com/NathanBLawrence/status/988247280066203649", "988247280066203649")</f>
        <v/>
      </c>
      <c r="B597" s="2" t="n">
        <v>43213.1144212963</v>
      </c>
      <c r="C597" t="n">
        <v>0</v>
      </c>
      <c r="D597" t="n">
        <v>27169</v>
      </c>
      <c r="E597" t="s">
        <v>605</v>
      </c>
      <c r="F597">
        <f>HYPERLINK("https://video.twimg.com/amplify_video/967103768327176192/vid/720x720/plHClPmXXKL1GgGU.mp4", "https://video.twimg.com/amplify_video/967103768327176192/vid/720x720/plHClPmXXKL1GgGU.mp4")</f>
        <v/>
      </c>
      <c r="G597" t="s"/>
      <c r="H597" t="s"/>
      <c r="I597" t="s"/>
      <c r="J597" t="n">
        <v>0</v>
      </c>
      <c r="K597" t="n">
        <v>0</v>
      </c>
      <c r="L597" t="n">
        <v>1</v>
      </c>
      <c r="M597" t="n">
        <v>0</v>
      </c>
    </row>
    <row r="598" spans="1:13">
      <c r="A598" s="1">
        <f>HYPERLINK("http://www.twitter.com/NathanBLawrence/status/988160786613899269", "988160786613899269")</f>
        <v/>
      </c>
      <c r="B598" s="2" t="n">
        <v>43212.87575231482</v>
      </c>
      <c r="C598" t="n">
        <v>0</v>
      </c>
      <c r="D598" t="n">
        <v>536</v>
      </c>
      <c r="E598" t="s">
        <v>606</v>
      </c>
      <c r="F598" t="s"/>
      <c r="G598" t="s"/>
      <c r="H598" t="s"/>
      <c r="I598" t="s"/>
      <c r="J598" t="n">
        <v>-0.3182</v>
      </c>
      <c r="K598" t="n">
        <v>0.108</v>
      </c>
      <c r="L598" t="n">
        <v>0.892</v>
      </c>
      <c r="M598" t="n">
        <v>0</v>
      </c>
    </row>
    <row r="599" spans="1:13">
      <c r="A599" s="1">
        <f>HYPERLINK("http://www.twitter.com/NathanBLawrence/status/988159333664993280", "988159333664993280")</f>
        <v/>
      </c>
      <c r="B599" s="2" t="n">
        <v>43212.87173611111</v>
      </c>
      <c r="C599" t="n">
        <v>0</v>
      </c>
      <c r="D599" t="n">
        <v>81</v>
      </c>
      <c r="E599" t="s">
        <v>607</v>
      </c>
      <c r="F599" t="s"/>
      <c r="G599" t="s"/>
      <c r="H599" t="s"/>
      <c r="I599" t="s"/>
      <c r="J599" t="n">
        <v>-0.25</v>
      </c>
      <c r="K599" t="n">
        <v>0.114</v>
      </c>
      <c r="L599" t="n">
        <v>0.8090000000000001</v>
      </c>
      <c r="M599" t="n">
        <v>0.077</v>
      </c>
    </row>
    <row r="600" spans="1:13">
      <c r="A600" s="1">
        <f>HYPERLINK("http://www.twitter.com/NathanBLawrence/status/988130267247333377", "988130267247333377")</f>
        <v/>
      </c>
      <c r="B600" s="2" t="n">
        <v>43212.79152777778</v>
      </c>
      <c r="C600" t="n">
        <v>0</v>
      </c>
      <c r="D600" t="n">
        <v>6211</v>
      </c>
      <c r="E600" t="s">
        <v>608</v>
      </c>
      <c r="F600">
        <f>HYPERLINK("https://video.twimg.com/amplify_video/988054947362205696/vid/1280x720/XiSdPMM3uhSRjF2V.mp4?tag=6", "https://video.twimg.com/amplify_video/988054947362205696/vid/1280x720/XiSdPMM3uhSRjF2V.mp4?tag=6")</f>
        <v/>
      </c>
      <c r="G600" t="s"/>
      <c r="H600" t="s"/>
      <c r="I600" t="s"/>
      <c r="J600" t="n">
        <v>-0.25</v>
      </c>
      <c r="K600" t="n">
        <v>0.093</v>
      </c>
      <c r="L600" t="n">
        <v>0.854</v>
      </c>
      <c r="M600" t="n">
        <v>0.053</v>
      </c>
    </row>
    <row r="601" spans="1:13">
      <c r="A601" s="1">
        <f>HYPERLINK("http://www.twitter.com/NathanBLawrence/status/988129268235472897", "988129268235472897")</f>
        <v/>
      </c>
      <c r="B601" s="2" t="n">
        <v>43212.78877314815</v>
      </c>
      <c r="C601" t="n">
        <v>0</v>
      </c>
      <c r="D601" t="n">
        <v>12</v>
      </c>
      <c r="E601" t="s">
        <v>609</v>
      </c>
      <c r="F601" t="s"/>
      <c r="G601" t="s"/>
      <c r="H601" t="s"/>
      <c r="I601" t="s"/>
      <c r="J601" t="n">
        <v>-0.8126</v>
      </c>
      <c r="K601" t="n">
        <v>0.344</v>
      </c>
      <c r="L601" t="n">
        <v>0.511</v>
      </c>
      <c r="M601" t="n">
        <v>0.145</v>
      </c>
    </row>
    <row r="602" spans="1:13">
      <c r="A602" s="1">
        <f>HYPERLINK("http://www.twitter.com/NathanBLawrence/status/988129146554511360", "988129146554511360")</f>
        <v/>
      </c>
      <c r="B602" s="2" t="n">
        <v>43212.7884375</v>
      </c>
      <c r="C602" t="n">
        <v>0</v>
      </c>
      <c r="D602" t="n">
        <v>20</v>
      </c>
      <c r="E602" t="s">
        <v>610</v>
      </c>
      <c r="F602" t="s"/>
      <c r="G602" t="s"/>
      <c r="H602" t="s"/>
      <c r="I602" t="s"/>
      <c r="J602" t="n">
        <v>-0.5994</v>
      </c>
      <c r="K602" t="n">
        <v>0.197</v>
      </c>
      <c r="L602" t="n">
        <v>0.803</v>
      </c>
      <c r="M602" t="n">
        <v>0</v>
      </c>
    </row>
    <row r="603" spans="1:13">
      <c r="A603" s="1">
        <f>HYPERLINK("http://www.twitter.com/NathanBLawrence/status/988124311071412224", "988124311071412224")</f>
        <v/>
      </c>
      <c r="B603" s="2" t="n">
        <v>43212.77509259259</v>
      </c>
      <c r="C603" t="n">
        <v>0</v>
      </c>
      <c r="D603" t="n">
        <v>4187</v>
      </c>
      <c r="E603" t="s">
        <v>611</v>
      </c>
      <c r="F603" t="s"/>
      <c r="G603" t="s"/>
      <c r="H603" t="s"/>
      <c r="I603" t="s"/>
      <c r="J603" t="n">
        <v>0.1779</v>
      </c>
      <c r="K603" t="n">
        <v>0.08799999999999999</v>
      </c>
      <c r="L603" t="n">
        <v>0.797</v>
      </c>
      <c r="M603" t="n">
        <v>0.116</v>
      </c>
    </row>
    <row r="604" spans="1:13">
      <c r="A604" s="1">
        <f>HYPERLINK("http://www.twitter.com/NathanBLawrence/status/987913915295305728", "987913915295305728")</f>
        <v/>
      </c>
      <c r="B604" s="2" t="n">
        <v>43212.19451388889</v>
      </c>
      <c r="C604" t="n">
        <v>0</v>
      </c>
      <c r="D604" t="n">
        <v>3</v>
      </c>
      <c r="E604" t="s">
        <v>612</v>
      </c>
      <c r="F604" t="s"/>
      <c r="G604" t="s"/>
      <c r="H604" t="s"/>
      <c r="I604" t="s"/>
      <c r="J604" t="n">
        <v>-0.0772</v>
      </c>
      <c r="K604" t="n">
        <v>0.111</v>
      </c>
      <c r="L604" t="n">
        <v>0.753</v>
      </c>
      <c r="M604" t="n">
        <v>0.136</v>
      </c>
    </row>
    <row r="605" spans="1:13">
      <c r="A605" s="1">
        <f>HYPERLINK("http://www.twitter.com/NathanBLawrence/status/987913875071946757", "987913875071946757")</f>
        <v/>
      </c>
      <c r="B605" s="2" t="n">
        <v>43212.19440972222</v>
      </c>
      <c r="C605" t="n">
        <v>0</v>
      </c>
      <c r="D605" t="n">
        <v>13</v>
      </c>
      <c r="E605" t="s">
        <v>613</v>
      </c>
      <c r="F605" t="s"/>
      <c r="G605" t="s"/>
      <c r="H605" t="s"/>
      <c r="I605" t="s"/>
      <c r="J605" t="n">
        <v>0.68</v>
      </c>
      <c r="K605" t="n">
        <v>0</v>
      </c>
      <c r="L605" t="n">
        <v>0.763</v>
      </c>
      <c r="M605" t="n">
        <v>0.237</v>
      </c>
    </row>
    <row r="606" spans="1:13">
      <c r="A606" s="1">
        <f>HYPERLINK("http://www.twitter.com/NathanBLawrence/status/987859100368359424", "987859100368359424")</f>
        <v/>
      </c>
      <c r="B606" s="2" t="n">
        <v>43212.04325231481</v>
      </c>
      <c r="C606" t="n">
        <v>0</v>
      </c>
      <c r="D606" t="n">
        <v>13</v>
      </c>
      <c r="E606" t="s">
        <v>614</v>
      </c>
      <c r="F606" t="s"/>
      <c r="G606" t="s"/>
      <c r="H606" t="s"/>
      <c r="I606" t="s"/>
      <c r="J606" t="n">
        <v>0.4019</v>
      </c>
      <c r="K606" t="n">
        <v>0.115</v>
      </c>
      <c r="L606" t="n">
        <v>0.6909999999999999</v>
      </c>
      <c r="M606" t="n">
        <v>0.194</v>
      </c>
    </row>
    <row r="607" spans="1:13">
      <c r="A607" s="1">
        <f>HYPERLINK("http://www.twitter.com/NathanBLawrence/status/987792837143138304", "987792837143138304")</f>
        <v/>
      </c>
      <c r="B607" s="2" t="n">
        <v>43211.86040509259</v>
      </c>
      <c r="C607" t="n">
        <v>1</v>
      </c>
      <c r="D607" t="n">
        <v>0</v>
      </c>
      <c r="E607" t="s">
        <v>615</v>
      </c>
      <c r="F607" t="s"/>
      <c r="G607" t="s"/>
      <c r="H607" t="s"/>
      <c r="I607" t="s"/>
      <c r="J607" t="n">
        <v>0.296</v>
      </c>
      <c r="K607" t="n">
        <v>0</v>
      </c>
      <c r="L607" t="n">
        <v>0.855</v>
      </c>
      <c r="M607" t="n">
        <v>0.145</v>
      </c>
    </row>
    <row r="608" spans="1:13">
      <c r="A608" s="1">
        <f>HYPERLINK("http://www.twitter.com/NathanBLawrence/status/987775323373744134", "987775323373744134")</f>
        <v/>
      </c>
      <c r="B608" s="2" t="n">
        <v>43211.81207175926</v>
      </c>
      <c r="C608" t="n">
        <v>0</v>
      </c>
      <c r="D608" t="n">
        <v>12</v>
      </c>
      <c r="E608" t="s">
        <v>616</v>
      </c>
      <c r="F608" t="s"/>
      <c r="G608" t="s"/>
      <c r="H608" t="s"/>
      <c r="I608" t="s"/>
      <c r="J608" t="n">
        <v>-0.34</v>
      </c>
      <c r="K608" t="n">
        <v>0.118</v>
      </c>
      <c r="L608" t="n">
        <v>0.882</v>
      </c>
      <c r="M608" t="n">
        <v>0</v>
      </c>
    </row>
    <row r="609" spans="1:13">
      <c r="A609" s="1">
        <f>HYPERLINK("http://www.twitter.com/NathanBLawrence/status/987715861992673281", "987715861992673281")</f>
        <v/>
      </c>
      <c r="B609" s="2" t="n">
        <v>43211.64799768518</v>
      </c>
      <c r="C609" t="n">
        <v>0</v>
      </c>
      <c r="D609" t="n">
        <v>23</v>
      </c>
      <c r="E609" t="s">
        <v>617</v>
      </c>
      <c r="F609" t="s"/>
      <c r="G609" t="s"/>
      <c r="H609" t="s"/>
      <c r="I609" t="s"/>
      <c r="J609" t="n">
        <v>-0.34</v>
      </c>
      <c r="K609" t="n">
        <v>0.094</v>
      </c>
      <c r="L609" t="n">
        <v>0.906</v>
      </c>
      <c r="M609" t="n">
        <v>0</v>
      </c>
    </row>
    <row r="610" spans="1:13">
      <c r="A610" s="1">
        <f>HYPERLINK("http://www.twitter.com/NathanBLawrence/status/987715285695258624", "987715285695258624")</f>
        <v/>
      </c>
      <c r="B610" s="2" t="n">
        <v>43211.64640046296</v>
      </c>
      <c r="C610" t="n">
        <v>0</v>
      </c>
      <c r="D610" t="n">
        <v>62</v>
      </c>
      <c r="E610" t="s">
        <v>618</v>
      </c>
      <c r="F610" t="s"/>
      <c r="G610" t="s"/>
      <c r="H610" t="s"/>
      <c r="I610" t="s"/>
      <c r="J610" t="n">
        <v>0.7964</v>
      </c>
      <c r="K610" t="n">
        <v>0</v>
      </c>
      <c r="L610" t="n">
        <v>0.6870000000000001</v>
      </c>
      <c r="M610" t="n">
        <v>0.313</v>
      </c>
    </row>
    <row r="611" spans="1:13">
      <c r="A611" s="1">
        <f>HYPERLINK("http://www.twitter.com/NathanBLawrence/status/987707422260252673", "987707422260252673")</f>
        <v/>
      </c>
      <c r="B611" s="2" t="n">
        <v>43211.62469907408</v>
      </c>
      <c r="C611" t="n">
        <v>0</v>
      </c>
      <c r="D611" t="n">
        <v>282</v>
      </c>
      <c r="E611" t="s">
        <v>619</v>
      </c>
      <c r="F611" t="s"/>
      <c r="G611" t="s"/>
      <c r="H611" t="s"/>
      <c r="I611" t="s"/>
      <c r="J611" t="n">
        <v>-0.4019</v>
      </c>
      <c r="K611" t="n">
        <v>0.164</v>
      </c>
      <c r="L611" t="n">
        <v>0.765</v>
      </c>
      <c r="M611" t="n">
        <v>0.07099999999999999</v>
      </c>
    </row>
    <row r="612" spans="1:13">
      <c r="A612" s="1">
        <f>HYPERLINK("http://www.twitter.com/NathanBLawrence/status/987695964155760640", "987695964155760640")</f>
        <v/>
      </c>
      <c r="B612" s="2" t="n">
        <v>43211.59309027778</v>
      </c>
      <c r="C612" t="n">
        <v>0</v>
      </c>
      <c r="D612" t="n">
        <v>1085</v>
      </c>
      <c r="E612" t="s">
        <v>620</v>
      </c>
      <c r="F612" t="s"/>
      <c r="G612" t="s"/>
      <c r="H612" t="s"/>
      <c r="I612" t="s"/>
      <c r="J612" t="n">
        <v>-0.3612</v>
      </c>
      <c r="K612" t="n">
        <v>0.102</v>
      </c>
      <c r="L612" t="n">
        <v>0.898</v>
      </c>
      <c r="M612" t="n">
        <v>0</v>
      </c>
    </row>
    <row r="613" spans="1:13">
      <c r="A613" s="1">
        <f>HYPERLINK("http://www.twitter.com/NathanBLawrence/status/987487745793708032", "987487745793708032")</f>
        <v/>
      </c>
      <c r="B613" s="2" t="n">
        <v>43211.01850694444</v>
      </c>
      <c r="C613" t="n">
        <v>0</v>
      </c>
      <c r="D613" t="n">
        <v>9</v>
      </c>
      <c r="E613" t="s">
        <v>621</v>
      </c>
      <c r="F613">
        <f>HYPERLINK("http://pbs.twimg.com/media/DbQ8KwFWkAEivtq.jpg", "http://pbs.twimg.com/media/DbQ8KwFWkAEivtq.jpg")</f>
        <v/>
      </c>
      <c r="G613" t="s"/>
      <c r="H613" t="s"/>
      <c r="I613" t="s"/>
      <c r="J613" t="n">
        <v>0</v>
      </c>
      <c r="K613" t="n">
        <v>0</v>
      </c>
      <c r="L613" t="n">
        <v>1</v>
      </c>
      <c r="M613" t="n">
        <v>0</v>
      </c>
    </row>
    <row r="614" spans="1:13">
      <c r="A614" s="1">
        <f>HYPERLINK("http://www.twitter.com/NathanBLawrence/status/987484753652744192", "987484753652744192")</f>
        <v/>
      </c>
      <c r="B614" s="2" t="n">
        <v>43211.01025462963</v>
      </c>
      <c r="C614" t="n">
        <v>0</v>
      </c>
      <c r="D614" t="n">
        <v>17</v>
      </c>
      <c r="E614" t="s">
        <v>622</v>
      </c>
      <c r="F614">
        <f>HYPERLINK("http://pbs.twimg.com/media/DbQ-H-NWkAUbwgn.jpg", "http://pbs.twimg.com/media/DbQ-H-NWkAUbwgn.jpg")</f>
        <v/>
      </c>
      <c r="G614" t="s"/>
      <c r="H614" t="s"/>
      <c r="I614" t="s"/>
      <c r="J614" t="n">
        <v>0.3182</v>
      </c>
      <c r="K614" t="n">
        <v>0.059</v>
      </c>
      <c r="L614" t="n">
        <v>0.822</v>
      </c>
      <c r="M614" t="n">
        <v>0.119</v>
      </c>
    </row>
    <row r="615" spans="1:13">
      <c r="A615" s="1">
        <f>HYPERLINK("http://www.twitter.com/NathanBLawrence/status/987484140776894464", "987484140776894464")</f>
        <v/>
      </c>
      <c r="B615" s="2" t="n">
        <v>43211.00856481482</v>
      </c>
      <c r="C615" t="n">
        <v>0</v>
      </c>
      <c r="D615" t="n">
        <v>2540</v>
      </c>
      <c r="E615" t="s">
        <v>623</v>
      </c>
      <c r="F615" t="s"/>
      <c r="G615" t="s"/>
      <c r="H615" t="s"/>
      <c r="I615" t="s"/>
      <c r="J615" t="n">
        <v>0.4767</v>
      </c>
      <c r="K615" t="n">
        <v>0</v>
      </c>
      <c r="L615" t="n">
        <v>0.89</v>
      </c>
      <c r="M615" t="n">
        <v>0.11</v>
      </c>
    </row>
    <row r="616" spans="1:13">
      <c r="A616" s="1">
        <f>HYPERLINK("http://www.twitter.com/NathanBLawrence/status/987464589859328001", "987464589859328001")</f>
        <v/>
      </c>
      <c r="B616" s="2" t="n">
        <v>43210.95461805556</v>
      </c>
      <c r="C616" t="n">
        <v>0</v>
      </c>
      <c r="D616" t="n">
        <v>14872</v>
      </c>
      <c r="E616" t="s">
        <v>624</v>
      </c>
      <c r="F616" t="s"/>
      <c r="G616" t="s"/>
      <c r="H616" t="s"/>
      <c r="I616" t="s"/>
      <c r="J616" t="n">
        <v>-0.296</v>
      </c>
      <c r="K616" t="n">
        <v>0.095</v>
      </c>
      <c r="L616" t="n">
        <v>0.905</v>
      </c>
      <c r="M616" t="n">
        <v>0</v>
      </c>
    </row>
    <row r="617" spans="1:13">
      <c r="A617" s="1">
        <f>HYPERLINK("http://www.twitter.com/NathanBLawrence/status/987461645483085825", "987461645483085825")</f>
        <v/>
      </c>
      <c r="B617" s="2" t="n">
        <v>43210.94649305556</v>
      </c>
      <c r="C617" t="n">
        <v>0</v>
      </c>
      <c r="D617" t="n">
        <v>1444</v>
      </c>
      <c r="E617" t="s">
        <v>625</v>
      </c>
      <c r="F617" t="s"/>
      <c r="G617" t="s"/>
      <c r="H617" t="s"/>
      <c r="I617" t="s"/>
      <c r="J617" t="n">
        <v>-0.636</v>
      </c>
      <c r="K617" t="n">
        <v>0.181</v>
      </c>
      <c r="L617" t="n">
        <v>0.819</v>
      </c>
      <c r="M617" t="n">
        <v>0</v>
      </c>
    </row>
    <row r="618" spans="1:13">
      <c r="A618" s="1">
        <f>HYPERLINK("http://www.twitter.com/NathanBLawrence/status/987431130860347392", "987431130860347392")</f>
        <v/>
      </c>
      <c r="B618" s="2" t="n">
        <v>43210.8622800926</v>
      </c>
      <c r="C618" t="n">
        <v>0</v>
      </c>
      <c r="D618" t="n">
        <v>6</v>
      </c>
      <c r="E618" t="s">
        <v>626</v>
      </c>
      <c r="F618" t="s"/>
      <c r="G618" t="s"/>
      <c r="H618" t="s"/>
      <c r="I618" t="s"/>
      <c r="J618" t="n">
        <v>0</v>
      </c>
      <c r="K618" t="n">
        <v>0</v>
      </c>
      <c r="L618" t="n">
        <v>1</v>
      </c>
      <c r="M618" t="n">
        <v>0</v>
      </c>
    </row>
    <row r="619" spans="1:13">
      <c r="A619" s="1">
        <f>HYPERLINK("http://www.twitter.com/NathanBLawrence/status/987424435253768195", "987424435253768195")</f>
        <v/>
      </c>
      <c r="B619" s="2" t="n">
        <v>43210.84380787037</v>
      </c>
      <c r="C619" t="n">
        <v>0</v>
      </c>
      <c r="D619" t="n">
        <v>1867</v>
      </c>
      <c r="E619" t="s">
        <v>627</v>
      </c>
      <c r="F619" t="s"/>
      <c r="G619" t="s"/>
      <c r="H619" t="s"/>
      <c r="I619" t="s"/>
      <c r="J619" t="n">
        <v>-0.8193</v>
      </c>
      <c r="K619" t="n">
        <v>0.264</v>
      </c>
      <c r="L619" t="n">
        <v>0.736</v>
      </c>
      <c r="M619" t="n">
        <v>0</v>
      </c>
    </row>
    <row r="620" spans="1:13">
      <c r="A620" s="1">
        <f>HYPERLINK("http://www.twitter.com/NathanBLawrence/status/987423695118454786", "987423695118454786")</f>
        <v/>
      </c>
      <c r="B620" s="2" t="n">
        <v>43210.84177083334</v>
      </c>
      <c r="C620" t="n">
        <v>0</v>
      </c>
      <c r="D620" t="n">
        <v>4274</v>
      </c>
      <c r="E620" t="s">
        <v>628</v>
      </c>
      <c r="F620" t="s"/>
      <c r="G620" t="s"/>
      <c r="H620" t="s"/>
      <c r="I620" t="s"/>
      <c r="J620" t="n">
        <v>0</v>
      </c>
      <c r="K620" t="n">
        <v>0</v>
      </c>
      <c r="L620" t="n">
        <v>1</v>
      </c>
      <c r="M620" t="n">
        <v>0</v>
      </c>
    </row>
    <row r="621" spans="1:13">
      <c r="A621" s="1">
        <f>HYPERLINK("http://www.twitter.com/NathanBLawrence/status/987410152830701568", "987410152830701568")</f>
        <v/>
      </c>
      <c r="B621" s="2" t="n">
        <v>43210.80439814815</v>
      </c>
      <c r="C621" t="n">
        <v>0</v>
      </c>
      <c r="D621" t="n">
        <v>2</v>
      </c>
      <c r="E621" t="s">
        <v>629</v>
      </c>
      <c r="F621" t="s"/>
      <c r="G621" t="s"/>
      <c r="H621" t="s"/>
      <c r="I621" t="s"/>
      <c r="J621" t="n">
        <v>0.5266999999999999</v>
      </c>
      <c r="K621" t="n">
        <v>0</v>
      </c>
      <c r="L621" t="n">
        <v>0.764</v>
      </c>
      <c r="M621" t="n">
        <v>0.236</v>
      </c>
    </row>
    <row r="622" spans="1:13">
      <c r="A622" s="1">
        <f>HYPERLINK("http://www.twitter.com/NathanBLawrence/status/987408181226803202", "987408181226803202")</f>
        <v/>
      </c>
      <c r="B622" s="2" t="n">
        <v>43210.79895833333</v>
      </c>
      <c r="C622" t="n">
        <v>0</v>
      </c>
      <c r="D622" t="n">
        <v>10</v>
      </c>
      <c r="E622" t="s">
        <v>630</v>
      </c>
      <c r="F622" t="s"/>
      <c r="G622" t="s"/>
      <c r="H622" t="s"/>
      <c r="I622" t="s"/>
      <c r="J622" t="n">
        <v>-0.51</v>
      </c>
      <c r="K622" t="n">
        <v>0.21</v>
      </c>
      <c r="L622" t="n">
        <v>0.665</v>
      </c>
      <c r="M622" t="n">
        <v>0.125</v>
      </c>
    </row>
    <row r="623" spans="1:13">
      <c r="A623" s="1">
        <f>HYPERLINK("http://www.twitter.com/NathanBLawrence/status/987406575752171521", "987406575752171521")</f>
        <v/>
      </c>
      <c r="B623" s="2" t="n">
        <v>43210.79452546296</v>
      </c>
      <c r="C623" t="n">
        <v>0</v>
      </c>
      <c r="D623" t="n">
        <v>8364</v>
      </c>
      <c r="E623" t="s">
        <v>631</v>
      </c>
      <c r="F623" t="s"/>
      <c r="G623" t="s"/>
      <c r="H623" t="s"/>
      <c r="I623" t="s"/>
      <c r="J623" t="n">
        <v>-0.3818</v>
      </c>
      <c r="K623" t="n">
        <v>0.23</v>
      </c>
      <c r="L623" t="n">
        <v>0.652</v>
      </c>
      <c r="M623" t="n">
        <v>0.117</v>
      </c>
    </row>
    <row r="624" spans="1:13">
      <c r="A624" s="1">
        <f>HYPERLINK("http://www.twitter.com/NathanBLawrence/status/987406471175524352", "987406471175524352")</f>
        <v/>
      </c>
      <c r="B624" s="2" t="n">
        <v>43210.79423611111</v>
      </c>
      <c r="C624" t="n">
        <v>0</v>
      </c>
      <c r="D624" t="n">
        <v>1743</v>
      </c>
      <c r="E624" t="s">
        <v>632</v>
      </c>
      <c r="F624" t="s"/>
      <c r="G624" t="s"/>
      <c r="H624" t="s"/>
      <c r="I624" t="s"/>
      <c r="J624" t="n">
        <v>-0.3034</v>
      </c>
      <c r="K624" t="n">
        <v>0.195</v>
      </c>
      <c r="L624" t="n">
        <v>0.678</v>
      </c>
      <c r="M624" t="n">
        <v>0.126</v>
      </c>
    </row>
    <row r="625" spans="1:13">
      <c r="A625" s="1">
        <f>HYPERLINK("http://www.twitter.com/NathanBLawrence/status/987406198050836482", "987406198050836482")</f>
        <v/>
      </c>
      <c r="B625" s="2" t="n">
        <v>43210.7934837963</v>
      </c>
      <c r="C625" t="n">
        <v>0</v>
      </c>
      <c r="D625" t="n">
        <v>2129</v>
      </c>
      <c r="E625" t="s">
        <v>633</v>
      </c>
      <c r="F625" t="s"/>
      <c r="G625" t="s"/>
      <c r="H625" t="s"/>
      <c r="I625" t="s"/>
      <c r="J625" t="n">
        <v>-0.4588</v>
      </c>
      <c r="K625" t="n">
        <v>0.167</v>
      </c>
      <c r="L625" t="n">
        <v>0.833</v>
      </c>
      <c r="M625" t="n">
        <v>0</v>
      </c>
    </row>
    <row r="626" spans="1:13">
      <c r="A626" s="1">
        <f>HYPERLINK("http://www.twitter.com/NathanBLawrence/status/987404217668292609", "987404217668292609")</f>
        <v/>
      </c>
      <c r="B626" s="2" t="n">
        <v>43210.78802083333</v>
      </c>
      <c r="C626" t="n">
        <v>2</v>
      </c>
      <c r="D626" t="n">
        <v>1</v>
      </c>
      <c r="E626" t="s">
        <v>634</v>
      </c>
      <c r="F626" t="s"/>
      <c r="G626" t="s"/>
      <c r="H626" t="s"/>
      <c r="I626" t="s"/>
      <c r="J626" t="n">
        <v>-0.34</v>
      </c>
      <c r="K626" t="n">
        <v>0.156</v>
      </c>
      <c r="L626" t="n">
        <v>0.844</v>
      </c>
      <c r="M626" t="n">
        <v>0</v>
      </c>
    </row>
    <row r="627" spans="1:13">
      <c r="A627" s="1">
        <f>HYPERLINK("http://www.twitter.com/NathanBLawrence/status/987387764843966464", "987387764843966464")</f>
        <v/>
      </c>
      <c r="B627" s="2" t="n">
        <v>43210.74261574074</v>
      </c>
      <c r="C627" t="n">
        <v>0</v>
      </c>
      <c r="D627" t="n">
        <v>0</v>
      </c>
      <c r="E627" t="s">
        <v>635</v>
      </c>
      <c r="F627" t="s"/>
      <c r="G627" t="s"/>
      <c r="H627" t="s"/>
      <c r="I627" t="s"/>
      <c r="J627" t="n">
        <v>0.5859</v>
      </c>
      <c r="K627" t="n">
        <v>0.045</v>
      </c>
      <c r="L627" t="n">
        <v>0.802</v>
      </c>
      <c r="M627" t="n">
        <v>0.153</v>
      </c>
    </row>
    <row r="628" spans="1:13">
      <c r="A628" s="1">
        <f>HYPERLINK("http://www.twitter.com/NathanBLawrence/status/987385449852358658", "987385449852358658")</f>
        <v/>
      </c>
      <c r="B628" s="2" t="n">
        <v>43210.73622685186</v>
      </c>
      <c r="C628" t="n">
        <v>0</v>
      </c>
      <c r="D628" t="n">
        <v>11</v>
      </c>
      <c r="E628" t="s">
        <v>636</v>
      </c>
      <c r="F628" t="s"/>
      <c r="G628" t="s"/>
      <c r="H628" t="s"/>
      <c r="I628" t="s"/>
      <c r="J628" t="n">
        <v>-0.1027</v>
      </c>
      <c r="K628" t="n">
        <v>0.076</v>
      </c>
      <c r="L628" t="n">
        <v>0.924</v>
      </c>
      <c r="M628" t="n">
        <v>0</v>
      </c>
    </row>
    <row r="629" spans="1:13">
      <c r="A629" s="1">
        <f>HYPERLINK("http://www.twitter.com/NathanBLawrence/status/987383154687250432", "987383154687250432")</f>
        <v/>
      </c>
      <c r="B629" s="2" t="n">
        <v>43210.72989583333</v>
      </c>
      <c r="C629" t="n">
        <v>0</v>
      </c>
      <c r="D629" t="n">
        <v>0</v>
      </c>
      <c r="E629" t="s">
        <v>637</v>
      </c>
      <c r="F629" t="s"/>
      <c r="G629" t="s"/>
      <c r="H629" t="s"/>
      <c r="I629" t="s"/>
      <c r="J629" t="n">
        <v>0</v>
      </c>
      <c r="K629" t="n">
        <v>0</v>
      </c>
      <c r="L629" t="n">
        <v>1</v>
      </c>
      <c r="M629" t="n">
        <v>0</v>
      </c>
    </row>
    <row r="630" spans="1:13">
      <c r="A630" s="1">
        <f>HYPERLINK("http://www.twitter.com/NathanBLawrence/status/987372793263161345", "987372793263161345")</f>
        <v/>
      </c>
      <c r="B630" s="2" t="n">
        <v>43210.70130787037</v>
      </c>
      <c r="C630" t="n">
        <v>0</v>
      </c>
      <c r="D630" t="n">
        <v>2764</v>
      </c>
      <c r="E630" t="s">
        <v>638</v>
      </c>
      <c r="F630" t="s"/>
      <c r="G630" t="s"/>
      <c r="H630" t="s"/>
      <c r="I630" t="s"/>
      <c r="J630" t="n">
        <v>-0.34</v>
      </c>
      <c r="K630" t="n">
        <v>0.286</v>
      </c>
      <c r="L630" t="n">
        <v>0.714</v>
      </c>
      <c r="M630" t="n">
        <v>0</v>
      </c>
    </row>
    <row r="631" spans="1:13">
      <c r="A631" s="1">
        <f>HYPERLINK("http://www.twitter.com/NathanBLawrence/status/987368847958315009", "987368847958315009")</f>
        <v/>
      </c>
      <c r="B631" s="2" t="n">
        <v>43210.69041666666</v>
      </c>
      <c r="C631" t="n">
        <v>0</v>
      </c>
      <c r="D631" t="n">
        <v>3201</v>
      </c>
      <c r="E631" t="s">
        <v>639</v>
      </c>
      <c r="F631" t="s"/>
      <c r="G631" t="s"/>
      <c r="H631" t="s"/>
      <c r="I631" t="s"/>
      <c r="J631" t="n">
        <v>-0.3818</v>
      </c>
      <c r="K631" t="n">
        <v>0.146</v>
      </c>
      <c r="L631" t="n">
        <v>0.854</v>
      </c>
      <c r="M631" t="n">
        <v>0</v>
      </c>
    </row>
    <row r="632" spans="1:13">
      <c r="A632" s="1">
        <f>HYPERLINK("http://www.twitter.com/NathanBLawrence/status/987368239545114624", "987368239545114624")</f>
        <v/>
      </c>
      <c r="B632" s="2" t="n">
        <v>43210.68873842592</v>
      </c>
      <c r="C632" t="n">
        <v>0</v>
      </c>
      <c r="D632" t="n">
        <v>554</v>
      </c>
      <c r="E632" t="s">
        <v>640</v>
      </c>
      <c r="F632" t="s"/>
      <c r="G632" t="s"/>
      <c r="H632" t="s"/>
      <c r="I632" t="s"/>
      <c r="J632" t="n">
        <v>0</v>
      </c>
      <c r="K632" t="n">
        <v>0</v>
      </c>
      <c r="L632" t="n">
        <v>1</v>
      </c>
      <c r="M632" t="n">
        <v>0</v>
      </c>
    </row>
    <row r="633" spans="1:13">
      <c r="A633" s="1">
        <f>HYPERLINK("http://www.twitter.com/NathanBLawrence/status/987366209166462976", "987366209166462976")</f>
        <v/>
      </c>
      <c r="B633" s="2" t="n">
        <v>43210.68313657407</v>
      </c>
      <c r="C633" t="n">
        <v>0</v>
      </c>
      <c r="D633" t="n">
        <v>659</v>
      </c>
      <c r="E633" t="s">
        <v>641</v>
      </c>
      <c r="F633" t="s"/>
      <c r="G633" t="s"/>
      <c r="H633" t="s"/>
      <c r="I633" t="s"/>
      <c r="J633" t="n">
        <v>-0.4767</v>
      </c>
      <c r="K633" t="n">
        <v>0.186</v>
      </c>
      <c r="L633" t="n">
        <v>0.8139999999999999</v>
      </c>
      <c r="M633" t="n">
        <v>0</v>
      </c>
    </row>
    <row r="634" spans="1:13">
      <c r="A634" s="1">
        <f>HYPERLINK("http://www.twitter.com/NathanBLawrence/status/987364545416122368", "987364545416122368")</f>
        <v/>
      </c>
      <c r="B634" s="2" t="n">
        <v>43210.67854166667</v>
      </c>
      <c r="C634" t="n">
        <v>0</v>
      </c>
      <c r="D634" t="n">
        <v>1679</v>
      </c>
      <c r="E634" t="s">
        <v>642</v>
      </c>
      <c r="F634" t="s"/>
      <c r="G634" t="s"/>
      <c r="H634" t="s"/>
      <c r="I634" t="s"/>
      <c r="J634" t="n">
        <v>0.6892</v>
      </c>
      <c r="K634" t="n">
        <v>0</v>
      </c>
      <c r="L634" t="n">
        <v>0.719</v>
      </c>
      <c r="M634" t="n">
        <v>0.281</v>
      </c>
    </row>
    <row r="635" spans="1:13">
      <c r="A635" s="1">
        <f>HYPERLINK("http://www.twitter.com/NathanBLawrence/status/987364060583821313", "987364060583821313")</f>
        <v/>
      </c>
      <c r="B635" s="2" t="n">
        <v>43210.67721064815</v>
      </c>
      <c r="C635" t="n">
        <v>0</v>
      </c>
      <c r="D635" t="n">
        <v>2537</v>
      </c>
      <c r="E635" t="s">
        <v>643</v>
      </c>
      <c r="F635" t="s"/>
      <c r="G635" t="s"/>
      <c r="H635" t="s"/>
      <c r="I635" t="s"/>
      <c r="J635" t="n">
        <v>0.0772</v>
      </c>
      <c r="K635" t="n">
        <v>0.132</v>
      </c>
      <c r="L635" t="n">
        <v>0.726</v>
      </c>
      <c r="M635" t="n">
        <v>0.142</v>
      </c>
    </row>
    <row r="636" spans="1:13">
      <c r="A636" s="1">
        <f>HYPERLINK("http://www.twitter.com/NathanBLawrence/status/987363312068382721", "987363312068382721")</f>
        <v/>
      </c>
      <c r="B636" s="2" t="n">
        <v>43210.67513888889</v>
      </c>
      <c r="C636" t="n">
        <v>0</v>
      </c>
      <c r="D636" t="n">
        <v>2</v>
      </c>
      <c r="E636" t="s">
        <v>644</v>
      </c>
      <c r="F636" t="s"/>
      <c r="G636" t="s"/>
      <c r="H636" t="s"/>
      <c r="I636" t="s"/>
      <c r="J636" t="n">
        <v>0</v>
      </c>
      <c r="K636" t="n">
        <v>0</v>
      </c>
      <c r="L636" t="n">
        <v>1</v>
      </c>
      <c r="M636" t="n">
        <v>0</v>
      </c>
    </row>
    <row r="637" spans="1:13">
      <c r="A637" s="1">
        <f>HYPERLINK("http://www.twitter.com/NathanBLawrence/status/987336773721346048", "987336773721346048")</f>
        <v/>
      </c>
      <c r="B637" s="2" t="n">
        <v>43210.60190972222</v>
      </c>
      <c r="C637" t="n">
        <v>0</v>
      </c>
      <c r="D637" t="n">
        <v>2754</v>
      </c>
      <c r="E637" t="s">
        <v>645</v>
      </c>
      <c r="F637" t="s"/>
      <c r="G637" t="s"/>
      <c r="H637" t="s"/>
      <c r="I637" t="s"/>
      <c r="J637" t="n">
        <v>0.3612</v>
      </c>
      <c r="K637" t="n">
        <v>0</v>
      </c>
      <c r="L637" t="n">
        <v>0.902</v>
      </c>
      <c r="M637" t="n">
        <v>0.098</v>
      </c>
    </row>
    <row r="638" spans="1:13">
      <c r="A638" s="1">
        <f>HYPERLINK("http://www.twitter.com/NathanBLawrence/status/987334903598649344", "987334903598649344")</f>
        <v/>
      </c>
      <c r="B638" s="2" t="n">
        <v>43210.59674768519</v>
      </c>
      <c r="C638" t="n">
        <v>0</v>
      </c>
      <c r="D638" t="n">
        <v>3520</v>
      </c>
      <c r="E638" t="s">
        <v>646</v>
      </c>
      <c r="F638" t="s"/>
      <c r="G638" t="s"/>
      <c r="H638" t="s"/>
      <c r="I638" t="s"/>
      <c r="J638" t="n">
        <v>0.6868</v>
      </c>
      <c r="K638" t="n">
        <v>0.063</v>
      </c>
      <c r="L638" t="n">
        <v>0.702</v>
      </c>
      <c r="M638" t="n">
        <v>0.235</v>
      </c>
    </row>
    <row r="639" spans="1:13">
      <c r="A639" s="1">
        <f>HYPERLINK("http://www.twitter.com/NathanBLawrence/status/987207276653105152", "987207276653105152")</f>
        <v/>
      </c>
      <c r="B639" s="2" t="n">
        <v>43210.24456018519</v>
      </c>
      <c r="C639" t="n">
        <v>0</v>
      </c>
      <c r="D639" t="n">
        <v>952</v>
      </c>
      <c r="E639" t="s">
        <v>647</v>
      </c>
      <c r="F639">
        <f>HYPERLINK("http://pbs.twimg.com/media/DbNANTkUwAIT0Hf.jpg", "http://pbs.twimg.com/media/DbNANTkUwAIT0Hf.jpg")</f>
        <v/>
      </c>
      <c r="G639" t="s"/>
      <c r="H639" t="s"/>
      <c r="I639" t="s"/>
      <c r="J639" t="n">
        <v>0</v>
      </c>
      <c r="K639" t="n">
        <v>0</v>
      </c>
      <c r="L639" t="n">
        <v>1</v>
      </c>
      <c r="M639" t="n">
        <v>0</v>
      </c>
    </row>
    <row r="640" spans="1:13">
      <c r="A640" s="1">
        <f>HYPERLINK("http://www.twitter.com/NathanBLawrence/status/987207164455464960", "987207164455464960")</f>
        <v/>
      </c>
      <c r="B640" s="2" t="n">
        <v>43210.24425925926</v>
      </c>
      <c r="C640" t="n">
        <v>0</v>
      </c>
      <c r="D640" t="n">
        <v>11</v>
      </c>
      <c r="E640" t="s">
        <v>648</v>
      </c>
      <c r="F640" t="s"/>
      <c r="G640" t="s"/>
      <c r="H640" t="s"/>
      <c r="I640" t="s"/>
      <c r="J640" t="n">
        <v>0.0772</v>
      </c>
      <c r="K640" t="n">
        <v>0.1</v>
      </c>
      <c r="L640" t="n">
        <v>0.788</v>
      </c>
      <c r="M640" t="n">
        <v>0.112</v>
      </c>
    </row>
    <row r="641" spans="1:13">
      <c r="A641" s="1">
        <f>HYPERLINK("http://www.twitter.com/NathanBLawrence/status/987207011141111809", "987207011141111809")</f>
        <v/>
      </c>
      <c r="B641" s="2" t="n">
        <v>43210.24383101852</v>
      </c>
      <c r="C641" t="n">
        <v>0</v>
      </c>
      <c r="D641" t="n">
        <v>353</v>
      </c>
      <c r="E641" t="s">
        <v>649</v>
      </c>
      <c r="F641" t="s"/>
      <c r="G641" t="s"/>
      <c r="H641" t="s"/>
      <c r="I641" t="s"/>
      <c r="J641" t="n">
        <v>0.5574</v>
      </c>
      <c r="K641" t="n">
        <v>0</v>
      </c>
      <c r="L641" t="n">
        <v>0.847</v>
      </c>
      <c r="M641" t="n">
        <v>0.153</v>
      </c>
    </row>
    <row r="642" spans="1:13">
      <c r="A642" s="1">
        <f>HYPERLINK("http://www.twitter.com/NathanBLawrence/status/987182702540541952", "987182702540541952")</f>
        <v/>
      </c>
      <c r="B642" s="2" t="n">
        <v>43210.17674768518</v>
      </c>
      <c r="C642" t="n">
        <v>0</v>
      </c>
      <c r="D642" t="n">
        <v>2396</v>
      </c>
      <c r="E642" t="s">
        <v>650</v>
      </c>
      <c r="F642">
        <f>HYPERLINK("http://pbs.twimg.com/media/DbMqW_xXUAEnMc_.jpg", "http://pbs.twimg.com/media/DbMqW_xXUAEnMc_.jpg")</f>
        <v/>
      </c>
      <c r="G642" t="s"/>
      <c r="H642" t="s"/>
      <c r="I642" t="s"/>
      <c r="J642" t="n">
        <v>-0.7845</v>
      </c>
      <c r="K642" t="n">
        <v>0.247</v>
      </c>
      <c r="L642" t="n">
        <v>0.753</v>
      </c>
      <c r="M642" t="n">
        <v>0</v>
      </c>
    </row>
    <row r="643" spans="1:13">
      <c r="A643" s="1">
        <f>HYPERLINK("http://www.twitter.com/NathanBLawrence/status/987180788436389888", "987180788436389888")</f>
        <v/>
      </c>
      <c r="B643" s="2" t="n">
        <v>43210.17146990741</v>
      </c>
      <c r="C643" t="n">
        <v>0</v>
      </c>
      <c r="D643" t="n">
        <v>1723</v>
      </c>
      <c r="E643" t="s">
        <v>651</v>
      </c>
      <c r="F643" t="s"/>
      <c r="G643" t="s"/>
      <c r="H643" t="s"/>
      <c r="I643" t="s"/>
      <c r="J643" t="n">
        <v>-0.5266999999999999</v>
      </c>
      <c r="K643" t="n">
        <v>0.237</v>
      </c>
      <c r="L643" t="n">
        <v>0.612</v>
      </c>
      <c r="M643" t="n">
        <v>0.151</v>
      </c>
    </row>
    <row r="644" spans="1:13">
      <c r="A644" s="1">
        <f>HYPERLINK("http://www.twitter.com/NathanBLawrence/status/987180413981519872", "987180413981519872")</f>
        <v/>
      </c>
      <c r="B644" s="2" t="n">
        <v>43210.17043981481</v>
      </c>
      <c r="C644" t="n">
        <v>0</v>
      </c>
      <c r="D644" t="n">
        <v>5264</v>
      </c>
      <c r="E644" t="s">
        <v>652</v>
      </c>
      <c r="F644" t="s"/>
      <c r="G644" t="s"/>
      <c r="H644" t="s"/>
      <c r="I644" t="s"/>
      <c r="J644" t="n">
        <v>-0.5266999999999999</v>
      </c>
      <c r="K644" t="n">
        <v>0.206</v>
      </c>
      <c r="L644" t="n">
        <v>0.794</v>
      </c>
      <c r="M644" t="n">
        <v>0</v>
      </c>
    </row>
    <row r="645" spans="1:13">
      <c r="A645" s="1">
        <f>HYPERLINK("http://www.twitter.com/NathanBLawrence/status/987168021163790336", "987168021163790336")</f>
        <v/>
      </c>
      <c r="B645" s="2" t="n">
        <v>43210.13623842593</v>
      </c>
      <c r="C645" t="n">
        <v>0</v>
      </c>
      <c r="D645" t="n">
        <v>367</v>
      </c>
      <c r="E645" t="s">
        <v>653</v>
      </c>
      <c r="F645" t="s"/>
      <c r="G645" t="s"/>
      <c r="H645" t="s"/>
      <c r="I645" t="s"/>
      <c r="J645" t="n">
        <v>0.7717000000000001</v>
      </c>
      <c r="K645" t="n">
        <v>0</v>
      </c>
      <c r="L645" t="n">
        <v>0.758</v>
      </c>
      <c r="M645" t="n">
        <v>0.242</v>
      </c>
    </row>
    <row r="646" spans="1:13">
      <c r="A646" s="1">
        <f>HYPERLINK("http://www.twitter.com/NathanBLawrence/status/987165883121446912", "987165883121446912")</f>
        <v/>
      </c>
      <c r="B646" s="2" t="n">
        <v>43210.13033564815</v>
      </c>
      <c r="C646" t="n">
        <v>0</v>
      </c>
      <c r="D646" t="n">
        <v>143</v>
      </c>
      <c r="E646" t="s">
        <v>654</v>
      </c>
      <c r="F646" t="s"/>
      <c r="G646" t="s"/>
      <c r="H646" t="s"/>
      <c r="I646" t="s"/>
      <c r="J646" t="n">
        <v>0</v>
      </c>
      <c r="K646" t="n">
        <v>0</v>
      </c>
      <c r="L646" t="n">
        <v>1</v>
      </c>
      <c r="M646" t="n">
        <v>0</v>
      </c>
    </row>
    <row r="647" spans="1:13">
      <c r="A647" s="1">
        <f>HYPERLINK("http://www.twitter.com/NathanBLawrence/status/987162620657577984", "987162620657577984")</f>
        <v/>
      </c>
      <c r="B647" s="2" t="n">
        <v>43210.1213425926</v>
      </c>
      <c r="C647" t="n">
        <v>0</v>
      </c>
      <c r="D647" t="n">
        <v>2713</v>
      </c>
      <c r="E647" t="s">
        <v>655</v>
      </c>
      <c r="F647" t="s"/>
      <c r="G647" t="s"/>
      <c r="H647" t="s"/>
      <c r="I647" t="s"/>
      <c r="J647" t="n">
        <v>-0.7269</v>
      </c>
      <c r="K647" t="n">
        <v>0.196</v>
      </c>
      <c r="L647" t="n">
        <v>0.804</v>
      </c>
      <c r="M647" t="n">
        <v>0</v>
      </c>
    </row>
    <row r="648" spans="1:13">
      <c r="A648" s="1">
        <f>HYPERLINK("http://www.twitter.com/NathanBLawrence/status/987162469301997569", "987162469301997569")</f>
        <v/>
      </c>
      <c r="B648" s="2" t="n">
        <v>43210.12091435185</v>
      </c>
      <c r="C648" t="n">
        <v>0</v>
      </c>
      <c r="D648" t="n">
        <v>976</v>
      </c>
      <c r="E648" t="s">
        <v>656</v>
      </c>
      <c r="F648" t="s"/>
      <c r="G648" t="s"/>
      <c r="H648" t="s"/>
      <c r="I648" t="s"/>
      <c r="J648" t="n">
        <v>0.6597</v>
      </c>
      <c r="K648" t="n">
        <v>0</v>
      </c>
      <c r="L648" t="n">
        <v>0.803</v>
      </c>
      <c r="M648" t="n">
        <v>0.197</v>
      </c>
    </row>
    <row r="649" spans="1:13">
      <c r="A649" s="1">
        <f>HYPERLINK("http://www.twitter.com/NathanBLawrence/status/987161707863773184", "987161707863773184")</f>
        <v/>
      </c>
      <c r="B649" s="2" t="n">
        <v>43210.11881944445</v>
      </c>
      <c r="C649" t="n">
        <v>0</v>
      </c>
      <c r="D649" t="n">
        <v>525</v>
      </c>
      <c r="E649" t="s">
        <v>657</v>
      </c>
      <c r="F649">
        <f>HYPERLINK("http://pbs.twimg.com/media/DbMF6avVAAAQXvf.jpg", "http://pbs.twimg.com/media/DbMF6avVAAAQXvf.jpg")</f>
        <v/>
      </c>
      <c r="G649" t="s"/>
      <c r="H649" t="s"/>
      <c r="I649" t="s"/>
      <c r="J649" t="n">
        <v>-0.0258</v>
      </c>
      <c r="K649" t="n">
        <v>0.215</v>
      </c>
      <c r="L649" t="n">
        <v>0.579</v>
      </c>
      <c r="M649" t="n">
        <v>0.207</v>
      </c>
    </row>
    <row r="650" spans="1:13">
      <c r="A650" s="1">
        <f>HYPERLINK("http://www.twitter.com/NathanBLawrence/status/987132997404188672", "987132997404188672")</f>
        <v/>
      </c>
      <c r="B650" s="2" t="n">
        <v>43210.03959490741</v>
      </c>
      <c r="C650" t="n">
        <v>0</v>
      </c>
      <c r="D650" t="n">
        <v>12</v>
      </c>
      <c r="E650" t="s">
        <v>658</v>
      </c>
      <c r="F650">
        <f>HYPERLINK("http://pbs.twimg.com/media/DbL4zDgWkAEeZq8.jpg", "http://pbs.twimg.com/media/DbL4zDgWkAEeZq8.jpg")</f>
        <v/>
      </c>
      <c r="G650" t="s"/>
      <c r="H650" t="s"/>
      <c r="I650" t="s"/>
      <c r="J650" t="n">
        <v>-0.9001</v>
      </c>
      <c r="K650" t="n">
        <v>0.429</v>
      </c>
      <c r="L650" t="n">
        <v>0.571</v>
      </c>
      <c r="M650" t="n">
        <v>0</v>
      </c>
    </row>
    <row r="651" spans="1:13">
      <c r="A651" s="1">
        <f>HYPERLINK("http://www.twitter.com/NathanBLawrence/status/987120114096107521", "987120114096107521")</f>
        <v/>
      </c>
      <c r="B651" s="2" t="n">
        <v>43210.00403935185</v>
      </c>
      <c r="C651" t="n">
        <v>0</v>
      </c>
      <c r="D651" t="n">
        <v>193</v>
      </c>
      <c r="E651" t="s">
        <v>659</v>
      </c>
      <c r="F651">
        <f>HYPERLINK("http://pbs.twimg.com/media/DbL0Aq3UMAE_BtD.jpg", "http://pbs.twimg.com/media/DbL0Aq3UMAE_BtD.jpg")</f>
        <v/>
      </c>
      <c r="G651" t="s"/>
      <c r="H651" t="s"/>
      <c r="I651" t="s"/>
      <c r="J651" t="n">
        <v>-0.3744</v>
      </c>
      <c r="K651" t="n">
        <v>0.114</v>
      </c>
      <c r="L651" t="n">
        <v>0.886</v>
      </c>
      <c r="M651" t="n">
        <v>0</v>
      </c>
    </row>
    <row r="652" spans="1:13">
      <c r="A652" s="1">
        <f>HYPERLINK("http://www.twitter.com/NathanBLawrence/status/987119929123065857", "987119929123065857")</f>
        <v/>
      </c>
      <c r="B652" s="2" t="n">
        <v>43210.0035300926</v>
      </c>
      <c r="C652" t="n">
        <v>0</v>
      </c>
      <c r="D652" t="n">
        <v>7733</v>
      </c>
      <c r="E652" t="s">
        <v>660</v>
      </c>
      <c r="F652" t="s"/>
      <c r="G652" t="s"/>
      <c r="H652" t="s"/>
      <c r="I652" t="s"/>
      <c r="J652" t="n">
        <v>-0.0258</v>
      </c>
      <c r="K652" t="n">
        <v>0.094</v>
      </c>
      <c r="L652" t="n">
        <v>0.8159999999999999</v>
      </c>
      <c r="M652" t="n">
        <v>0.09</v>
      </c>
    </row>
    <row r="653" spans="1:13">
      <c r="A653" s="1">
        <f>HYPERLINK("http://www.twitter.com/NathanBLawrence/status/987117803294674949", "987117803294674949")</f>
        <v/>
      </c>
      <c r="B653" s="2" t="n">
        <v>43209.99766203704</v>
      </c>
      <c r="C653" t="n">
        <v>0</v>
      </c>
      <c r="D653" t="n">
        <v>4</v>
      </c>
      <c r="E653" t="s">
        <v>661</v>
      </c>
      <c r="F653" t="s"/>
      <c r="G653" t="s"/>
      <c r="H653" t="s"/>
      <c r="I653" t="s"/>
      <c r="J653" t="n">
        <v>0.6369</v>
      </c>
      <c r="K653" t="n">
        <v>0</v>
      </c>
      <c r="L653" t="n">
        <v>0.743</v>
      </c>
      <c r="M653" t="n">
        <v>0.257</v>
      </c>
    </row>
    <row r="654" spans="1:13">
      <c r="A654" s="1">
        <f>HYPERLINK("http://www.twitter.com/NathanBLawrence/status/987114434379304961", "987114434379304961")</f>
        <v/>
      </c>
      <c r="B654" s="2" t="n">
        <v>43209.98836805556</v>
      </c>
      <c r="C654" t="n">
        <v>0</v>
      </c>
      <c r="D654" t="n">
        <v>8</v>
      </c>
      <c r="E654" t="s">
        <v>662</v>
      </c>
      <c r="F654" t="s"/>
      <c r="G654" t="s"/>
      <c r="H654" t="s"/>
      <c r="I654" t="s"/>
      <c r="J654" t="n">
        <v>-0.2887</v>
      </c>
      <c r="K654" t="n">
        <v>0.126</v>
      </c>
      <c r="L654" t="n">
        <v>0.79</v>
      </c>
      <c r="M654" t="n">
        <v>0.08400000000000001</v>
      </c>
    </row>
    <row r="655" spans="1:13">
      <c r="A655" s="1">
        <f>HYPERLINK("http://www.twitter.com/NathanBLawrence/status/987088231698190336", "987088231698190336")</f>
        <v/>
      </c>
      <c r="B655" s="2" t="n">
        <v>43209.91606481482</v>
      </c>
      <c r="C655" t="n">
        <v>0</v>
      </c>
      <c r="D655" t="n">
        <v>167</v>
      </c>
      <c r="E655" t="s">
        <v>663</v>
      </c>
      <c r="F655" t="s"/>
      <c r="G655" t="s"/>
      <c r="H655" t="s"/>
      <c r="I655" t="s"/>
      <c r="J655" t="n">
        <v>0.7531</v>
      </c>
      <c r="K655" t="n">
        <v>0.055</v>
      </c>
      <c r="L655" t="n">
        <v>0.634</v>
      </c>
      <c r="M655" t="n">
        <v>0.31</v>
      </c>
    </row>
    <row r="656" spans="1:13">
      <c r="A656" s="1">
        <f>HYPERLINK("http://www.twitter.com/NathanBLawrence/status/987044746651717633", "987044746651717633")</f>
        <v/>
      </c>
      <c r="B656" s="2" t="n">
        <v>43209.79606481481</v>
      </c>
      <c r="C656" t="n">
        <v>0</v>
      </c>
      <c r="D656" t="n">
        <v>0</v>
      </c>
      <c r="E656" t="s">
        <v>664</v>
      </c>
      <c r="F656" t="s"/>
      <c r="G656" t="s"/>
      <c r="H656" t="s"/>
      <c r="I656" t="s"/>
      <c r="J656" t="n">
        <v>-0.8056</v>
      </c>
      <c r="K656" t="n">
        <v>0.263</v>
      </c>
      <c r="L656" t="n">
        <v>0.737</v>
      </c>
      <c r="M656" t="n">
        <v>0</v>
      </c>
    </row>
    <row r="657" spans="1:13">
      <c r="A657" s="1">
        <f>HYPERLINK("http://www.twitter.com/NathanBLawrence/status/987044078159310848", "987044078159310848")</f>
        <v/>
      </c>
      <c r="B657" s="2" t="n">
        <v>43209.79422453704</v>
      </c>
      <c r="C657" t="n">
        <v>0</v>
      </c>
      <c r="D657" t="n">
        <v>0</v>
      </c>
      <c r="E657" t="s">
        <v>665</v>
      </c>
      <c r="F657" t="s"/>
      <c r="G657" t="s"/>
      <c r="H657" t="s"/>
      <c r="I657" t="s"/>
      <c r="J657" t="n">
        <v>0.6786</v>
      </c>
      <c r="K657" t="n">
        <v>0</v>
      </c>
      <c r="L657" t="n">
        <v>0.869</v>
      </c>
      <c r="M657" t="n">
        <v>0.131</v>
      </c>
    </row>
    <row r="658" spans="1:13">
      <c r="A658" s="1">
        <f>HYPERLINK("http://www.twitter.com/NathanBLawrence/status/987028546467041280", "987028546467041280")</f>
        <v/>
      </c>
      <c r="B658" s="2" t="n">
        <v>43209.75136574074</v>
      </c>
      <c r="C658" t="n">
        <v>0</v>
      </c>
      <c r="D658" t="n">
        <v>3</v>
      </c>
      <c r="E658" t="s">
        <v>666</v>
      </c>
      <c r="F658" t="s"/>
      <c r="G658" t="s"/>
      <c r="H658" t="s"/>
      <c r="I658" t="s"/>
      <c r="J658" t="n">
        <v>0</v>
      </c>
      <c r="K658" t="n">
        <v>0</v>
      </c>
      <c r="L658" t="n">
        <v>1</v>
      </c>
      <c r="M658" t="n">
        <v>0</v>
      </c>
    </row>
    <row r="659" spans="1:13">
      <c r="A659" s="1">
        <f>HYPERLINK("http://www.twitter.com/NathanBLawrence/status/987019906150551552", "987019906150551552")</f>
        <v/>
      </c>
      <c r="B659" s="2" t="n">
        <v>43209.72752314815</v>
      </c>
      <c r="C659" t="n">
        <v>1</v>
      </c>
      <c r="D659" t="n">
        <v>0</v>
      </c>
      <c r="E659" t="s">
        <v>667</v>
      </c>
      <c r="F659" t="s"/>
      <c r="G659" t="s"/>
      <c r="H659" t="s"/>
      <c r="I659" t="s"/>
      <c r="J659" t="n">
        <v>-0.6908</v>
      </c>
      <c r="K659" t="n">
        <v>0.175</v>
      </c>
      <c r="L659" t="n">
        <v>0.771</v>
      </c>
      <c r="M659" t="n">
        <v>0.054</v>
      </c>
    </row>
    <row r="660" spans="1:13">
      <c r="A660" s="1">
        <f>HYPERLINK("http://www.twitter.com/NathanBLawrence/status/987009483636342789", "987009483636342789")</f>
        <v/>
      </c>
      <c r="B660" s="2" t="n">
        <v>43209.69876157407</v>
      </c>
      <c r="C660" t="n">
        <v>0</v>
      </c>
      <c r="D660" t="n">
        <v>2</v>
      </c>
      <c r="E660" t="s">
        <v>668</v>
      </c>
      <c r="F660" t="s"/>
      <c r="G660" t="s"/>
      <c r="H660" t="s"/>
      <c r="I660" t="s"/>
      <c r="J660" t="n">
        <v>-0.836</v>
      </c>
      <c r="K660" t="n">
        <v>0.331</v>
      </c>
      <c r="L660" t="n">
        <v>0.669</v>
      </c>
      <c r="M660" t="n">
        <v>0</v>
      </c>
    </row>
    <row r="661" spans="1:13">
      <c r="A661" s="1">
        <f>HYPERLINK("http://www.twitter.com/NathanBLawrence/status/987009365755482118", "987009365755482118")</f>
        <v/>
      </c>
      <c r="B661" s="2" t="n">
        <v>43209.6984375</v>
      </c>
      <c r="C661" t="n">
        <v>0</v>
      </c>
      <c r="D661" t="n">
        <v>2</v>
      </c>
      <c r="E661" t="s">
        <v>669</v>
      </c>
      <c r="F661" t="s"/>
      <c r="G661" t="s"/>
      <c r="H661" t="s"/>
      <c r="I661" t="s"/>
      <c r="J661" t="n">
        <v>0</v>
      </c>
      <c r="K661" t="n">
        <v>0</v>
      </c>
      <c r="L661" t="n">
        <v>1</v>
      </c>
      <c r="M661" t="n">
        <v>0</v>
      </c>
    </row>
    <row r="662" spans="1:13">
      <c r="A662" s="1">
        <f>HYPERLINK("http://www.twitter.com/NathanBLawrence/status/987007002630152192", "987007002630152192")</f>
        <v/>
      </c>
      <c r="B662" s="2" t="n">
        <v>43209.69190972222</v>
      </c>
      <c r="C662" t="n">
        <v>1</v>
      </c>
      <c r="D662" t="n">
        <v>1</v>
      </c>
      <c r="E662" t="s">
        <v>670</v>
      </c>
      <c r="F662" t="s"/>
      <c r="G662" t="s"/>
      <c r="H662" t="s"/>
      <c r="I662" t="s"/>
      <c r="J662" t="n">
        <v>-0.3612</v>
      </c>
      <c r="K662" t="n">
        <v>0.106</v>
      </c>
      <c r="L662" t="n">
        <v>0.894</v>
      </c>
      <c r="M662" t="n">
        <v>0</v>
      </c>
    </row>
    <row r="663" spans="1:13">
      <c r="A663" s="1">
        <f>HYPERLINK("http://www.twitter.com/NathanBLawrence/status/986837263215677440", "986837263215677440")</f>
        <v/>
      </c>
      <c r="B663" s="2" t="n">
        <v>43209.22351851852</v>
      </c>
      <c r="C663" t="n">
        <v>0</v>
      </c>
      <c r="D663" t="n">
        <v>146</v>
      </c>
      <c r="E663" t="s">
        <v>671</v>
      </c>
      <c r="F663" t="s"/>
      <c r="G663" t="s"/>
      <c r="H663" t="s"/>
      <c r="I663" t="s"/>
      <c r="J663" t="n">
        <v>-0.2617</v>
      </c>
      <c r="K663" t="n">
        <v>0.093</v>
      </c>
      <c r="L663" t="n">
        <v>0.907</v>
      </c>
      <c r="M663" t="n">
        <v>0</v>
      </c>
    </row>
    <row r="664" spans="1:13">
      <c r="A664" s="1">
        <f>HYPERLINK("http://www.twitter.com/NathanBLawrence/status/986825705014091776", "986825705014091776")</f>
        <v/>
      </c>
      <c r="B664" s="2" t="n">
        <v>43209.19163194444</v>
      </c>
      <c r="C664" t="n">
        <v>0</v>
      </c>
      <c r="D664" t="n">
        <v>8</v>
      </c>
      <c r="E664" t="s">
        <v>672</v>
      </c>
      <c r="F664" t="s"/>
      <c r="G664" t="s"/>
      <c r="H664" t="s"/>
      <c r="I664" t="s"/>
      <c r="J664" t="n">
        <v>0.8011</v>
      </c>
      <c r="K664" t="n">
        <v>0</v>
      </c>
      <c r="L664" t="n">
        <v>0.527</v>
      </c>
      <c r="M664" t="n">
        <v>0.473</v>
      </c>
    </row>
    <row r="665" spans="1:13">
      <c r="A665" s="1">
        <f>HYPERLINK("http://www.twitter.com/NathanBLawrence/status/986825418744520704", "986825418744520704")</f>
        <v/>
      </c>
      <c r="B665" s="2" t="n">
        <v>43209.19083333333</v>
      </c>
      <c r="C665" t="n">
        <v>0</v>
      </c>
      <c r="D665" t="n">
        <v>415</v>
      </c>
      <c r="E665" t="s">
        <v>673</v>
      </c>
      <c r="F665" t="s"/>
      <c r="G665" t="s"/>
      <c r="H665" t="s"/>
      <c r="I665" t="s"/>
      <c r="J665" t="n">
        <v>0</v>
      </c>
      <c r="K665" t="n">
        <v>0</v>
      </c>
      <c r="L665" t="n">
        <v>1</v>
      </c>
      <c r="M665" t="n">
        <v>0</v>
      </c>
    </row>
    <row r="666" spans="1:13">
      <c r="A666" s="1">
        <f>HYPERLINK("http://www.twitter.com/NathanBLawrence/status/986811731061112832", "986811731061112832")</f>
        <v/>
      </c>
      <c r="B666" s="2" t="n">
        <v>43209.15306712963</v>
      </c>
      <c r="C666" t="n">
        <v>1</v>
      </c>
      <c r="D666" t="n">
        <v>0</v>
      </c>
      <c r="E666" t="s">
        <v>674</v>
      </c>
      <c r="F666" t="s"/>
      <c r="G666" t="s"/>
      <c r="H666" t="s"/>
      <c r="I666" t="s"/>
      <c r="J666" t="n">
        <v>-0.4574</v>
      </c>
      <c r="K666" t="n">
        <v>0.244</v>
      </c>
      <c r="L666" t="n">
        <v>0.657</v>
      </c>
      <c r="M666" t="n">
        <v>0.099</v>
      </c>
    </row>
    <row r="667" spans="1:13">
      <c r="A667" s="1">
        <f>HYPERLINK("http://www.twitter.com/NathanBLawrence/status/986809948729470977", "986809948729470977")</f>
        <v/>
      </c>
      <c r="B667" s="2" t="n">
        <v>43209.14814814815</v>
      </c>
      <c r="C667" t="n">
        <v>1</v>
      </c>
      <c r="D667" t="n">
        <v>0</v>
      </c>
      <c r="E667" t="s">
        <v>675</v>
      </c>
      <c r="F667" t="s"/>
      <c r="G667" t="s"/>
      <c r="H667" t="s"/>
      <c r="I667" t="s"/>
      <c r="J667" t="n">
        <v>0.5542</v>
      </c>
      <c r="K667" t="n">
        <v>0.08699999999999999</v>
      </c>
      <c r="L667" t="n">
        <v>0.723</v>
      </c>
      <c r="M667" t="n">
        <v>0.19</v>
      </c>
    </row>
    <row r="668" spans="1:13">
      <c r="A668" s="1">
        <f>HYPERLINK("http://www.twitter.com/NathanBLawrence/status/986806739432591361", "986806739432591361")</f>
        <v/>
      </c>
      <c r="B668" s="2" t="n">
        <v>43209.13929398148</v>
      </c>
      <c r="C668" t="n">
        <v>1</v>
      </c>
      <c r="D668" t="n">
        <v>0</v>
      </c>
      <c r="E668" t="s">
        <v>676</v>
      </c>
      <c r="F668" t="s"/>
      <c r="G668" t="s"/>
      <c r="H668" t="s"/>
      <c r="I668" t="s"/>
      <c r="J668" t="n">
        <v>-0.296</v>
      </c>
      <c r="K668" t="n">
        <v>0.167</v>
      </c>
      <c r="L668" t="n">
        <v>0.833</v>
      </c>
      <c r="M668" t="n">
        <v>0</v>
      </c>
    </row>
    <row r="669" spans="1:13">
      <c r="A669" s="1">
        <f>HYPERLINK("http://www.twitter.com/NathanBLawrence/status/986804038862766080", "986804038862766080")</f>
        <v/>
      </c>
      <c r="B669" s="2" t="n">
        <v>43209.13184027778</v>
      </c>
      <c r="C669" t="n">
        <v>0</v>
      </c>
      <c r="D669" t="n">
        <v>3</v>
      </c>
      <c r="E669" t="s">
        <v>677</v>
      </c>
      <c r="F669" t="s"/>
      <c r="G669" t="s"/>
      <c r="H669" t="s"/>
      <c r="I669" t="s"/>
      <c r="J669" t="n">
        <v>0.4215</v>
      </c>
      <c r="K669" t="n">
        <v>0</v>
      </c>
      <c r="L669" t="n">
        <v>0.887</v>
      </c>
      <c r="M669" t="n">
        <v>0.113</v>
      </c>
    </row>
    <row r="670" spans="1:13">
      <c r="A670" s="1">
        <f>HYPERLINK("http://www.twitter.com/NathanBLawrence/status/986776208741490689", "986776208741490689")</f>
        <v/>
      </c>
      <c r="B670" s="2" t="n">
        <v>43209.05504629629</v>
      </c>
      <c r="C670" t="n">
        <v>0</v>
      </c>
      <c r="D670" t="n">
        <v>10</v>
      </c>
      <c r="E670" t="s">
        <v>678</v>
      </c>
      <c r="F670" t="s"/>
      <c r="G670" t="s"/>
      <c r="H670" t="s"/>
      <c r="I670" t="s"/>
      <c r="J670" t="n">
        <v>0.4215</v>
      </c>
      <c r="K670" t="n">
        <v>0</v>
      </c>
      <c r="L670" t="n">
        <v>0.877</v>
      </c>
      <c r="M670" t="n">
        <v>0.123</v>
      </c>
    </row>
    <row r="671" spans="1:13">
      <c r="A671" s="1">
        <f>HYPERLINK("http://www.twitter.com/NathanBLawrence/status/986761931640987649", "986761931640987649")</f>
        <v/>
      </c>
      <c r="B671" s="2" t="n">
        <v>43209.01564814815</v>
      </c>
      <c r="C671" t="n">
        <v>0</v>
      </c>
      <c r="D671" t="n">
        <v>900</v>
      </c>
      <c r="E671" t="s">
        <v>679</v>
      </c>
      <c r="F671" t="s"/>
      <c r="G671" t="s"/>
      <c r="H671" t="s"/>
      <c r="I671" t="s"/>
      <c r="J671" t="n">
        <v>0.2732</v>
      </c>
      <c r="K671" t="n">
        <v>0.067</v>
      </c>
      <c r="L671" t="n">
        <v>0.824</v>
      </c>
      <c r="M671" t="n">
        <v>0.109</v>
      </c>
    </row>
    <row r="672" spans="1:13">
      <c r="A672" s="1">
        <f>HYPERLINK("http://www.twitter.com/NathanBLawrence/status/986761843044741126", "986761843044741126")</f>
        <v/>
      </c>
      <c r="B672" s="2" t="n">
        <v>43209.01540509259</v>
      </c>
      <c r="C672" t="n">
        <v>0</v>
      </c>
      <c r="D672" t="n">
        <v>10</v>
      </c>
      <c r="E672" t="s">
        <v>680</v>
      </c>
      <c r="F672" t="s"/>
      <c r="G672" t="s"/>
      <c r="H672" t="s"/>
      <c r="I672" t="s"/>
      <c r="J672" t="n">
        <v>0</v>
      </c>
      <c r="K672" t="n">
        <v>0</v>
      </c>
      <c r="L672" t="n">
        <v>1</v>
      </c>
      <c r="M672" t="n">
        <v>0</v>
      </c>
    </row>
    <row r="673" spans="1:13">
      <c r="A673" s="1">
        <f>HYPERLINK("http://www.twitter.com/NathanBLawrence/status/986736232867729414", "986736232867729414")</f>
        <v/>
      </c>
      <c r="B673" s="2" t="n">
        <v>43208.9447337963</v>
      </c>
      <c r="C673" t="n">
        <v>0</v>
      </c>
      <c r="D673" t="n">
        <v>4206</v>
      </c>
      <c r="E673" t="s">
        <v>681</v>
      </c>
      <c r="F673" t="s"/>
      <c r="G673" t="s"/>
      <c r="H673" t="s"/>
      <c r="I673" t="s"/>
      <c r="J673" t="n">
        <v>-0.4588</v>
      </c>
      <c r="K673" t="n">
        <v>0.12</v>
      </c>
      <c r="L673" t="n">
        <v>0.88</v>
      </c>
      <c r="M673" t="n">
        <v>0</v>
      </c>
    </row>
    <row r="674" spans="1:13">
      <c r="A674" s="1">
        <f>HYPERLINK("http://www.twitter.com/NathanBLawrence/status/986728355176353793", "986728355176353793")</f>
        <v/>
      </c>
      <c r="B674" s="2" t="n">
        <v>43208.92299768519</v>
      </c>
      <c r="C674" t="n">
        <v>0</v>
      </c>
      <c r="D674" t="n">
        <v>3841</v>
      </c>
      <c r="E674" t="s">
        <v>682</v>
      </c>
      <c r="F674" t="s"/>
      <c r="G674" t="s"/>
      <c r="H674" t="s"/>
      <c r="I674" t="s"/>
      <c r="J674" t="n">
        <v>-0.2263</v>
      </c>
      <c r="K674" t="n">
        <v>0.106</v>
      </c>
      <c r="L674" t="n">
        <v>0.894</v>
      </c>
      <c r="M674" t="n">
        <v>0</v>
      </c>
    </row>
    <row r="675" spans="1:13">
      <c r="A675" s="1">
        <f>HYPERLINK("http://www.twitter.com/NathanBLawrence/status/986722330293481472", "986722330293481472")</f>
        <v/>
      </c>
      <c r="B675" s="2" t="n">
        <v>43208.90636574074</v>
      </c>
      <c r="C675" t="n">
        <v>1</v>
      </c>
      <c r="D675" t="n">
        <v>0</v>
      </c>
      <c r="E675" t="s">
        <v>683</v>
      </c>
      <c r="F675" t="s"/>
      <c r="G675" t="s"/>
      <c r="H675" t="s"/>
      <c r="I675" t="s"/>
      <c r="J675" t="n">
        <v>0.0258</v>
      </c>
      <c r="K675" t="n">
        <v>0.103</v>
      </c>
      <c r="L675" t="n">
        <v>0.788</v>
      </c>
      <c r="M675" t="n">
        <v>0.108</v>
      </c>
    </row>
    <row r="676" spans="1:13">
      <c r="A676" s="1">
        <f>HYPERLINK("http://www.twitter.com/NathanBLawrence/status/986722076223594497", "986722076223594497")</f>
        <v/>
      </c>
      <c r="B676" s="2" t="n">
        <v>43208.9056712963</v>
      </c>
      <c r="C676" t="n">
        <v>0</v>
      </c>
      <c r="D676" t="n">
        <v>23804</v>
      </c>
      <c r="E676" t="s">
        <v>684</v>
      </c>
      <c r="F676" t="s"/>
      <c r="G676" t="s"/>
      <c r="H676" t="s"/>
      <c r="I676" t="s"/>
      <c r="J676" t="n">
        <v>0.872</v>
      </c>
      <c r="K676" t="n">
        <v>0</v>
      </c>
      <c r="L676" t="n">
        <v>0.669</v>
      </c>
      <c r="M676" t="n">
        <v>0.331</v>
      </c>
    </row>
    <row r="677" spans="1:13">
      <c r="A677" s="1">
        <f>HYPERLINK("http://www.twitter.com/NathanBLawrence/status/986695451905798144", "986695451905798144")</f>
        <v/>
      </c>
      <c r="B677" s="2" t="n">
        <v>43208.83219907407</v>
      </c>
      <c r="C677" t="n">
        <v>14</v>
      </c>
      <c r="D677" t="n">
        <v>4</v>
      </c>
      <c r="E677" t="s">
        <v>685</v>
      </c>
      <c r="F677" t="s"/>
      <c r="G677" t="s"/>
      <c r="H677" t="s"/>
      <c r="I677" t="s"/>
      <c r="J677" t="n">
        <v>0.5562</v>
      </c>
      <c r="K677" t="n">
        <v>0</v>
      </c>
      <c r="L677" t="n">
        <v>0.784</v>
      </c>
      <c r="M677" t="n">
        <v>0.216</v>
      </c>
    </row>
    <row r="678" spans="1:13">
      <c r="A678" s="1">
        <f>HYPERLINK("http://www.twitter.com/NathanBLawrence/status/986694896013672448", "986694896013672448")</f>
        <v/>
      </c>
      <c r="B678" s="2" t="n">
        <v>43208.83065972223</v>
      </c>
      <c r="C678" t="n">
        <v>0</v>
      </c>
      <c r="D678" t="n">
        <v>8868</v>
      </c>
      <c r="E678" t="s">
        <v>686</v>
      </c>
      <c r="F678" t="s"/>
      <c r="G678" t="s"/>
      <c r="H678" t="s"/>
      <c r="I678" t="s"/>
      <c r="J678" t="n">
        <v>-0.6468</v>
      </c>
      <c r="K678" t="n">
        <v>0.192</v>
      </c>
      <c r="L678" t="n">
        <v>0.8080000000000001</v>
      </c>
      <c r="M678" t="n">
        <v>0</v>
      </c>
    </row>
    <row r="679" spans="1:13">
      <c r="A679" s="1">
        <f>HYPERLINK("http://www.twitter.com/NathanBLawrence/status/986686765695160325", "986686765695160325")</f>
        <v/>
      </c>
      <c r="B679" s="2" t="n">
        <v>43208.80822916667</v>
      </c>
      <c r="C679" t="n">
        <v>1</v>
      </c>
      <c r="D679" t="n">
        <v>0</v>
      </c>
      <c r="E679" t="s">
        <v>687</v>
      </c>
      <c r="F679">
        <f>HYPERLINK("http://pbs.twimg.com/media/DbFqYOuU8AAx-C4.jpg", "http://pbs.twimg.com/media/DbFqYOuU8AAx-C4.jpg")</f>
        <v/>
      </c>
      <c r="G679" t="s"/>
      <c r="H679" t="s"/>
      <c r="I679" t="s"/>
      <c r="J679" t="n">
        <v>0.5244</v>
      </c>
      <c r="K679" t="n">
        <v>0</v>
      </c>
      <c r="L679" t="n">
        <v>0.596</v>
      </c>
      <c r="M679" t="n">
        <v>0.404</v>
      </c>
    </row>
    <row r="680" spans="1:13">
      <c r="A680" s="1">
        <f>HYPERLINK("http://www.twitter.com/NathanBLawrence/status/986684527727796225", "986684527727796225")</f>
        <v/>
      </c>
      <c r="B680" s="2" t="n">
        <v>43208.80204861111</v>
      </c>
      <c r="C680" t="n">
        <v>0</v>
      </c>
      <c r="D680" t="n">
        <v>9</v>
      </c>
      <c r="E680" t="s">
        <v>688</v>
      </c>
      <c r="F680">
        <f>HYPERLINK("http://pbs.twimg.com/media/DbEksoFXUAInxX0.jpg", "http://pbs.twimg.com/media/DbEksoFXUAInxX0.jpg")</f>
        <v/>
      </c>
      <c r="G680" t="s"/>
      <c r="H680" t="s"/>
      <c r="I680" t="s"/>
      <c r="J680" t="n">
        <v>0</v>
      </c>
      <c r="K680" t="n">
        <v>0</v>
      </c>
      <c r="L680" t="n">
        <v>1</v>
      </c>
      <c r="M680" t="n">
        <v>0</v>
      </c>
    </row>
    <row r="681" spans="1:13">
      <c r="A681" s="1">
        <f>HYPERLINK("http://www.twitter.com/NathanBLawrence/status/986683530355859457", "986683530355859457")</f>
        <v/>
      </c>
      <c r="B681" s="2" t="n">
        <v>43208.79929398148</v>
      </c>
      <c r="C681" t="n">
        <v>10</v>
      </c>
      <c r="D681" t="n">
        <v>9</v>
      </c>
      <c r="E681" t="s">
        <v>689</v>
      </c>
      <c r="F681" t="s"/>
      <c r="G681" t="s"/>
      <c r="H681" t="s"/>
      <c r="I681" t="s"/>
      <c r="J681" t="n">
        <v>0.2714</v>
      </c>
      <c r="K681" t="n">
        <v>0.067</v>
      </c>
      <c r="L681" t="n">
        <v>0.792</v>
      </c>
      <c r="M681" t="n">
        <v>0.141</v>
      </c>
    </row>
    <row r="682" spans="1:13">
      <c r="A682" s="1">
        <f>HYPERLINK("http://www.twitter.com/NathanBLawrence/status/986681358692093952", "986681358692093952")</f>
        <v/>
      </c>
      <c r="B682" s="2" t="n">
        <v>43208.79331018519</v>
      </c>
      <c r="C682" t="n">
        <v>0</v>
      </c>
      <c r="D682" t="n">
        <v>11</v>
      </c>
      <c r="E682" t="s">
        <v>690</v>
      </c>
      <c r="F682" t="s"/>
      <c r="G682" t="s"/>
      <c r="H682" t="s"/>
      <c r="I682" t="s"/>
      <c r="J682" t="n">
        <v>0.2263</v>
      </c>
      <c r="K682" t="n">
        <v>0</v>
      </c>
      <c r="L682" t="n">
        <v>0.899</v>
      </c>
      <c r="M682" t="n">
        <v>0.101</v>
      </c>
    </row>
    <row r="683" spans="1:13">
      <c r="A683" s="1">
        <f>HYPERLINK("http://www.twitter.com/NathanBLawrence/status/986680126845915136", "986680126845915136")</f>
        <v/>
      </c>
      <c r="B683" s="2" t="n">
        <v>43208.78990740741</v>
      </c>
      <c r="C683" t="n">
        <v>0</v>
      </c>
      <c r="D683" t="n">
        <v>1</v>
      </c>
      <c r="E683" t="s">
        <v>691</v>
      </c>
      <c r="F683">
        <f>HYPERLINK("http://pbs.twimg.com/media/DbFEfnfXUAAGX4I.jpg", "http://pbs.twimg.com/media/DbFEfnfXUAAGX4I.jpg")</f>
        <v/>
      </c>
      <c r="G683" t="s"/>
      <c r="H683" t="s"/>
      <c r="I683" t="s"/>
      <c r="J683" t="n">
        <v>0.0258</v>
      </c>
      <c r="K683" t="n">
        <v>0</v>
      </c>
      <c r="L683" t="n">
        <v>0.945</v>
      </c>
      <c r="M683" t="n">
        <v>0.055</v>
      </c>
    </row>
    <row r="684" spans="1:13">
      <c r="A684" s="1">
        <f>HYPERLINK("http://www.twitter.com/NathanBLawrence/status/986675983108501507", "986675983108501507")</f>
        <v/>
      </c>
      <c r="B684" s="2" t="n">
        <v>43208.77847222222</v>
      </c>
      <c r="C684" t="n">
        <v>0</v>
      </c>
      <c r="D684" t="n">
        <v>12</v>
      </c>
      <c r="E684" t="s">
        <v>692</v>
      </c>
      <c r="F684">
        <f>HYPERLINK("http://pbs.twimg.com/media/Da8ROFCU0AA5HAM.jpg", "http://pbs.twimg.com/media/Da8ROFCU0AA5HAM.jpg")</f>
        <v/>
      </c>
      <c r="G684" t="s"/>
      <c r="H684" t="s"/>
      <c r="I684" t="s"/>
      <c r="J684" t="n">
        <v>0</v>
      </c>
      <c r="K684" t="n">
        <v>0</v>
      </c>
      <c r="L684" t="n">
        <v>1</v>
      </c>
      <c r="M684" t="n">
        <v>0</v>
      </c>
    </row>
    <row r="685" spans="1:13">
      <c r="A685" s="1">
        <f>HYPERLINK("http://www.twitter.com/NathanBLawrence/status/986675503259095042", "986675503259095042")</f>
        <v/>
      </c>
      <c r="B685" s="2" t="n">
        <v>43208.77715277778</v>
      </c>
      <c r="C685" t="n">
        <v>0</v>
      </c>
      <c r="D685" t="n">
        <v>11</v>
      </c>
      <c r="E685" t="s">
        <v>693</v>
      </c>
      <c r="F685">
        <f>HYPERLINK("http://pbs.twimg.com/media/Da6uk1yXkAAJmxg.jpg", "http://pbs.twimg.com/media/Da6uk1yXkAAJmxg.jpg")</f>
        <v/>
      </c>
      <c r="G685" t="s"/>
      <c r="H685" t="s"/>
      <c r="I685" t="s"/>
      <c r="J685" t="n">
        <v>0</v>
      </c>
      <c r="K685" t="n">
        <v>0</v>
      </c>
      <c r="L685" t="n">
        <v>1</v>
      </c>
      <c r="M685" t="n">
        <v>0</v>
      </c>
    </row>
    <row r="686" spans="1:13">
      <c r="A686" s="1">
        <f>HYPERLINK("http://www.twitter.com/NathanBLawrence/status/986675357129551876", "986675357129551876")</f>
        <v/>
      </c>
      <c r="B686" s="2" t="n">
        <v>43208.77674768519</v>
      </c>
      <c r="C686" t="n">
        <v>0</v>
      </c>
      <c r="D686" t="n">
        <v>15</v>
      </c>
      <c r="E686" t="s">
        <v>694</v>
      </c>
      <c r="F686" t="s"/>
      <c r="G686" t="s"/>
      <c r="H686" t="s"/>
      <c r="I686" t="s"/>
      <c r="J686" t="n">
        <v>0.507</v>
      </c>
      <c r="K686" t="n">
        <v>0.115</v>
      </c>
      <c r="L686" t="n">
        <v>0.698</v>
      </c>
      <c r="M686" t="n">
        <v>0.187</v>
      </c>
    </row>
    <row r="687" spans="1:13">
      <c r="A687" s="1">
        <f>HYPERLINK("http://www.twitter.com/NathanBLawrence/status/986675288766590985", "986675288766590985")</f>
        <v/>
      </c>
      <c r="B687" s="2" t="n">
        <v>43208.7765625</v>
      </c>
      <c r="C687" t="n">
        <v>0</v>
      </c>
      <c r="D687" t="n">
        <v>7</v>
      </c>
      <c r="E687" t="s">
        <v>695</v>
      </c>
      <c r="F687" t="s"/>
      <c r="G687" t="s"/>
      <c r="H687" t="s"/>
      <c r="I687" t="s"/>
      <c r="J687" t="n">
        <v>0.7657</v>
      </c>
      <c r="K687" t="n">
        <v>0.046</v>
      </c>
      <c r="L687" t="n">
        <v>0.673</v>
      </c>
      <c r="M687" t="n">
        <v>0.28</v>
      </c>
    </row>
    <row r="688" spans="1:13">
      <c r="A688" s="1">
        <f>HYPERLINK("http://www.twitter.com/NathanBLawrence/status/986674774356176905", "986674774356176905")</f>
        <v/>
      </c>
      <c r="B688" s="2" t="n">
        <v>43208.77513888889</v>
      </c>
      <c r="C688" t="n">
        <v>0</v>
      </c>
      <c r="D688" t="n">
        <v>14</v>
      </c>
      <c r="E688" t="s">
        <v>696</v>
      </c>
      <c r="F688" t="s"/>
      <c r="G688" t="s"/>
      <c r="H688" t="s"/>
      <c r="I688" t="s"/>
      <c r="J688" t="n">
        <v>-0.4939</v>
      </c>
      <c r="K688" t="n">
        <v>0.132</v>
      </c>
      <c r="L688" t="n">
        <v>0.868</v>
      </c>
      <c r="M688" t="n">
        <v>0</v>
      </c>
    </row>
    <row r="689" spans="1:13">
      <c r="A689" s="1">
        <f>HYPERLINK("http://www.twitter.com/NathanBLawrence/status/986668896072675336", "986668896072675336")</f>
        <v/>
      </c>
      <c r="B689" s="2" t="n">
        <v>43208.75891203704</v>
      </c>
      <c r="C689" t="n">
        <v>0</v>
      </c>
      <c r="D689" t="n">
        <v>3</v>
      </c>
      <c r="E689" t="s">
        <v>697</v>
      </c>
      <c r="F689" t="s"/>
      <c r="G689" t="s"/>
      <c r="H689" t="s"/>
      <c r="I689" t="s"/>
      <c r="J689" t="n">
        <v>0</v>
      </c>
      <c r="K689" t="n">
        <v>0</v>
      </c>
      <c r="L689" t="n">
        <v>1</v>
      </c>
      <c r="M689" t="n">
        <v>0</v>
      </c>
    </row>
    <row r="690" spans="1:13">
      <c r="A690" s="1">
        <f>HYPERLINK("http://www.twitter.com/NathanBLawrence/status/986668750689710081", "986668750689710081")</f>
        <v/>
      </c>
      <c r="B690" s="2" t="n">
        <v>43208.75851851852</v>
      </c>
      <c r="C690" t="n">
        <v>0</v>
      </c>
      <c r="D690" t="n">
        <v>20</v>
      </c>
      <c r="E690" t="s">
        <v>697</v>
      </c>
      <c r="F690" t="s"/>
      <c r="G690" t="s"/>
      <c r="H690" t="s"/>
      <c r="I690" t="s"/>
      <c r="J690" t="n">
        <v>0</v>
      </c>
      <c r="K690" t="n">
        <v>0</v>
      </c>
      <c r="L690" t="n">
        <v>1</v>
      </c>
      <c r="M690" t="n">
        <v>0</v>
      </c>
    </row>
    <row r="691" spans="1:13">
      <c r="A691" s="1">
        <f>HYPERLINK("http://www.twitter.com/NathanBLawrence/status/986668435684945925", "986668435684945925")</f>
        <v/>
      </c>
      <c r="B691" s="2" t="n">
        <v>43208.75765046296</v>
      </c>
      <c r="C691" t="n">
        <v>0</v>
      </c>
      <c r="D691" t="n">
        <v>12</v>
      </c>
      <c r="E691" t="s">
        <v>697</v>
      </c>
      <c r="F691" t="s"/>
      <c r="G691" t="s"/>
      <c r="H691" t="s"/>
      <c r="I691" t="s"/>
      <c r="J691" t="n">
        <v>0</v>
      </c>
      <c r="K691" t="n">
        <v>0</v>
      </c>
      <c r="L691" t="n">
        <v>1</v>
      </c>
      <c r="M691" t="n">
        <v>0</v>
      </c>
    </row>
    <row r="692" spans="1:13">
      <c r="A692" s="1">
        <f>HYPERLINK("http://www.twitter.com/NathanBLawrence/status/986667695709007872", "986667695709007872")</f>
        <v/>
      </c>
      <c r="B692" s="2" t="n">
        <v>43208.75560185185</v>
      </c>
      <c r="C692" t="n">
        <v>0</v>
      </c>
      <c r="D692" t="n">
        <v>2794</v>
      </c>
      <c r="E692" t="s">
        <v>698</v>
      </c>
      <c r="F692" t="s"/>
      <c r="G692" t="s"/>
      <c r="H692" t="s"/>
      <c r="I692" t="s"/>
      <c r="J692" t="n">
        <v>-0.6486</v>
      </c>
      <c r="K692" t="n">
        <v>0.218</v>
      </c>
      <c r="L692" t="n">
        <v>0.782</v>
      </c>
      <c r="M692" t="n">
        <v>0</v>
      </c>
    </row>
    <row r="693" spans="1:13">
      <c r="A693" s="1">
        <f>HYPERLINK("http://www.twitter.com/NathanBLawrence/status/986667147786104834", "986667147786104834")</f>
        <v/>
      </c>
      <c r="B693" s="2" t="n">
        <v>43208.75409722222</v>
      </c>
      <c r="C693" t="n">
        <v>1</v>
      </c>
      <c r="D693" t="n">
        <v>1</v>
      </c>
      <c r="E693" t="s">
        <v>699</v>
      </c>
      <c r="F693" t="s"/>
      <c r="G693" t="s"/>
      <c r="H693" t="s"/>
      <c r="I693" t="s"/>
      <c r="J693" t="n">
        <v>0.3818</v>
      </c>
      <c r="K693" t="n">
        <v>0</v>
      </c>
      <c r="L693" t="n">
        <v>0.8090000000000001</v>
      </c>
      <c r="M693" t="n">
        <v>0.191</v>
      </c>
    </row>
    <row r="694" spans="1:13">
      <c r="A694" s="1">
        <f>HYPERLINK("http://www.twitter.com/NathanBLawrence/status/986458540343808000", "986458540343808000")</f>
        <v/>
      </c>
      <c r="B694" s="2" t="n">
        <v>43208.17844907408</v>
      </c>
      <c r="C694" t="n">
        <v>0</v>
      </c>
      <c r="D694" t="n">
        <v>3</v>
      </c>
      <c r="E694" t="s">
        <v>700</v>
      </c>
      <c r="F694" t="s"/>
      <c r="G694" t="s"/>
      <c r="H694" t="s"/>
      <c r="I694" t="s"/>
      <c r="J694" t="n">
        <v>0.2924</v>
      </c>
      <c r="K694" t="n">
        <v>0</v>
      </c>
      <c r="L694" t="n">
        <v>0.91</v>
      </c>
      <c r="M694" t="n">
        <v>0.09</v>
      </c>
    </row>
    <row r="695" spans="1:13">
      <c r="A695" s="1">
        <f>HYPERLINK("http://www.twitter.com/NathanBLawrence/status/986456972814880769", "986456972814880769")</f>
        <v/>
      </c>
      <c r="B695" s="2" t="n">
        <v>43208.17412037037</v>
      </c>
      <c r="C695" t="n">
        <v>0</v>
      </c>
      <c r="D695" t="n">
        <v>44</v>
      </c>
      <c r="E695" t="s">
        <v>701</v>
      </c>
      <c r="F695" t="s"/>
      <c r="G695" t="s"/>
      <c r="H695" t="s"/>
      <c r="I695" t="s"/>
      <c r="J695" t="n">
        <v>0</v>
      </c>
      <c r="K695" t="n">
        <v>0</v>
      </c>
      <c r="L695" t="n">
        <v>1</v>
      </c>
      <c r="M695" t="n">
        <v>0</v>
      </c>
    </row>
    <row r="696" spans="1:13">
      <c r="A696" s="1">
        <f>HYPERLINK("http://www.twitter.com/NathanBLawrence/status/986446126210568192", "986446126210568192")</f>
        <v/>
      </c>
      <c r="B696" s="2" t="n">
        <v>43208.14418981481</v>
      </c>
      <c r="C696" t="n">
        <v>0</v>
      </c>
      <c r="D696" t="n">
        <v>1</v>
      </c>
      <c r="E696" t="s">
        <v>702</v>
      </c>
      <c r="F696" t="s"/>
      <c r="G696" t="s"/>
      <c r="H696" t="s"/>
      <c r="I696" t="s"/>
      <c r="J696" t="n">
        <v>0.4404</v>
      </c>
      <c r="K696" t="n">
        <v>0</v>
      </c>
      <c r="L696" t="n">
        <v>0.775</v>
      </c>
      <c r="M696" t="n">
        <v>0.225</v>
      </c>
    </row>
    <row r="697" spans="1:13">
      <c r="A697" s="1">
        <f>HYPERLINK("http://www.twitter.com/NathanBLawrence/status/986381486633955328", "986381486633955328")</f>
        <v/>
      </c>
      <c r="B697" s="2" t="n">
        <v>43207.96582175926</v>
      </c>
      <c r="C697" t="n">
        <v>0</v>
      </c>
      <c r="D697" t="n">
        <v>5289</v>
      </c>
      <c r="E697" t="s">
        <v>703</v>
      </c>
      <c r="F697" t="s"/>
      <c r="G697" t="s"/>
      <c r="H697" t="s"/>
      <c r="I697" t="s"/>
      <c r="J697" t="n">
        <v>-0.4215</v>
      </c>
      <c r="K697" t="n">
        <v>0.118</v>
      </c>
      <c r="L697" t="n">
        <v>0.882</v>
      </c>
      <c r="M697" t="n">
        <v>0</v>
      </c>
    </row>
    <row r="698" spans="1:13">
      <c r="A698" s="1">
        <f>HYPERLINK("http://www.twitter.com/NathanBLawrence/status/986381115635175424", "986381115635175424")</f>
        <v/>
      </c>
      <c r="B698" s="2" t="n">
        <v>43207.96479166667</v>
      </c>
      <c r="C698" t="n">
        <v>0</v>
      </c>
      <c r="D698" t="n">
        <v>466</v>
      </c>
      <c r="E698" t="s">
        <v>704</v>
      </c>
      <c r="F698">
        <f>HYPERLINK("http://pbs.twimg.com/media/DZbF1xPU8AA7S76.jpg", "http://pbs.twimg.com/media/DZbF1xPU8AA7S76.jpg")</f>
        <v/>
      </c>
      <c r="G698" t="s"/>
      <c r="H698" t="s"/>
      <c r="I698" t="s"/>
      <c r="J698" t="n">
        <v>-0.3182</v>
      </c>
      <c r="K698" t="n">
        <v>0.119</v>
      </c>
      <c r="L698" t="n">
        <v>0.881</v>
      </c>
      <c r="M698" t="n">
        <v>0</v>
      </c>
    </row>
    <row r="699" spans="1:13">
      <c r="A699" s="1">
        <f>HYPERLINK("http://www.twitter.com/NathanBLawrence/status/986309216569880576", "986309216569880576")</f>
        <v/>
      </c>
      <c r="B699" s="2" t="n">
        <v>43207.76638888889</v>
      </c>
      <c r="C699" t="n">
        <v>0</v>
      </c>
      <c r="D699" t="n">
        <v>1</v>
      </c>
      <c r="E699" t="s">
        <v>705</v>
      </c>
      <c r="F699" t="s"/>
      <c r="G699" t="s"/>
      <c r="H699" t="s"/>
      <c r="I699" t="s"/>
      <c r="J699" t="n">
        <v>-0.4417</v>
      </c>
      <c r="K699" t="n">
        <v>0.231</v>
      </c>
      <c r="L699" t="n">
        <v>0.769</v>
      </c>
      <c r="M699" t="n">
        <v>0</v>
      </c>
    </row>
    <row r="700" spans="1:13">
      <c r="A700" s="1">
        <f>HYPERLINK("http://www.twitter.com/NathanBLawrence/status/986309181870428160", "986309181870428160")</f>
        <v/>
      </c>
      <c r="B700" s="2" t="n">
        <v>43207.76629629629</v>
      </c>
      <c r="C700" t="n">
        <v>0</v>
      </c>
      <c r="D700" t="n">
        <v>1934</v>
      </c>
      <c r="E700" t="s">
        <v>706</v>
      </c>
      <c r="F700" t="s"/>
      <c r="G700" t="s"/>
      <c r="H700" t="s"/>
      <c r="I700" t="s"/>
      <c r="J700" t="n">
        <v>0.1027</v>
      </c>
      <c r="K700" t="n">
        <v>0.096</v>
      </c>
      <c r="L700" t="n">
        <v>0.792</v>
      </c>
      <c r="M700" t="n">
        <v>0.113</v>
      </c>
    </row>
    <row r="701" spans="1:13">
      <c r="A701" s="1">
        <f>HYPERLINK("http://www.twitter.com/NathanBLawrence/status/986309040249720832", "986309040249720832")</f>
        <v/>
      </c>
      <c r="B701" s="2" t="n">
        <v>43207.76590277778</v>
      </c>
      <c r="C701" t="n">
        <v>0</v>
      </c>
      <c r="D701" t="n">
        <v>281</v>
      </c>
      <c r="E701" t="s">
        <v>707</v>
      </c>
      <c r="F701" t="s"/>
      <c r="G701" t="s"/>
      <c r="H701" t="s"/>
      <c r="I701" t="s"/>
      <c r="J701" t="n">
        <v>-0.34</v>
      </c>
      <c r="K701" t="n">
        <v>0.08799999999999999</v>
      </c>
      <c r="L701" t="n">
        <v>0.912</v>
      </c>
      <c r="M701" t="n">
        <v>0</v>
      </c>
    </row>
    <row r="702" spans="1:13">
      <c r="A702" s="1">
        <f>HYPERLINK("http://www.twitter.com/NathanBLawrence/status/986308508932018176", "986308508932018176")</f>
        <v/>
      </c>
      <c r="B702" s="2" t="n">
        <v>43207.76443287037</v>
      </c>
      <c r="C702" t="n">
        <v>0</v>
      </c>
      <c r="D702" t="n">
        <v>2283</v>
      </c>
      <c r="E702" t="s">
        <v>708</v>
      </c>
      <c r="F702" t="s"/>
      <c r="G702" t="s"/>
      <c r="H702" t="s"/>
      <c r="I702" t="s"/>
      <c r="J702" t="n">
        <v>0</v>
      </c>
      <c r="K702" t="n">
        <v>0</v>
      </c>
      <c r="L702" t="n">
        <v>1</v>
      </c>
      <c r="M702" t="n">
        <v>0</v>
      </c>
    </row>
    <row r="703" spans="1:13">
      <c r="A703" s="1">
        <f>HYPERLINK("http://www.twitter.com/NathanBLawrence/status/986308043599175681", "986308043599175681")</f>
        <v/>
      </c>
      <c r="B703" s="2" t="n">
        <v>43207.76314814815</v>
      </c>
      <c r="C703" t="n">
        <v>0</v>
      </c>
      <c r="D703" t="n">
        <v>8984</v>
      </c>
      <c r="E703" t="s">
        <v>709</v>
      </c>
      <c r="F703" t="s"/>
      <c r="G703" t="s"/>
      <c r="H703" t="s"/>
      <c r="I703" t="s"/>
      <c r="J703" t="n">
        <v>-0.1027</v>
      </c>
      <c r="K703" t="n">
        <v>0.065</v>
      </c>
      <c r="L703" t="n">
        <v>0.9350000000000001</v>
      </c>
      <c r="M703" t="n">
        <v>0</v>
      </c>
    </row>
    <row r="704" spans="1:13">
      <c r="A704" s="1">
        <f>HYPERLINK("http://www.twitter.com/NathanBLawrence/status/986307006486204416", "986307006486204416")</f>
        <v/>
      </c>
      <c r="B704" s="2" t="n">
        <v>43207.76028935185</v>
      </c>
      <c r="C704" t="n">
        <v>0</v>
      </c>
      <c r="D704" t="n">
        <v>2</v>
      </c>
      <c r="E704" t="s">
        <v>710</v>
      </c>
      <c r="F704" t="s"/>
      <c r="G704" t="s"/>
      <c r="H704" t="s"/>
      <c r="I704" t="s"/>
      <c r="J704" t="n">
        <v>0.2023</v>
      </c>
      <c r="K704" t="n">
        <v>0</v>
      </c>
      <c r="L704" t="n">
        <v>0.924</v>
      </c>
      <c r="M704" t="n">
        <v>0.076</v>
      </c>
    </row>
    <row r="705" spans="1:13">
      <c r="A705" s="1">
        <f>HYPERLINK("http://www.twitter.com/NathanBLawrence/status/986304744858832897", "986304744858832897")</f>
        <v/>
      </c>
      <c r="B705" s="2" t="n">
        <v>43207.75405092593</v>
      </c>
      <c r="C705" t="n">
        <v>0</v>
      </c>
      <c r="D705" t="n">
        <v>5319</v>
      </c>
      <c r="E705" t="s">
        <v>711</v>
      </c>
      <c r="F705" t="s"/>
      <c r="G705" t="s"/>
      <c r="H705" t="s"/>
      <c r="I705" t="s"/>
      <c r="J705" t="n">
        <v>0</v>
      </c>
      <c r="K705" t="n">
        <v>0</v>
      </c>
      <c r="L705" t="n">
        <v>1</v>
      </c>
      <c r="M705" t="n">
        <v>0</v>
      </c>
    </row>
    <row r="706" spans="1:13">
      <c r="A706" s="1">
        <f>HYPERLINK("http://www.twitter.com/NathanBLawrence/status/986098661305344000", "986098661305344000")</f>
        <v/>
      </c>
      <c r="B706" s="2" t="n">
        <v>43207.18537037037</v>
      </c>
      <c r="C706" t="n">
        <v>0</v>
      </c>
      <c r="D706" t="n">
        <v>1234</v>
      </c>
      <c r="E706" t="s">
        <v>712</v>
      </c>
      <c r="F706" t="s"/>
      <c r="G706" t="s"/>
      <c r="H706" t="s"/>
      <c r="I706" t="s"/>
      <c r="J706" t="n">
        <v>-0.5563</v>
      </c>
      <c r="K706" t="n">
        <v>0.152</v>
      </c>
      <c r="L706" t="n">
        <v>0.848</v>
      </c>
      <c r="M706" t="n">
        <v>0</v>
      </c>
    </row>
    <row r="707" spans="1:13">
      <c r="A707" s="1">
        <f>HYPERLINK("http://www.twitter.com/NathanBLawrence/status/986079957309943808", "986079957309943808")</f>
        <v/>
      </c>
      <c r="B707" s="2" t="n">
        <v>43207.13375</v>
      </c>
      <c r="C707" t="n">
        <v>0</v>
      </c>
      <c r="D707" t="n">
        <v>11518</v>
      </c>
      <c r="E707" t="s">
        <v>713</v>
      </c>
      <c r="F707" t="s"/>
      <c r="G707" t="s"/>
      <c r="H707" t="s"/>
      <c r="I707" t="s"/>
      <c r="J707" t="n">
        <v>0.5046</v>
      </c>
      <c r="K707" t="n">
        <v>0.074</v>
      </c>
      <c r="L707" t="n">
        <v>0.775</v>
      </c>
      <c r="M707" t="n">
        <v>0.15</v>
      </c>
    </row>
    <row r="708" spans="1:13">
      <c r="A708" s="1">
        <f>HYPERLINK("http://www.twitter.com/NathanBLawrence/status/986050135116402688", "986050135116402688")</f>
        <v/>
      </c>
      <c r="B708" s="2" t="n">
        <v>43207.05145833334</v>
      </c>
      <c r="C708" t="n">
        <v>0</v>
      </c>
      <c r="D708" t="n">
        <v>364</v>
      </c>
      <c r="E708" t="s">
        <v>714</v>
      </c>
      <c r="F708" t="s"/>
      <c r="G708" t="s"/>
      <c r="H708" t="s"/>
      <c r="I708" t="s"/>
      <c r="J708" t="n">
        <v>0</v>
      </c>
      <c r="K708" t="n">
        <v>0</v>
      </c>
      <c r="L708" t="n">
        <v>1</v>
      </c>
      <c r="M708" t="n">
        <v>0</v>
      </c>
    </row>
    <row r="709" spans="1:13">
      <c r="A709" s="1">
        <f>HYPERLINK("http://www.twitter.com/NathanBLawrence/status/986048458908979200", "986048458908979200")</f>
        <v/>
      </c>
      <c r="B709" s="2" t="n">
        <v>43207.04684027778</v>
      </c>
      <c r="C709" t="n">
        <v>0</v>
      </c>
      <c r="D709" t="n">
        <v>0</v>
      </c>
      <c r="E709" t="s">
        <v>715</v>
      </c>
      <c r="F709" t="s"/>
      <c r="G709" t="s"/>
      <c r="H709" t="s"/>
      <c r="I709" t="s"/>
      <c r="J709" t="n">
        <v>0.4153</v>
      </c>
      <c r="K709" t="n">
        <v>0.051</v>
      </c>
      <c r="L709" t="n">
        <v>0.828</v>
      </c>
      <c r="M709" t="n">
        <v>0.121</v>
      </c>
    </row>
    <row r="710" spans="1:13">
      <c r="A710" s="1">
        <f>HYPERLINK("http://www.twitter.com/NathanBLawrence/status/986045775858819072", "986045775858819072")</f>
        <v/>
      </c>
      <c r="B710" s="2" t="n">
        <v>43207.03943287037</v>
      </c>
      <c r="C710" t="n">
        <v>0</v>
      </c>
      <c r="D710" t="n">
        <v>4243</v>
      </c>
      <c r="E710" t="s">
        <v>716</v>
      </c>
      <c r="F710" t="s"/>
      <c r="G710" t="s"/>
      <c r="H710" t="s"/>
      <c r="I710" t="s"/>
      <c r="J710" t="n">
        <v>-0.659</v>
      </c>
      <c r="K710" t="n">
        <v>0.285</v>
      </c>
      <c r="L710" t="n">
        <v>0.715</v>
      </c>
      <c r="M710" t="n">
        <v>0</v>
      </c>
    </row>
    <row r="711" spans="1:13">
      <c r="A711" s="1">
        <f>HYPERLINK("http://www.twitter.com/NathanBLawrence/status/986045558048591872", "986045558048591872")</f>
        <v/>
      </c>
      <c r="B711" s="2" t="n">
        <v>43207.03883101852</v>
      </c>
      <c r="C711" t="n">
        <v>0</v>
      </c>
      <c r="D711" t="n">
        <v>4672</v>
      </c>
      <c r="E711" t="s">
        <v>717</v>
      </c>
      <c r="F711" t="s"/>
      <c r="G711" t="s"/>
      <c r="H711" t="s"/>
      <c r="I711" t="s"/>
      <c r="J711" t="n">
        <v>0</v>
      </c>
      <c r="K711" t="n">
        <v>0</v>
      </c>
      <c r="L711" t="n">
        <v>1</v>
      </c>
      <c r="M711" t="n">
        <v>0</v>
      </c>
    </row>
    <row r="712" spans="1:13">
      <c r="A712" s="1">
        <f>HYPERLINK("http://www.twitter.com/NathanBLawrence/status/985970917363847168", "985970917363847168")</f>
        <v/>
      </c>
      <c r="B712" s="2" t="n">
        <v>43206.8328587963</v>
      </c>
      <c r="C712" t="n">
        <v>1</v>
      </c>
      <c r="D712" t="n">
        <v>0</v>
      </c>
      <c r="E712" t="s">
        <v>718</v>
      </c>
      <c r="F712" t="s"/>
      <c r="G712" t="s"/>
      <c r="H712" t="s"/>
      <c r="I712" t="s"/>
      <c r="J712" t="n">
        <v>0.9133</v>
      </c>
      <c r="K712" t="n">
        <v>0</v>
      </c>
      <c r="L712" t="n">
        <v>0.507</v>
      </c>
      <c r="M712" t="n">
        <v>0.493</v>
      </c>
    </row>
    <row r="713" spans="1:13">
      <c r="A713" s="1">
        <f>HYPERLINK("http://www.twitter.com/NathanBLawrence/status/985900481682792451", "985900481682792451")</f>
        <v/>
      </c>
      <c r="B713" s="2" t="n">
        <v>43206.63849537037</v>
      </c>
      <c r="C713" t="n">
        <v>0</v>
      </c>
      <c r="D713" t="n">
        <v>590</v>
      </c>
      <c r="E713" t="s">
        <v>719</v>
      </c>
      <c r="F713" t="s"/>
      <c r="G713" t="s"/>
      <c r="H713" t="s"/>
      <c r="I713" t="s"/>
      <c r="J713" t="n">
        <v>-0.296</v>
      </c>
      <c r="K713" t="n">
        <v>0.128</v>
      </c>
      <c r="L713" t="n">
        <v>0.789</v>
      </c>
      <c r="M713" t="n">
        <v>0.083</v>
      </c>
    </row>
    <row r="714" spans="1:13">
      <c r="A714" s="1">
        <f>HYPERLINK("http://www.twitter.com/NathanBLawrence/status/985708194419834880", "985708194419834880")</f>
        <v/>
      </c>
      <c r="B714" s="2" t="n">
        <v>43206.10788194444</v>
      </c>
      <c r="C714" t="n">
        <v>0</v>
      </c>
      <c r="D714" t="n">
        <v>11</v>
      </c>
      <c r="E714" t="s">
        <v>720</v>
      </c>
      <c r="F714" t="s"/>
      <c r="G714" t="s"/>
      <c r="H714" t="s"/>
      <c r="I714" t="s"/>
      <c r="J714" t="n">
        <v>0.5147</v>
      </c>
      <c r="K714" t="n">
        <v>0.137</v>
      </c>
      <c r="L714" t="n">
        <v>0.612</v>
      </c>
      <c r="M714" t="n">
        <v>0.25</v>
      </c>
    </row>
    <row r="715" spans="1:13">
      <c r="A715" s="1">
        <f>HYPERLINK("http://www.twitter.com/NathanBLawrence/status/985706468489007104", "985706468489007104")</f>
        <v/>
      </c>
      <c r="B715" s="2" t="n">
        <v>43206.103125</v>
      </c>
      <c r="C715" t="n">
        <v>0</v>
      </c>
      <c r="D715" t="n">
        <v>14</v>
      </c>
      <c r="E715" t="s">
        <v>721</v>
      </c>
      <c r="F715">
        <f>HYPERLINK("http://pbs.twimg.com/media/Da2L2LhW0AApLY6.jpg", "http://pbs.twimg.com/media/Da2L2LhW0AApLY6.jpg")</f>
        <v/>
      </c>
      <c r="G715">
        <f>HYPERLINK("http://pbs.twimg.com/media/Da2L2rmXcAYiUQy.jpg", "http://pbs.twimg.com/media/Da2L2rmXcAYiUQy.jpg")</f>
        <v/>
      </c>
      <c r="H715" t="s"/>
      <c r="I715" t="s"/>
      <c r="J715" t="n">
        <v>0</v>
      </c>
      <c r="K715" t="n">
        <v>0</v>
      </c>
      <c r="L715" t="n">
        <v>1</v>
      </c>
      <c r="M715" t="n">
        <v>0</v>
      </c>
    </row>
    <row r="716" spans="1:13">
      <c r="A716" s="1">
        <f>HYPERLINK("http://www.twitter.com/NathanBLawrence/status/985657227083223046", "985657227083223046")</f>
        <v/>
      </c>
      <c r="B716" s="2" t="n">
        <v>43205.96724537037</v>
      </c>
      <c r="C716" t="n">
        <v>0</v>
      </c>
      <c r="D716" t="n">
        <v>522</v>
      </c>
      <c r="E716" t="s">
        <v>722</v>
      </c>
      <c r="F716" t="s"/>
      <c r="G716" t="s"/>
      <c r="H716" t="s"/>
      <c r="I716" t="s"/>
      <c r="J716" t="n">
        <v>0.128</v>
      </c>
      <c r="K716" t="n">
        <v>0.157</v>
      </c>
      <c r="L716" t="n">
        <v>0.654</v>
      </c>
      <c r="M716" t="n">
        <v>0.19</v>
      </c>
    </row>
    <row r="717" spans="1:13">
      <c r="A717" s="1">
        <f>HYPERLINK("http://www.twitter.com/NathanBLawrence/status/985654408313819143", "985654408313819143")</f>
        <v/>
      </c>
      <c r="B717" s="2" t="n">
        <v>43205.95946759259</v>
      </c>
      <c r="C717" t="n">
        <v>0</v>
      </c>
      <c r="D717" t="n">
        <v>5999</v>
      </c>
      <c r="E717" t="s">
        <v>723</v>
      </c>
      <c r="F717" t="s"/>
      <c r="G717" t="s"/>
      <c r="H717" t="s"/>
      <c r="I717" t="s"/>
      <c r="J717" t="n">
        <v>-0.7319</v>
      </c>
      <c r="K717" t="n">
        <v>0.219</v>
      </c>
      <c r="L717" t="n">
        <v>0.781</v>
      </c>
      <c r="M717" t="n">
        <v>0</v>
      </c>
    </row>
    <row r="718" spans="1:13">
      <c r="A718" s="1">
        <f>HYPERLINK("http://www.twitter.com/NathanBLawrence/status/985651814010970113", "985651814010970113")</f>
        <v/>
      </c>
      <c r="B718" s="2" t="n">
        <v>43205.95230324074</v>
      </c>
      <c r="C718" t="n">
        <v>0</v>
      </c>
      <c r="D718" t="n">
        <v>1</v>
      </c>
      <c r="E718" t="s">
        <v>724</v>
      </c>
      <c r="F718" t="s"/>
      <c r="G718" t="s"/>
      <c r="H718" t="s"/>
      <c r="I718" t="s"/>
      <c r="J718" t="n">
        <v>-0.4215</v>
      </c>
      <c r="K718" t="n">
        <v>0.109</v>
      </c>
      <c r="L718" t="n">
        <v>0.891</v>
      </c>
      <c r="M718" t="n">
        <v>0</v>
      </c>
    </row>
    <row r="719" spans="1:13">
      <c r="A719" s="1">
        <f>HYPERLINK("http://www.twitter.com/NathanBLawrence/status/985620634062467075", "985620634062467075")</f>
        <v/>
      </c>
      <c r="B719" s="2" t="n">
        <v>43205.86626157408</v>
      </c>
      <c r="C719" t="n">
        <v>1</v>
      </c>
      <c r="D719" t="n">
        <v>1</v>
      </c>
      <c r="E719" t="s">
        <v>725</v>
      </c>
      <c r="F719" t="s"/>
      <c r="G719" t="s"/>
      <c r="H719" t="s"/>
      <c r="I719" t="s"/>
      <c r="J719" t="n">
        <v>-0.6486</v>
      </c>
      <c r="K719" t="n">
        <v>0.163</v>
      </c>
      <c r="L719" t="n">
        <v>0.837</v>
      </c>
      <c r="M719" t="n">
        <v>0</v>
      </c>
    </row>
    <row r="720" spans="1:13">
      <c r="A720" s="1">
        <f>HYPERLINK("http://www.twitter.com/NathanBLawrence/status/985323446711345152", "985323446711345152")</f>
        <v/>
      </c>
      <c r="B720" s="2" t="n">
        <v>43205.04618055555</v>
      </c>
      <c r="C720" t="n">
        <v>0</v>
      </c>
      <c r="D720" t="n">
        <v>38</v>
      </c>
      <c r="E720" t="s">
        <v>726</v>
      </c>
      <c r="F720">
        <f>HYPERLINK("http://pbs.twimg.com/media/DaiOv10UMAAcvwm.jpg", "http://pbs.twimg.com/media/DaiOv10UMAAcvwm.jpg")</f>
        <v/>
      </c>
      <c r="G720" t="s"/>
      <c r="H720" t="s"/>
      <c r="I720" t="s"/>
      <c r="J720" t="n">
        <v>-0.3182</v>
      </c>
      <c r="K720" t="n">
        <v>0.095</v>
      </c>
      <c r="L720" t="n">
        <v>0.905</v>
      </c>
      <c r="M720" t="n">
        <v>0</v>
      </c>
    </row>
    <row r="721" spans="1:13">
      <c r="A721" s="1">
        <f>HYPERLINK("http://www.twitter.com/NathanBLawrence/status/985013394972532742", "985013394972532742")</f>
        <v/>
      </c>
      <c r="B721" s="2" t="n">
        <v>43204.19060185185</v>
      </c>
      <c r="C721" t="n">
        <v>0</v>
      </c>
      <c r="D721" t="n">
        <v>881</v>
      </c>
      <c r="E721" t="s">
        <v>727</v>
      </c>
      <c r="F721" t="s"/>
      <c r="G721" t="s"/>
      <c r="H721" t="s"/>
      <c r="I721" t="s"/>
      <c r="J721" t="n">
        <v>-0.0258</v>
      </c>
      <c r="K721" t="n">
        <v>0.126</v>
      </c>
      <c r="L721" t="n">
        <v>0.753</v>
      </c>
      <c r="M721" t="n">
        <v>0.121</v>
      </c>
    </row>
    <row r="722" spans="1:13">
      <c r="A722" s="1">
        <f>HYPERLINK("http://www.twitter.com/NathanBLawrence/status/984989518804766720", "984989518804766720")</f>
        <v/>
      </c>
      <c r="B722" s="2" t="n">
        <v>43204.12472222222</v>
      </c>
      <c r="C722" t="n">
        <v>0</v>
      </c>
      <c r="D722" t="n">
        <v>3</v>
      </c>
      <c r="E722" t="s">
        <v>728</v>
      </c>
      <c r="F722">
        <f>HYPERLINK("http://pbs.twimg.com/media/DatdnitVAAAWJpu.jpg", "http://pbs.twimg.com/media/DatdnitVAAAWJpu.jpg")</f>
        <v/>
      </c>
      <c r="G722" t="s"/>
      <c r="H722" t="s"/>
      <c r="I722" t="s"/>
      <c r="J722" t="n">
        <v>0</v>
      </c>
      <c r="K722" t="n">
        <v>0</v>
      </c>
      <c r="L722" t="n">
        <v>1</v>
      </c>
      <c r="M722" t="n">
        <v>0</v>
      </c>
    </row>
    <row r="723" spans="1:13">
      <c r="A723" s="1">
        <f>HYPERLINK("http://www.twitter.com/NathanBLawrence/status/984974922542968832", "984974922542968832")</f>
        <v/>
      </c>
      <c r="B723" s="2" t="n">
        <v>43204.08444444444</v>
      </c>
      <c r="C723" t="n">
        <v>0</v>
      </c>
      <c r="D723" t="n">
        <v>4142</v>
      </c>
      <c r="E723" t="s">
        <v>729</v>
      </c>
      <c r="F723" t="s"/>
      <c r="G723" t="s"/>
      <c r="H723" t="s"/>
      <c r="I723" t="s"/>
      <c r="J723" t="n">
        <v>0.3182</v>
      </c>
      <c r="K723" t="n">
        <v>0</v>
      </c>
      <c r="L723" t="n">
        <v>0.892</v>
      </c>
      <c r="M723" t="n">
        <v>0.108</v>
      </c>
    </row>
    <row r="724" spans="1:13">
      <c r="A724" s="1">
        <f>HYPERLINK("http://www.twitter.com/NathanBLawrence/status/984974756305932288", "984974756305932288")</f>
        <v/>
      </c>
      <c r="B724" s="2" t="n">
        <v>43204.08398148148</v>
      </c>
      <c r="C724" t="n">
        <v>0</v>
      </c>
      <c r="D724" t="n">
        <v>954</v>
      </c>
      <c r="E724" t="s">
        <v>730</v>
      </c>
      <c r="F724" t="s"/>
      <c r="G724" t="s"/>
      <c r="H724" t="s"/>
      <c r="I724" t="s"/>
      <c r="J724" t="n">
        <v>-0.5266999999999999</v>
      </c>
      <c r="K724" t="n">
        <v>0.167</v>
      </c>
      <c r="L724" t="n">
        <v>0.833</v>
      </c>
      <c r="M724" t="n">
        <v>0</v>
      </c>
    </row>
    <row r="725" spans="1:13">
      <c r="A725" s="1">
        <f>HYPERLINK("http://www.twitter.com/NathanBLawrence/status/984968783604445185", "984968783604445185")</f>
        <v/>
      </c>
      <c r="B725" s="2" t="n">
        <v>43204.0675</v>
      </c>
      <c r="C725" t="n">
        <v>0</v>
      </c>
      <c r="D725" t="n">
        <v>113</v>
      </c>
      <c r="E725" t="s">
        <v>731</v>
      </c>
      <c r="F725" t="s"/>
      <c r="G725" t="s"/>
      <c r="H725" t="s"/>
      <c r="I725" t="s"/>
      <c r="J725" t="n">
        <v>0.8481</v>
      </c>
      <c r="K725" t="n">
        <v>0</v>
      </c>
      <c r="L725" t="n">
        <v>0.662</v>
      </c>
      <c r="M725" t="n">
        <v>0.338</v>
      </c>
    </row>
    <row r="726" spans="1:13">
      <c r="A726" s="1">
        <f>HYPERLINK("http://www.twitter.com/NathanBLawrence/status/984968608488050688", "984968608488050688")</f>
        <v/>
      </c>
      <c r="B726" s="2" t="n">
        <v>43204.06701388889</v>
      </c>
      <c r="C726" t="n">
        <v>0</v>
      </c>
      <c r="D726" t="n">
        <v>395</v>
      </c>
      <c r="E726" t="s">
        <v>732</v>
      </c>
      <c r="F726" t="s"/>
      <c r="G726" t="s"/>
      <c r="H726" t="s"/>
      <c r="I726" t="s"/>
      <c r="J726" t="n">
        <v>-0.2003</v>
      </c>
      <c r="K726" t="n">
        <v>0.253</v>
      </c>
      <c r="L726" t="n">
        <v>0.542</v>
      </c>
      <c r="M726" t="n">
        <v>0.205</v>
      </c>
    </row>
    <row r="727" spans="1:13">
      <c r="A727" s="1">
        <f>HYPERLINK("http://www.twitter.com/NathanBLawrence/status/984968485859201024", "984968485859201024")</f>
        <v/>
      </c>
      <c r="B727" s="2" t="n">
        <v>43204.06667824074</v>
      </c>
      <c r="C727" t="n">
        <v>1</v>
      </c>
      <c r="D727" t="n">
        <v>0</v>
      </c>
      <c r="E727" t="s">
        <v>733</v>
      </c>
      <c r="F727" t="s"/>
      <c r="G727" t="s"/>
      <c r="H727" t="s"/>
      <c r="I727" t="s"/>
      <c r="J727" t="n">
        <v>-0.1779</v>
      </c>
      <c r="K727" t="n">
        <v>0.124</v>
      </c>
      <c r="L727" t="n">
        <v>0.876</v>
      </c>
      <c r="M727" t="n">
        <v>0</v>
      </c>
    </row>
    <row r="728" spans="1:13">
      <c r="A728" s="1">
        <f>HYPERLINK("http://www.twitter.com/NathanBLawrence/status/984960387748630528", "984960387748630528")</f>
        <v/>
      </c>
      <c r="B728" s="2" t="n">
        <v>43204.04432870371</v>
      </c>
      <c r="C728" t="n">
        <v>0</v>
      </c>
      <c r="D728" t="n">
        <v>207</v>
      </c>
      <c r="E728" t="s">
        <v>734</v>
      </c>
      <c r="F728" t="s"/>
      <c r="G728" t="s"/>
      <c r="H728" t="s"/>
      <c r="I728" t="s"/>
      <c r="J728" t="n">
        <v>0.2023</v>
      </c>
      <c r="K728" t="n">
        <v>0</v>
      </c>
      <c r="L728" t="n">
        <v>0.909</v>
      </c>
      <c r="M728" t="n">
        <v>0.091</v>
      </c>
    </row>
    <row r="729" spans="1:13">
      <c r="A729" s="1">
        <f>HYPERLINK("http://www.twitter.com/NathanBLawrence/status/984958046458863616", "984958046458863616")</f>
        <v/>
      </c>
      <c r="B729" s="2" t="n">
        <v>43204.03787037037</v>
      </c>
      <c r="C729" t="n">
        <v>0</v>
      </c>
      <c r="D729" t="n">
        <v>3784</v>
      </c>
      <c r="E729" t="s">
        <v>735</v>
      </c>
      <c r="F729" t="s"/>
      <c r="G729" t="s"/>
      <c r="H729" t="s"/>
      <c r="I729" t="s"/>
      <c r="J729" t="n">
        <v>-0.5423</v>
      </c>
      <c r="K729" t="n">
        <v>0.132</v>
      </c>
      <c r="L729" t="n">
        <v>0.868</v>
      </c>
      <c r="M729" t="n">
        <v>0</v>
      </c>
    </row>
    <row r="730" spans="1:13">
      <c r="A730" s="1">
        <f>HYPERLINK("http://www.twitter.com/NathanBLawrence/status/984874793248927744", "984874793248927744")</f>
        <v/>
      </c>
      <c r="B730" s="2" t="n">
        <v>43203.80813657407</v>
      </c>
      <c r="C730" t="n">
        <v>0</v>
      </c>
      <c r="D730" t="n">
        <v>5073</v>
      </c>
      <c r="E730" t="s">
        <v>736</v>
      </c>
      <c r="F730" t="s"/>
      <c r="G730" t="s"/>
      <c r="H730" t="s"/>
      <c r="I730" t="s"/>
      <c r="J730" t="n">
        <v>0.2023</v>
      </c>
      <c r="K730" t="n">
        <v>0</v>
      </c>
      <c r="L730" t="n">
        <v>0.921</v>
      </c>
      <c r="M730" t="n">
        <v>0.079</v>
      </c>
    </row>
    <row r="731" spans="1:13">
      <c r="A731" s="1">
        <f>HYPERLINK("http://www.twitter.com/NathanBLawrence/status/984854291264495616", "984854291264495616")</f>
        <v/>
      </c>
      <c r="B731" s="2" t="n">
        <v>43203.7515625</v>
      </c>
      <c r="C731" t="n">
        <v>0</v>
      </c>
      <c r="D731" t="n">
        <v>0</v>
      </c>
      <c r="E731" t="s">
        <v>737</v>
      </c>
      <c r="F731" t="s"/>
      <c r="G731" t="s"/>
      <c r="H731" t="s"/>
      <c r="I731" t="s"/>
      <c r="J731" t="n">
        <v>0</v>
      </c>
      <c r="K731" t="n">
        <v>0</v>
      </c>
      <c r="L731" t="n">
        <v>1</v>
      </c>
      <c r="M731" t="n">
        <v>0</v>
      </c>
    </row>
    <row r="732" spans="1:13">
      <c r="A732" s="1">
        <f>HYPERLINK("http://www.twitter.com/NathanBLawrence/status/984648955182112768", "984648955182112768")</f>
        <v/>
      </c>
      <c r="B732" s="2" t="n">
        <v>43203.18494212963</v>
      </c>
      <c r="C732" t="n">
        <v>0</v>
      </c>
      <c r="D732" t="n">
        <v>0</v>
      </c>
      <c r="E732" t="s">
        <v>738</v>
      </c>
      <c r="F732" t="s"/>
      <c r="G732" t="s"/>
      <c r="H732" t="s"/>
      <c r="I732" t="s"/>
      <c r="J732" t="n">
        <v>0.3506</v>
      </c>
      <c r="K732" t="n">
        <v>0.116</v>
      </c>
      <c r="L732" t="n">
        <v>0.68</v>
      </c>
      <c r="M732" t="n">
        <v>0.204</v>
      </c>
    </row>
    <row r="733" spans="1:13">
      <c r="A733" s="1">
        <f>HYPERLINK("http://www.twitter.com/NathanBLawrence/status/984628799244591105", "984628799244591105")</f>
        <v/>
      </c>
      <c r="B733" s="2" t="n">
        <v>43203.12931712963</v>
      </c>
      <c r="C733" t="n">
        <v>0</v>
      </c>
      <c r="D733" t="n">
        <v>15</v>
      </c>
      <c r="E733" t="s">
        <v>739</v>
      </c>
      <c r="F733" t="s"/>
      <c r="G733" t="s"/>
      <c r="H733" t="s"/>
      <c r="I733" t="s"/>
      <c r="J733" t="n">
        <v>0</v>
      </c>
      <c r="K733" t="n">
        <v>0</v>
      </c>
      <c r="L733" t="n">
        <v>1</v>
      </c>
      <c r="M733" t="n">
        <v>0</v>
      </c>
    </row>
    <row r="734" spans="1:13">
      <c r="A734" s="1">
        <f>HYPERLINK("http://www.twitter.com/NathanBLawrence/status/984625442127777792", "984625442127777792")</f>
        <v/>
      </c>
      <c r="B734" s="2" t="n">
        <v>43203.12005787037</v>
      </c>
      <c r="C734" t="n">
        <v>0</v>
      </c>
      <c r="D734" t="n">
        <v>5946</v>
      </c>
      <c r="E734" t="s">
        <v>740</v>
      </c>
      <c r="F734" t="s"/>
      <c r="G734" t="s"/>
      <c r="H734" t="s"/>
      <c r="I734" t="s"/>
      <c r="J734" t="n">
        <v>-0.296</v>
      </c>
      <c r="K734" t="n">
        <v>0.099</v>
      </c>
      <c r="L734" t="n">
        <v>0.901</v>
      </c>
      <c r="M734" t="n">
        <v>0</v>
      </c>
    </row>
    <row r="735" spans="1:13">
      <c r="A735" s="1">
        <f>HYPERLINK("http://www.twitter.com/NathanBLawrence/status/984622863540989953", "984622863540989953")</f>
        <v/>
      </c>
      <c r="B735" s="2" t="n">
        <v>43203.11293981481</v>
      </c>
      <c r="C735" t="n">
        <v>0</v>
      </c>
      <c r="D735" t="n">
        <v>2</v>
      </c>
      <c r="E735" t="s">
        <v>741</v>
      </c>
      <c r="F735" t="s"/>
      <c r="G735" t="s"/>
      <c r="H735" t="s"/>
      <c r="I735" t="s"/>
      <c r="J735" t="n">
        <v>0.4019</v>
      </c>
      <c r="K735" t="n">
        <v>0.123</v>
      </c>
      <c r="L735" t="n">
        <v>0.651</v>
      </c>
      <c r="M735" t="n">
        <v>0.226</v>
      </c>
    </row>
    <row r="736" spans="1:13">
      <c r="A736" s="1">
        <f>HYPERLINK("http://www.twitter.com/NathanBLawrence/status/984622730195718145", "984622730195718145")</f>
        <v/>
      </c>
      <c r="B736" s="2" t="n">
        <v>43203.11256944444</v>
      </c>
      <c r="C736" t="n">
        <v>0</v>
      </c>
      <c r="D736" t="n">
        <v>17</v>
      </c>
      <c r="E736" t="s">
        <v>742</v>
      </c>
      <c r="F736">
        <f>HYPERLINK("http://pbs.twimg.com/media/Dae-wnkWAAAipXV.jpg", "http://pbs.twimg.com/media/Dae-wnkWAAAipXV.jpg")</f>
        <v/>
      </c>
      <c r="G736">
        <f>HYPERLINK("http://pbs.twimg.com/media/Dae-xx0X0AAZlsX.jpg", "http://pbs.twimg.com/media/Dae-xx0X0AAZlsX.jpg")</f>
        <v/>
      </c>
      <c r="H736">
        <f>HYPERLINK("http://pbs.twimg.com/media/Dae-y37WsAA7qA4.jpg", "http://pbs.twimg.com/media/Dae-y37WsAA7qA4.jpg")</f>
        <v/>
      </c>
      <c r="I736" t="s"/>
      <c r="J736" t="n">
        <v>0.5308</v>
      </c>
      <c r="K736" t="n">
        <v>0</v>
      </c>
      <c r="L736" t="n">
        <v>0.803</v>
      </c>
      <c r="M736" t="n">
        <v>0.197</v>
      </c>
    </row>
    <row r="737" spans="1:13">
      <c r="A737" s="1">
        <f>HYPERLINK("http://www.twitter.com/NathanBLawrence/status/984621082983493632", "984621082983493632")</f>
        <v/>
      </c>
      <c r="B737" s="2" t="n">
        <v>43203.10803240741</v>
      </c>
      <c r="C737" t="n">
        <v>0</v>
      </c>
      <c r="D737" t="n">
        <v>3</v>
      </c>
      <c r="E737" t="s">
        <v>743</v>
      </c>
      <c r="F737" t="s"/>
      <c r="G737" t="s"/>
      <c r="H737" t="s"/>
      <c r="I737" t="s"/>
      <c r="J737" t="n">
        <v>0</v>
      </c>
      <c r="K737" t="n">
        <v>0</v>
      </c>
      <c r="L737" t="n">
        <v>1</v>
      </c>
      <c r="M737" t="n">
        <v>0</v>
      </c>
    </row>
    <row r="738" spans="1:13">
      <c r="A738" s="1">
        <f>HYPERLINK("http://www.twitter.com/NathanBLawrence/status/984620406631030785", "984620406631030785")</f>
        <v/>
      </c>
      <c r="B738" s="2" t="n">
        <v>43203.1061574074</v>
      </c>
      <c r="C738" t="n">
        <v>0</v>
      </c>
      <c r="D738" t="n">
        <v>11</v>
      </c>
      <c r="E738" t="s">
        <v>744</v>
      </c>
      <c r="F738">
        <f>HYPERLINK("http://pbs.twimg.com/media/DamGYdGUwAAKrlU.jpg", "http://pbs.twimg.com/media/DamGYdGUwAAKrlU.jpg")</f>
        <v/>
      </c>
      <c r="G738" t="s"/>
      <c r="H738" t="s"/>
      <c r="I738" t="s"/>
      <c r="J738" t="n">
        <v>0</v>
      </c>
      <c r="K738" t="n">
        <v>0</v>
      </c>
      <c r="L738" t="n">
        <v>1</v>
      </c>
      <c r="M738" t="n">
        <v>0</v>
      </c>
    </row>
    <row r="739" spans="1:13">
      <c r="A739" s="1">
        <f>HYPERLINK("http://www.twitter.com/NathanBLawrence/status/984620044972904448", "984620044972904448")</f>
        <v/>
      </c>
      <c r="B739" s="2" t="n">
        <v>43203.10516203703</v>
      </c>
      <c r="C739" t="n">
        <v>0</v>
      </c>
      <c r="D739" t="n">
        <v>14</v>
      </c>
      <c r="E739" t="s">
        <v>745</v>
      </c>
      <c r="F739">
        <f>HYPERLINK("http://pbs.twimg.com/media/DamGtUyVwAAqC8f.jpg", "http://pbs.twimg.com/media/DamGtUyVwAAqC8f.jpg")</f>
        <v/>
      </c>
      <c r="G739" t="s"/>
      <c r="H739" t="s"/>
      <c r="I739" t="s"/>
      <c r="J739" t="n">
        <v>0.128</v>
      </c>
      <c r="K739" t="n">
        <v>0</v>
      </c>
      <c r="L739" t="n">
        <v>0.9330000000000001</v>
      </c>
      <c r="M739" t="n">
        <v>0.067</v>
      </c>
    </row>
    <row r="740" spans="1:13">
      <c r="A740" s="1">
        <f>HYPERLINK("http://www.twitter.com/NathanBLawrence/status/984619975003525120", "984619975003525120")</f>
        <v/>
      </c>
      <c r="B740" s="2" t="n">
        <v>43203.10497685185</v>
      </c>
      <c r="C740" t="n">
        <v>0</v>
      </c>
      <c r="D740" t="n">
        <v>23</v>
      </c>
      <c r="E740" t="s">
        <v>746</v>
      </c>
      <c r="F740">
        <f>HYPERLINK("http://pbs.twimg.com/media/DamaWz0VAAAWVLo.jpg", "http://pbs.twimg.com/media/DamaWz0VAAAWVLo.jpg")</f>
        <v/>
      </c>
      <c r="G740" t="s"/>
      <c r="H740" t="s"/>
      <c r="I740" t="s"/>
      <c r="J740" t="n">
        <v>0</v>
      </c>
      <c r="K740" t="n">
        <v>0</v>
      </c>
      <c r="L740" t="n">
        <v>1</v>
      </c>
      <c r="M740" t="n">
        <v>0</v>
      </c>
    </row>
    <row r="741" spans="1:13">
      <c r="A741" s="1">
        <f>HYPERLINK("http://www.twitter.com/NathanBLawrence/status/984619811610267649", "984619811610267649")</f>
        <v/>
      </c>
      <c r="B741" s="2" t="n">
        <v>43203.10452546296</v>
      </c>
      <c r="C741" t="n">
        <v>0</v>
      </c>
      <c r="D741" t="n">
        <v>13</v>
      </c>
      <c r="E741" t="s">
        <v>747</v>
      </c>
      <c r="F741">
        <f>HYPERLINK("http://pbs.twimg.com/media/DanW6kwUQAAygAc.jpg", "http://pbs.twimg.com/media/DanW6kwUQAAygAc.jpg")</f>
        <v/>
      </c>
      <c r="G741">
        <f>HYPERLINK("http://pbs.twimg.com/media/DanW6paVAAAJXVw.jpg", "http://pbs.twimg.com/media/DanW6paVAAAJXVw.jpg")</f>
        <v/>
      </c>
      <c r="H741" t="s"/>
      <c r="I741" t="s"/>
      <c r="J741" t="n">
        <v>0.6486</v>
      </c>
      <c r="K741" t="n">
        <v>0</v>
      </c>
      <c r="L741" t="n">
        <v>0.76</v>
      </c>
      <c r="M741" t="n">
        <v>0.24</v>
      </c>
    </row>
    <row r="742" spans="1:13">
      <c r="A742" s="1">
        <f>HYPERLINK("http://www.twitter.com/NathanBLawrence/status/984607209773568000", "984607209773568000")</f>
        <v/>
      </c>
      <c r="B742" s="2" t="n">
        <v>43203.06974537037</v>
      </c>
      <c r="C742" t="n">
        <v>0</v>
      </c>
      <c r="D742" t="n">
        <v>9822</v>
      </c>
      <c r="E742" t="s">
        <v>748</v>
      </c>
      <c r="F742" t="s"/>
      <c r="G742" t="s"/>
      <c r="H742" t="s"/>
      <c r="I742" t="s"/>
      <c r="J742" t="n">
        <v>-0.1531</v>
      </c>
      <c r="K742" t="n">
        <v>0.192</v>
      </c>
      <c r="L742" t="n">
        <v>0.64</v>
      </c>
      <c r="M742" t="n">
        <v>0.168</v>
      </c>
    </row>
    <row r="743" spans="1:13">
      <c r="A743" s="1">
        <f>HYPERLINK("http://www.twitter.com/NathanBLawrence/status/984599453637234689", "984599453637234689")</f>
        <v/>
      </c>
      <c r="B743" s="2" t="n">
        <v>43203.04834490741</v>
      </c>
      <c r="C743" t="n">
        <v>0</v>
      </c>
      <c r="D743" t="n">
        <v>14</v>
      </c>
      <c r="E743" t="s">
        <v>749</v>
      </c>
      <c r="F743" t="s"/>
      <c r="G743" t="s"/>
      <c r="H743" t="s"/>
      <c r="I743" t="s"/>
      <c r="J743" t="n">
        <v>0</v>
      </c>
      <c r="K743" t="n">
        <v>0</v>
      </c>
      <c r="L743" t="n">
        <v>1</v>
      </c>
      <c r="M743" t="n">
        <v>0</v>
      </c>
    </row>
    <row r="744" spans="1:13">
      <c r="A744" s="1">
        <f>HYPERLINK("http://www.twitter.com/NathanBLawrence/status/984582838896021504", "984582838896021504")</f>
        <v/>
      </c>
      <c r="B744" s="2" t="n">
        <v>43203.0025</v>
      </c>
      <c r="C744" t="n">
        <v>0</v>
      </c>
      <c r="D744" t="n">
        <v>1678</v>
      </c>
      <c r="E744" t="s">
        <v>750</v>
      </c>
      <c r="F744" t="s"/>
      <c r="G744" t="s"/>
      <c r="H744" t="s"/>
      <c r="I744" t="s"/>
      <c r="J744" t="n">
        <v>-0.2263</v>
      </c>
      <c r="K744" t="n">
        <v>0.11</v>
      </c>
      <c r="L744" t="n">
        <v>0.822</v>
      </c>
      <c r="M744" t="n">
        <v>0.068</v>
      </c>
    </row>
    <row r="745" spans="1:13">
      <c r="A745" s="1">
        <f>HYPERLINK("http://www.twitter.com/NathanBLawrence/status/916849108371034112", "916849108371034112")</f>
        <v/>
      </c>
      <c r="B745" s="2" t="n">
        <v>43016.09300925926</v>
      </c>
      <c r="C745" t="n">
        <v>0</v>
      </c>
      <c r="D745" t="n">
        <v>308</v>
      </c>
      <c r="E745" t="s">
        <v>751</v>
      </c>
      <c r="F745" t="s"/>
      <c r="G745" t="s"/>
      <c r="H745" t="s"/>
      <c r="I745" t="s"/>
      <c r="J745" t="n">
        <v>0</v>
      </c>
      <c r="K745" t="n">
        <v>0</v>
      </c>
      <c r="L745" t="n">
        <v>1</v>
      </c>
      <c r="M745" t="n">
        <v>0</v>
      </c>
    </row>
    <row r="746" spans="1:13">
      <c r="A746" s="1">
        <f>HYPERLINK("http://www.twitter.com/NathanBLawrence/status/912718031100497920", "912718031100497920")</f>
        <v/>
      </c>
      <c r="B746" s="2" t="n">
        <v>43004.69340277778</v>
      </c>
      <c r="C746" t="n">
        <v>0</v>
      </c>
      <c r="D746" t="n">
        <v>1069</v>
      </c>
      <c r="E746" t="s">
        <v>752</v>
      </c>
      <c r="F746">
        <f>HYPERLINK("http://pbs.twimg.com/media/DKkGNJOU8AAPXsN.jpg", "http://pbs.twimg.com/media/DKkGNJOU8AAPXsN.jpg")</f>
        <v/>
      </c>
      <c r="G746" t="s"/>
      <c r="H746" t="s"/>
      <c r="I746" t="s"/>
      <c r="J746" t="n">
        <v>0</v>
      </c>
      <c r="K746" t="n">
        <v>0</v>
      </c>
      <c r="L746" t="n">
        <v>1</v>
      </c>
      <c r="M746" t="n">
        <v>0</v>
      </c>
    </row>
    <row r="747" spans="1:13">
      <c r="A747" s="1">
        <f>HYPERLINK("http://www.twitter.com/NathanBLawrence/status/912695192897114113", "912695192897114113")</f>
        <v/>
      </c>
      <c r="B747" s="2" t="n">
        <v>43004.63038194444</v>
      </c>
      <c r="C747" t="n">
        <v>0</v>
      </c>
      <c r="D747" t="n">
        <v>756</v>
      </c>
      <c r="E747" t="s">
        <v>753</v>
      </c>
      <c r="F747">
        <f>HYPERLINK("http://pbs.twimg.com/media/DKpiH0zVwAU_yxJ.jpg", "http://pbs.twimg.com/media/DKpiH0zVwAU_yxJ.jpg")</f>
        <v/>
      </c>
      <c r="G747" t="s"/>
      <c r="H747" t="s"/>
      <c r="I747" t="s"/>
      <c r="J747" t="n">
        <v>-0.1779</v>
      </c>
      <c r="K747" t="n">
        <v>0.147</v>
      </c>
      <c r="L747" t="n">
        <v>0.735</v>
      </c>
      <c r="M747" t="n">
        <v>0.118</v>
      </c>
    </row>
    <row r="748" spans="1:13">
      <c r="A748" s="1">
        <f>HYPERLINK("http://www.twitter.com/NathanBLawrence/status/893478549239234560", "893478549239234560")</f>
        <v/>
      </c>
      <c r="B748" s="2" t="n">
        <v>42951.60254629629</v>
      </c>
      <c r="C748" t="n">
        <v>0</v>
      </c>
      <c r="D748" t="n">
        <v>0</v>
      </c>
      <c r="E748" t="s">
        <v>754</v>
      </c>
      <c r="F748" t="s"/>
      <c r="G748" t="s"/>
      <c r="H748" t="s"/>
      <c r="I748" t="s"/>
      <c r="J748" t="n">
        <v>0</v>
      </c>
      <c r="K748" t="n">
        <v>0</v>
      </c>
      <c r="L748" t="n">
        <v>1</v>
      </c>
      <c r="M748" t="n">
        <v>0</v>
      </c>
    </row>
    <row r="749" spans="1:13">
      <c r="A749" s="1">
        <f>HYPERLINK("http://www.twitter.com/NathanBLawrence/status/882677750103986176", "882677750103986176")</f>
        <v/>
      </c>
      <c r="B749" s="2" t="n">
        <v>42921.79802083333</v>
      </c>
      <c r="C749" t="n">
        <v>0</v>
      </c>
      <c r="D749" t="n">
        <v>9249</v>
      </c>
      <c r="E749" t="s">
        <v>755</v>
      </c>
      <c r="F749" t="s"/>
      <c r="G749" t="s"/>
      <c r="H749" t="s"/>
      <c r="I749" t="s"/>
      <c r="J749" t="n">
        <v>-0.5423</v>
      </c>
      <c r="K749" t="n">
        <v>0.156</v>
      </c>
      <c r="L749" t="n">
        <v>0.844</v>
      </c>
      <c r="M749" t="n">
        <v>0</v>
      </c>
    </row>
    <row r="750" spans="1:13">
      <c r="A750" s="1">
        <f>HYPERLINK("http://www.twitter.com/NathanBLawrence/status/882650336292417537", "882650336292417537")</f>
        <v/>
      </c>
      <c r="B750" s="2" t="n">
        <v>42921.72237268519</v>
      </c>
      <c r="C750" t="n">
        <v>0</v>
      </c>
      <c r="D750" t="n">
        <v>429</v>
      </c>
      <c r="E750" t="s">
        <v>756</v>
      </c>
      <c r="F750">
        <f>HYPERLINK("http://pbs.twimg.com/media/DD-_UR_UwAAbeiz.jpg", "http://pbs.twimg.com/media/DD-_UR_UwAAbeiz.jpg")</f>
        <v/>
      </c>
      <c r="G750" t="s"/>
      <c r="H750" t="s"/>
      <c r="I750" t="s"/>
      <c r="J750" t="n">
        <v>0</v>
      </c>
      <c r="K750" t="n">
        <v>0</v>
      </c>
      <c r="L750" t="n">
        <v>1</v>
      </c>
      <c r="M750" t="n">
        <v>0</v>
      </c>
    </row>
    <row r="751" spans="1:13">
      <c r="A751" s="1">
        <f>HYPERLINK("http://www.twitter.com/NathanBLawrence/status/882650279895871488", "882650279895871488")</f>
        <v/>
      </c>
      <c r="B751" s="2" t="n">
        <v>42921.72222222222</v>
      </c>
      <c r="C751" t="n">
        <v>0</v>
      </c>
      <c r="D751" t="n">
        <v>2185</v>
      </c>
      <c r="E751" t="s">
        <v>757</v>
      </c>
      <c r="F751">
        <f>HYPERLINK("http://pbs.twimg.com/media/DD_ErxLXgAUbohk.jpg", "http://pbs.twimg.com/media/DD_ErxLXgAUbohk.jpg")</f>
        <v/>
      </c>
      <c r="G751" t="s"/>
      <c r="H751" t="s"/>
      <c r="I751" t="s"/>
      <c r="J751" t="n">
        <v>0.5256</v>
      </c>
      <c r="K751" t="n">
        <v>0</v>
      </c>
      <c r="L751" t="n">
        <v>0.764</v>
      </c>
      <c r="M751" t="n">
        <v>0.236</v>
      </c>
    </row>
    <row r="752" spans="1:13">
      <c r="A752" s="1">
        <f>HYPERLINK("http://www.twitter.com/NathanBLawrence/status/880140998940254208", "880140998940254208")</f>
        <v/>
      </c>
      <c r="B752" s="2" t="n">
        <v>42914.79792824074</v>
      </c>
      <c r="C752" t="n">
        <v>0</v>
      </c>
      <c r="D752" t="n">
        <v>7854</v>
      </c>
      <c r="E752" t="s">
        <v>758</v>
      </c>
      <c r="F752">
        <f>HYPERLINK("https://video.twimg.com/ext_tw_video/880109801426079745/pu/vid/1280x720/KShvSNL-Nqh90GHf.mp4", "https://video.twimg.com/ext_tw_video/880109801426079745/pu/vid/1280x720/KShvSNL-Nqh90GHf.mp4")</f>
        <v/>
      </c>
      <c r="G752" t="s"/>
      <c r="H752" t="s"/>
      <c r="I752" t="s"/>
      <c r="J752" t="n">
        <v>0</v>
      </c>
      <c r="K752" t="n">
        <v>0</v>
      </c>
      <c r="L752" t="n">
        <v>1</v>
      </c>
      <c r="M752" t="n">
        <v>0</v>
      </c>
    </row>
    <row r="753" spans="1:13">
      <c r="A753" s="1">
        <f>HYPERLINK("http://www.twitter.com/NathanBLawrence/status/880083477391167488", "880083477391167488")</f>
        <v/>
      </c>
      <c r="B753" s="2" t="n">
        <v>42914.63918981481</v>
      </c>
      <c r="C753" t="n">
        <v>0</v>
      </c>
      <c r="D753" t="n">
        <v>2537</v>
      </c>
      <c r="E753" t="s">
        <v>759</v>
      </c>
      <c r="F753" t="s"/>
      <c r="G753" t="s"/>
      <c r="H753" t="s"/>
      <c r="I753" t="s"/>
      <c r="J753" t="n">
        <v>0</v>
      </c>
      <c r="K753" t="n">
        <v>0</v>
      </c>
      <c r="L753" t="n">
        <v>1</v>
      </c>
      <c r="M753" t="n">
        <v>0</v>
      </c>
    </row>
    <row r="754" spans="1:13">
      <c r="A754" s="1">
        <f>HYPERLINK("http://www.twitter.com/NathanBLawrence/status/879940980652244993", "879940980652244993")</f>
        <v/>
      </c>
      <c r="B754" s="2" t="n">
        <v>42914.24597222222</v>
      </c>
      <c r="C754" t="n">
        <v>0</v>
      </c>
      <c r="D754" t="n">
        <v>982</v>
      </c>
      <c r="E754" t="s">
        <v>760</v>
      </c>
      <c r="F754" t="s"/>
      <c r="G754" t="s"/>
      <c r="H754" t="s"/>
      <c r="I754" t="s"/>
      <c r="J754" t="n">
        <v>-0.5859</v>
      </c>
      <c r="K754" t="n">
        <v>0.201</v>
      </c>
      <c r="L754" t="n">
        <v>0.724</v>
      </c>
      <c r="M754" t="n">
        <v>0.076</v>
      </c>
    </row>
    <row r="755" spans="1:13">
      <c r="A755" s="1">
        <f>HYPERLINK("http://www.twitter.com/NathanBLawrence/status/873925806615138304", "873925806615138304")</f>
        <v/>
      </c>
      <c r="B755" s="2" t="n">
        <v>42897.64725694444</v>
      </c>
      <c r="C755" t="n">
        <v>0</v>
      </c>
      <c r="D755" t="n">
        <v>1700</v>
      </c>
      <c r="E755" t="s">
        <v>761</v>
      </c>
      <c r="F755" t="s"/>
      <c r="G755" t="s"/>
      <c r="H755" t="s"/>
      <c r="I755" t="s"/>
      <c r="J755" t="n">
        <v>0</v>
      </c>
      <c r="K755" t="n">
        <v>0</v>
      </c>
      <c r="L755" t="n">
        <v>1</v>
      </c>
      <c r="M755" t="n">
        <v>0</v>
      </c>
    </row>
    <row r="756" spans="1:13">
      <c r="A756" s="1">
        <f>HYPERLINK("http://www.twitter.com/NathanBLawrence/status/873694373757714432", "873694373757714432")</f>
        <v/>
      </c>
      <c r="B756" s="2" t="n">
        <v>42897.00862268519</v>
      </c>
      <c r="C756" t="n">
        <v>0</v>
      </c>
      <c r="D756" t="n">
        <v>207</v>
      </c>
      <c r="E756" t="s">
        <v>762</v>
      </c>
      <c r="F756" t="s"/>
      <c r="G756" t="s"/>
      <c r="H756" t="s"/>
      <c r="I756" t="s"/>
      <c r="J756" t="n">
        <v>0.5994</v>
      </c>
      <c r="K756" t="n">
        <v>0</v>
      </c>
      <c r="L756" t="n">
        <v>0.766</v>
      </c>
      <c r="M756" t="n">
        <v>0.234</v>
      </c>
    </row>
    <row r="757" spans="1:13">
      <c r="A757" s="1">
        <f>HYPERLINK("http://www.twitter.com/NathanBLawrence/status/873694021100720128", "873694021100720128")</f>
        <v/>
      </c>
      <c r="B757" s="2" t="n">
        <v>42897.00765046296</v>
      </c>
      <c r="C757" t="n">
        <v>0</v>
      </c>
      <c r="D757" t="n">
        <v>1290</v>
      </c>
      <c r="E757" t="s">
        <v>763</v>
      </c>
      <c r="F757" t="s"/>
      <c r="G757" t="s"/>
      <c r="H757" t="s"/>
      <c r="I757" t="s"/>
      <c r="J757" t="n">
        <v>-0.7783</v>
      </c>
      <c r="K757" t="n">
        <v>0.286</v>
      </c>
      <c r="L757" t="n">
        <v>0.714</v>
      </c>
      <c r="M757" t="n">
        <v>0</v>
      </c>
    </row>
    <row r="758" spans="1:13">
      <c r="A758" s="1">
        <f>HYPERLINK("http://www.twitter.com/NathanBLawrence/status/873693999021912065", "873693999021912065")</f>
        <v/>
      </c>
      <c r="B758" s="2" t="n">
        <v>42897.00759259259</v>
      </c>
      <c r="C758" t="n">
        <v>0</v>
      </c>
      <c r="D758" t="n">
        <v>2770</v>
      </c>
      <c r="E758" t="s">
        <v>764</v>
      </c>
      <c r="F758" t="s"/>
      <c r="G758" t="s"/>
      <c r="H758" t="s"/>
      <c r="I758" t="s"/>
      <c r="J758" t="n">
        <v>-0.6597</v>
      </c>
      <c r="K758" t="n">
        <v>0.173</v>
      </c>
      <c r="L758" t="n">
        <v>0.827</v>
      </c>
      <c r="M758" t="n">
        <v>0</v>
      </c>
    </row>
    <row r="759" spans="1:13">
      <c r="A759" s="1">
        <f>HYPERLINK("http://www.twitter.com/NathanBLawrence/status/873693566429691904", "873693566429691904")</f>
        <v/>
      </c>
      <c r="B759" s="2" t="n">
        <v>42897.00640046296</v>
      </c>
      <c r="C759" t="n">
        <v>0</v>
      </c>
      <c r="D759" t="n">
        <v>7573</v>
      </c>
      <c r="E759" t="s">
        <v>765</v>
      </c>
      <c r="F759" t="s"/>
      <c r="G759" t="s"/>
      <c r="H759" t="s"/>
      <c r="I759" t="s"/>
      <c r="J759" t="n">
        <v>-0.8658</v>
      </c>
      <c r="K759" t="n">
        <v>0.377</v>
      </c>
      <c r="L759" t="n">
        <v>0.623</v>
      </c>
      <c r="M759" t="n">
        <v>0</v>
      </c>
    </row>
    <row r="760" spans="1:13">
      <c r="A760" s="1">
        <f>HYPERLINK("http://www.twitter.com/NathanBLawrence/status/873679289094373376", "873679289094373376")</f>
        <v/>
      </c>
      <c r="B760" s="2" t="n">
        <v>42896.96700231481</v>
      </c>
      <c r="C760" t="n">
        <v>0</v>
      </c>
      <c r="D760" t="n">
        <v>2796</v>
      </c>
      <c r="E760" t="s">
        <v>766</v>
      </c>
      <c r="F760" t="s"/>
      <c r="G760" t="s"/>
      <c r="H760" t="s"/>
      <c r="I760" t="s"/>
      <c r="J760" t="n">
        <v>-0.0258</v>
      </c>
      <c r="K760" t="n">
        <v>0.129</v>
      </c>
      <c r="L760" t="n">
        <v>0.747</v>
      </c>
      <c r="M760" t="n">
        <v>0.124</v>
      </c>
    </row>
    <row r="761" spans="1:13">
      <c r="A761" s="1">
        <f>HYPERLINK("http://www.twitter.com/NathanBLawrence/status/873679193145561089", "873679193145561089")</f>
        <v/>
      </c>
      <c r="B761" s="2" t="n">
        <v>42896.96673611111</v>
      </c>
      <c r="C761" t="n">
        <v>0</v>
      </c>
      <c r="D761" t="n">
        <v>5476</v>
      </c>
      <c r="E761" t="s">
        <v>767</v>
      </c>
      <c r="F761" t="s"/>
      <c r="G761" t="s"/>
      <c r="H761" t="s"/>
      <c r="I761" t="s"/>
      <c r="J761" t="n">
        <v>-0.7003</v>
      </c>
      <c r="K761" t="n">
        <v>0.216</v>
      </c>
      <c r="L761" t="n">
        <v>0.784</v>
      </c>
      <c r="M761" t="n">
        <v>0</v>
      </c>
    </row>
    <row r="762" spans="1:13">
      <c r="A762" s="1">
        <f>HYPERLINK("http://www.twitter.com/NathanBLawrence/status/873648568422330368", "873648568422330368")</f>
        <v/>
      </c>
      <c r="B762" s="2" t="n">
        <v>42896.88222222222</v>
      </c>
      <c r="C762" t="n">
        <v>1</v>
      </c>
      <c r="D762" t="n">
        <v>0</v>
      </c>
      <c r="E762" t="s">
        <v>768</v>
      </c>
      <c r="F762" t="s"/>
      <c r="G762" t="s"/>
      <c r="H762" t="s"/>
      <c r="I762" t="s"/>
      <c r="J762" t="n">
        <v>0</v>
      </c>
      <c r="K762" t="n">
        <v>0</v>
      </c>
      <c r="L762" t="n">
        <v>1</v>
      </c>
      <c r="M762" t="n">
        <v>0</v>
      </c>
    </row>
    <row r="763" spans="1:13">
      <c r="A763" s="1">
        <f>HYPERLINK("http://www.twitter.com/NathanBLawrence/status/873648481533140995", "873648481533140995")</f>
        <v/>
      </c>
      <c r="B763" s="2" t="n">
        <v>42896.88199074074</v>
      </c>
      <c r="C763" t="n">
        <v>1</v>
      </c>
      <c r="D763" t="n">
        <v>0</v>
      </c>
      <c r="E763" t="s">
        <v>769</v>
      </c>
      <c r="F763" t="s"/>
      <c r="G763" t="s"/>
      <c r="H763" t="s"/>
      <c r="I763" t="s"/>
      <c r="J763" t="n">
        <v>0.4753</v>
      </c>
      <c r="K763" t="n">
        <v>0</v>
      </c>
      <c r="L763" t="n">
        <v>0.244</v>
      </c>
      <c r="M763" t="n">
        <v>0.756</v>
      </c>
    </row>
    <row r="764" spans="1:13">
      <c r="A764" s="1">
        <f>HYPERLINK("http://www.twitter.com/NathanBLawrence/status/873648072873652224", "873648072873652224")</f>
        <v/>
      </c>
      <c r="B764" s="2" t="n">
        <v>42896.88085648148</v>
      </c>
      <c r="C764" t="n">
        <v>1</v>
      </c>
      <c r="D764" t="n">
        <v>0</v>
      </c>
      <c r="E764" t="s">
        <v>770</v>
      </c>
      <c r="F764" t="s"/>
      <c r="G764" t="s"/>
      <c r="H764" t="s"/>
      <c r="I764" t="s"/>
      <c r="J764" t="n">
        <v>0.743</v>
      </c>
      <c r="K764" t="n">
        <v>0</v>
      </c>
      <c r="L764" t="n">
        <v>0.407</v>
      </c>
      <c r="M764" t="n">
        <v>0.593</v>
      </c>
    </row>
    <row r="765" spans="1:13">
      <c r="A765" s="1">
        <f>HYPERLINK("http://www.twitter.com/NathanBLawrence/status/873647912156319745", "873647912156319745")</f>
        <v/>
      </c>
      <c r="B765" s="2" t="n">
        <v>42896.88041666667</v>
      </c>
      <c r="C765" t="n">
        <v>0</v>
      </c>
      <c r="D765" t="n">
        <v>1</v>
      </c>
      <c r="E765" t="s">
        <v>771</v>
      </c>
      <c r="F765" t="s"/>
      <c r="G765" t="s"/>
      <c r="H765" t="s"/>
      <c r="I765" t="s"/>
      <c r="J765" t="n">
        <v>0</v>
      </c>
      <c r="K765" t="n">
        <v>0</v>
      </c>
      <c r="L765" t="n">
        <v>1</v>
      </c>
      <c r="M765" t="n">
        <v>0</v>
      </c>
    </row>
    <row r="766" spans="1:13">
      <c r="A766" s="1">
        <f>HYPERLINK("http://www.twitter.com/NathanBLawrence/status/871826182995673096", "871826182995673096")</f>
        <v/>
      </c>
      <c r="B766" s="2" t="n">
        <v>42891.85340277778</v>
      </c>
      <c r="C766" t="n">
        <v>0</v>
      </c>
      <c r="D766" t="n">
        <v>3</v>
      </c>
      <c r="E766" t="s">
        <v>772</v>
      </c>
      <c r="F766">
        <f>HYPERLINK("http://pbs.twimg.com/media/DBlMk0WWsAAa8vz.jpg", "http://pbs.twimg.com/media/DBlMk0WWsAAa8vz.jpg")</f>
        <v/>
      </c>
      <c r="G766" t="s"/>
      <c r="H766" t="s"/>
      <c r="I766" t="s"/>
      <c r="J766" t="n">
        <v>0.6808</v>
      </c>
      <c r="K766" t="n">
        <v>0.122</v>
      </c>
      <c r="L766" t="n">
        <v>0.609</v>
      </c>
      <c r="M766" t="n">
        <v>0.269</v>
      </c>
    </row>
    <row r="767" spans="1:13">
      <c r="A767" s="1">
        <f>HYPERLINK("http://www.twitter.com/NathanBLawrence/status/868829928585920512", "868829928585920512")</f>
        <v/>
      </c>
      <c r="B767" s="2" t="n">
        <v>42883.5853125</v>
      </c>
      <c r="C767" t="n">
        <v>0</v>
      </c>
      <c r="D767" t="n">
        <v>7651</v>
      </c>
      <c r="E767" t="s">
        <v>773</v>
      </c>
      <c r="F767" t="s"/>
      <c r="G767" t="s"/>
      <c r="H767" t="s"/>
      <c r="I767" t="s"/>
      <c r="J767" t="n">
        <v>0.4939</v>
      </c>
      <c r="K767" t="n">
        <v>0.08599999999999999</v>
      </c>
      <c r="L767" t="n">
        <v>0.664</v>
      </c>
      <c r="M767" t="n">
        <v>0.25</v>
      </c>
    </row>
    <row r="768" spans="1:13">
      <c r="A768" s="1">
        <f>HYPERLINK("http://www.twitter.com/NathanBLawrence/status/868829882998030337", "868829882998030337")</f>
        <v/>
      </c>
      <c r="B768" s="2" t="n">
        <v>42883.58518518518</v>
      </c>
      <c r="C768" t="n">
        <v>0</v>
      </c>
      <c r="D768" t="n">
        <v>4216</v>
      </c>
      <c r="E768" t="s">
        <v>774</v>
      </c>
      <c r="F768" t="s"/>
      <c r="G768" t="s"/>
      <c r="H768" t="s"/>
      <c r="I768" t="s"/>
      <c r="J768" t="n">
        <v>0.7579</v>
      </c>
      <c r="K768" t="n">
        <v>0.07099999999999999</v>
      </c>
      <c r="L768" t="n">
        <v>0.64</v>
      </c>
      <c r="M768" t="n">
        <v>0.29</v>
      </c>
    </row>
    <row r="769" spans="1:13">
      <c r="A769" s="1">
        <f>HYPERLINK("http://www.twitter.com/NathanBLawrence/status/867067970928996352", "867067970928996352")</f>
        <v/>
      </c>
      <c r="B769" s="2" t="n">
        <v>42878.72324074074</v>
      </c>
      <c r="C769" t="n">
        <v>0</v>
      </c>
      <c r="D769" t="n">
        <v>1185</v>
      </c>
      <c r="E769" t="s">
        <v>775</v>
      </c>
      <c r="F769" t="s"/>
      <c r="G769" t="s"/>
      <c r="H769" t="s"/>
      <c r="I769" t="s"/>
      <c r="J769" t="n">
        <v>0.5994</v>
      </c>
      <c r="K769" t="n">
        <v>0</v>
      </c>
      <c r="L769" t="n">
        <v>0.642</v>
      </c>
      <c r="M769" t="n">
        <v>0.358</v>
      </c>
    </row>
    <row r="770" spans="1:13">
      <c r="A770" s="1">
        <f>HYPERLINK("http://www.twitter.com/NathanBLawrence/status/865276620835364865", "865276620835364865")</f>
        <v/>
      </c>
      <c r="B770" s="2" t="n">
        <v>42873.78005787037</v>
      </c>
      <c r="C770" t="n">
        <v>0</v>
      </c>
      <c r="D770" t="n">
        <v>223</v>
      </c>
      <c r="E770" t="s">
        <v>776</v>
      </c>
      <c r="F770" t="s"/>
      <c r="G770" t="s"/>
      <c r="H770" t="s"/>
      <c r="I770" t="s"/>
      <c r="J770" t="n">
        <v>-0.6166</v>
      </c>
      <c r="K770" t="n">
        <v>0.2</v>
      </c>
      <c r="L770" t="n">
        <v>0.74</v>
      </c>
      <c r="M770" t="n">
        <v>0.06</v>
      </c>
    </row>
    <row r="771" spans="1:13">
      <c r="A771" s="1">
        <f>HYPERLINK("http://www.twitter.com/NathanBLawrence/status/864986989346648065", "864986989346648065")</f>
        <v/>
      </c>
      <c r="B771" s="2" t="n">
        <v>42872.98082175926</v>
      </c>
      <c r="C771" t="n">
        <v>0</v>
      </c>
      <c r="D771" t="n">
        <v>10838</v>
      </c>
      <c r="E771" t="s">
        <v>777</v>
      </c>
      <c r="F771" t="s"/>
      <c r="G771" t="s"/>
      <c r="H771" t="s"/>
      <c r="I771" t="s"/>
      <c r="J771" t="n">
        <v>-0.7964</v>
      </c>
      <c r="K771" t="n">
        <v>0.336</v>
      </c>
      <c r="L771" t="n">
        <v>0.664</v>
      </c>
      <c r="M771" t="n">
        <v>0</v>
      </c>
    </row>
    <row r="772" spans="1:13">
      <c r="A772" s="1">
        <f>HYPERLINK("http://www.twitter.com/NathanBLawrence/status/864955516073758721", "864955516073758721")</f>
        <v/>
      </c>
      <c r="B772" s="2" t="n">
        <v>42872.89396990741</v>
      </c>
      <c r="C772" t="n">
        <v>0</v>
      </c>
      <c r="D772" t="n">
        <v>2200</v>
      </c>
      <c r="E772" t="s">
        <v>778</v>
      </c>
      <c r="F772" t="s"/>
      <c r="G772" t="s"/>
      <c r="H772" t="s"/>
      <c r="I772" t="s"/>
      <c r="J772" t="n">
        <v>0.6908</v>
      </c>
      <c r="K772" t="n">
        <v>0</v>
      </c>
      <c r="L772" t="n">
        <v>0.787</v>
      </c>
      <c r="M772" t="n">
        <v>0.213</v>
      </c>
    </row>
    <row r="773" spans="1:13">
      <c r="A773" s="1">
        <f>HYPERLINK("http://www.twitter.com/NathanBLawrence/status/864855523698540544", "864855523698540544")</f>
        <v/>
      </c>
      <c r="B773" s="2" t="n">
        <v>42872.61804398148</v>
      </c>
      <c r="C773" t="n">
        <v>0</v>
      </c>
      <c r="D773" t="n">
        <v>1882</v>
      </c>
      <c r="E773" t="s">
        <v>779</v>
      </c>
      <c r="F773" t="s"/>
      <c r="G773" t="s"/>
      <c r="H773" t="s"/>
      <c r="I773" t="s"/>
      <c r="J773" t="n">
        <v>-0.7506</v>
      </c>
      <c r="K773" t="n">
        <v>0.291</v>
      </c>
      <c r="L773" t="n">
        <v>0.709</v>
      </c>
      <c r="M773" t="n">
        <v>0</v>
      </c>
    </row>
    <row r="774" spans="1:13">
      <c r="A774" s="1">
        <f>HYPERLINK("http://www.twitter.com/NathanBLawrence/status/864855367016173568", "864855367016173568")</f>
        <v/>
      </c>
      <c r="B774" s="2" t="n">
        <v>42872.61761574074</v>
      </c>
      <c r="C774" t="n">
        <v>0</v>
      </c>
      <c r="D774" t="n">
        <v>1424</v>
      </c>
      <c r="E774" t="s">
        <v>780</v>
      </c>
      <c r="F774" t="s"/>
      <c r="G774" t="s"/>
      <c r="H774" t="s"/>
      <c r="I774" t="s"/>
      <c r="J774" t="n">
        <v>-0.0516</v>
      </c>
      <c r="K774" t="n">
        <v>0.091</v>
      </c>
      <c r="L774" t="n">
        <v>0.826</v>
      </c>
      <c r="M774" t="n">
        <v>0.083</v>
      </c>
    </row>
    <row r="775" spans="1:13">
      <c r="A775" s="1">
        <f>HYPERLINK("http://www.twitter.com/NathanBLawrence/status/864853627516715011", "864853627516715011")</f>
        <v/>
      </c>
      <c r="B775" s="2" t="n">
        <v>42872.6128125</v>
      </c>
      <c r="C775" t="n">
        <v>0</v>
      </c>
      <c r="D775" t="n">
        <v>8362</v>
      </c>
      <c r="E775" t="s">
        <v>781</v>
      </c>
      <c r="F775" t="s"/>
      <c r="G775" t="s"/>
      <c r="H775" t="s"/>
      <c r="I775" t="s"/>
      <c r="J775" t="n">
        <v>-0.8053</v>
      </c>
      <c r="K775" t="n">
        <v>0.276</v>
      </c>
      <c r="L775" t="n">
        <v>0.724</v>
      </c>
      <c r="M775" t="n">
        <v>0</v>
      </c>
    </row>
    <row r="776" spans="1:13">
      <c r="A776" s="1">
        <f>HYPERLINK("http://www.twitter.com/NathanBLawrence/status/863940483382484993", "863940483382484993")</f>
        <v/>
      </c>
      <c r="B776" s="2" t="n">
        <v>42870.09302083333</v>
      </c>
      <c r="C776" t="n">
        <v>0</v>
      </c>
      <c r="D776" t="n">
        <v>3387</v>
      </c>
      <c r="E776" t="s">
        <v>782</v>
      </c>
      <c r="F776" t="s"/>
      <c r="G776" t="s"/>
      <c r="H776" t="s"/>
      <c r="I776" t="s"/>
      <c r="J776" t="n">
        <v>-0.1779</v>
      </c>
      <c r="K776" t="n">
        <v>0.183</v>
      </c>
      <c r="L776" t="n">
        <v>0.7</v>
      </c>
      <c r="M776" t="n">
        <v>0.117</v>
      </c>
    </row>
    <row r="777" spans="1:13">
      <c r="A777" s="1">
        <f>HYPERLINK("http://www.twitter.com/NathanBLawrence/status/863783368382709761", "863783368382709761")</f>
        <v/>
      </c>
      <c r="B777" s="2" t="n">
        <v>42869.65945601852</v>
      </c>
      <c r="C777" t="n">
        <v>0</v>
      </c>
      <c r="D777" t="n">
        <v>215</v>
      </c>
      <c r="E777" t="s">
        <v>783</v>
      </c>
      <c r="F777" t="s"/>
      <c r="G777" t="s"/>
      <c r="H777" t="s"/>
      <c r="I777" t="s"/>
      <c r="J777" t="n">
        <v>-0.3612</v>
      </c>
      <c r="K777" t="n">
        <v>0.193</v>
      </c>
      <c r="L777" t="n">
        <v>0.706</v>
      </c>
      <c r="M777" t="n">
        <v>0.1</v>
      </c>
    </row>
    <row r="778" spans="1:13">
      <c r="A778" s="1">
        <f>HYPERLINK("http://www.twitter.com/NathanBLawrence/status/863447441944739840", "863447441944739840")</f>
        <v/>
      </c>
      <c r="B778" s="2" t="n">
        <v>42868.73247685185</v>
      </c>
      <c r="C778" t="n">
        <v>0</v>
      </c>
      <c r="D778" t="n">
        <v>1542</v>
      </c>
      <c r="E778" t="s">
        <v>784</v>
      </c>
      <c r="F778" t="s"/>
      <c r="G778" t="s"/>
      <c r="H778" t="s"/>
      <c r="I778" t="s"/>
      <c r="J778" t="n">
        <v>0.3612</v>
      </c>
      <c r="K778" t="n">
        <v>0.075</v>
      </c>
      <c r="L778" t="n">
        <v>0.791</v>
      </c>
      <c r="M778" t="n">
        <v>0.134</v>
      </c>
    </row>
    <row r="779" spans="1:13">
      <c r="A779" s="1">
        <f>HYPERLINK("http://www.twitter.com/NathanBLawrence/status/862804571692953600", "862804571692953600")</f>
        <v/>
      </c>
      <c r="B779" s="2" t="n">
        <v>42866.95849537037</v>
      </c>
      <c r="C779" t="n">
        <v>0</v>
      </c>
      <c r="D779" t="n">
        <v>6221</v>
      </c>
      <c r="E779" t="s">
        <v>785</v>
      </c>
      <c r="F779" t="s"/>
      <c r="G779" t="s"/>
      <c r="H779" t="s"/>
      <c r="I779" t="s"/>
      <c r="J779" t="n">
        <v>0.128</v>
      </c>
      <c r="K779" t="n">
        <v>0.068</v>
      </c>
      <c r="L779" t="n">
        <v>0.844</v>
      </c>
      <c r="M779" t="n">
        <v>0.089</v>
      </c>
    </row>
    <row r="780" spans="1:13">
      <c r="A780" s="1">
        <f>HYPERLINK("http://www.twitter.com/NathanBLawrence/status/862778566081118208", "862778566081118208")</f>
        <v/>
      </c>
      <c r="B780" s="2" t="n">
        <v>42866.88673611111</v>
      </c>
      <c r="C780" t="n">
        <v>0</v>
      </c>
      <c r="D780" t="n">
        <v>841</v>
      </c>
      <c r="E780" t="s">
        <v>786</v>
      </c>
      <c r="F780">
        <f>HYPERLINK("http://pbs.twimg.com/media/C_jJRwJVoAApou8.jpg", "http://pbs.twimg.com/media/C_jJRwJVoAApou8.jpg")</f>
        <v/>
      </c>
      <c r="G780" t="s"/>
      <c r="H780" t="s"/>
      <c r="I780" t="s"/>
      <c r="J780" t="n">
        <v>-0.5236</v>
      </c>
      <c r="K780" t="n">
        <v>0.275</v>
      </c>
      <c r="L780" t="n">
        <v>0.621</v>
      </c>
      <c r="M780" t="n">
        <v>0.105</v>
      </c>
    </row>
    <row r="781" spans="1:13">
      <c r="A781" s="1">
        <f>HYPERLINK("http://www.twitter.com/NathanBLawrence/status/862132506291818496", "862132506291818496")</f>
        <v/>
      </c>
      <c r="B781" s="2" t="n">
        <v>42865.10394675926</v>
      </c>
      <c r="C781" t="n">
        <v>0</v>
      </c>
      <c r="D781" t="n">
        <v>15</v>
      </c>
      <c r="E781" t="s">
        <v>787</v>
      </c>
      <c r="F781" t="s"/>
      <c r="G781" t="s"/>
      <c r="H781" t="s"/>
      <c r="I781" t="s"/>
      <c r="J781" t="n">
        <v>-0.2211</v>
      </c>
      <c r="K781" t="n">
        <v>0.143</v>
      </c>
      <c r="L781" t="n">
        <v>0.757</v>
      </c>
      <c r="M781" t="n">
        <v>0.099</v>
      </c>
    </row>
    <row r="782" spans="1:13">
      <c r="A782" s="1">
        <f>HYPERLINK("http://www.twitter.com/NathanBLawrence/status/862131433120333824", "862131433120333824")</f>
        <v/>
      </c>
      <c r="B782" s="2" t="n">
        <v>42865.1009837963</v>
      </c>
      <c r="C782" t="n">
        <v>0</v>
      </c>
      <c r="D782" t="n">
        <v>46</v>
      </c>
      <c r="E782" t="s">
        <v>788</v>
      </c>
      <c r="F782">
        <f>HYPERLINK("http://pbs.twimg.com/media/C_WwbQYV0AE1SVD.jpg", "http://pbs.twimg.com/media/C_WwbQYV0AE1SVD.jpg")</f>
        <v/>
      </c>
      <c r="G782" t="s"/>
      <c r="H782" t="s"/>
      <c r="I782" t="s"/>
      <c r="J782" t="n">
        <v>-0.802</v>
      </c>
      <c r="K782" t="n">
        <v>0.265</v>
      </c>
      <c r="L782" t="n">
        <v>0.735</v>
      </c>
      <c r="M782" t="n">
        <v>0</v>
      </c>
    </row>
    <row r="783" spans="1:13">
      <c r="A783" s="1">
        <f>HYPERLINK("http://www.twitter.com/NathanBLawrence/status/862121067212664833", "862121067212664833")</f>
        <v/>
      </c>
      <c r="B783" s="2" t="n">
        <v>42865.07238425926</v>
      </c>
      <c r="C783" t="n">
        <v>0</v>
      </c>
      <c r="D783" t="n">
        <v>15</v>
      </c>
      <c r="E783" t="s">
        <v>789</v>
      </c>
      <c r="F783" t="s"/>
      <c r="G783" t="s"/>
      <c r="H783" t="s"/>
      <c r="I783" t="s"/>
      <c r="J783" t="n">
        <v>-0.7034</v>
      </c>
      <c r="K783" t="n">
        <v>0.232</v>
      </c>
      <c r="L783" t="n">
        <v>0.768</v>
      </c>
      <c r="M783" t="n">
        <v>0</v>
      </c>
    </row>
    <row r="784" spans="1:13">
      <c r="A784" s="1">
        <f>HYPERLINK("http://www.twitter.com/NathanBLawrence/status/862119896439762946", "862119896439762946")</f>
        <v/>
      </c>
      <c r="B784" s="2" t="n">
        <v>42865.06915509259</v>
      </c>
      <c r="C784" t="n">
        <v>0</v>
      </c>
      <c r="D784" t="n">
        <v>633</v>
      </c>
      <c r="E784" t="s">
        <v>790</v>
      </c>
      <c r="F784" t="s"/>
      <c r="G784" t="s"/>
      <c r="H784" t="s"/>
      <c r="I784" t="s"/>
      <c r="J784" t="n">
        <v>-0.5362</v>
      </c>
      <c r="K784" t="n">
        <v>0.136</v>
      </c>
      <c r="L784" t="n">
        <v>0.864</v>
      </c>
      <c r="M784" t="n">
        <v>0</v>
      </c>
    </row>
    <row r="785" spans="1:13">
      <c r="A785" s="1">
        <f>HYPERLINK("http://www.twitter.com/NathanBLawrence/status/862112416032858112", "862112416032858112")</f>
        <v/>
      </c>
      <c r="B785" s="2" t="n">
        <v>42865.04850694445</v>
      </c>
      <c r="C785" t="n">
        <v>0</v>
      </c>
      <c r="D785" t="n">
        <v>1611</v>
      </c>
      <c r="E785" t="s">
        <v>791</v>
      </c>
      <c r="F785" t="s"/>
      <c r="G785" t="s"/>
      <c r="H785" t="s"/>
      <c r="I785" t="s"/>
      <c r="J785" t="n">
        <v>-0.5574</v>
      </c>
      <c r="K785" t="n">
        <v>0.159</v>
      </c>
      <c r="L785" t="n">
        <v>0.841</v>
      </c>
      <c r="M785" t="n">
        <v>0</v>
      </c>
    </row>
    <row r="786" spans="1:13">
      <c r="A786" s="1">
        <f>HYPERLINK("http://www.twitter.com/NathanBLawrence/status/862110303907192836", "862110303907192836")</f>
        <v/>
      </c>
      <c r="B786" s="2" t="n">
        <v>42865.04268518519</v>
      </c>
      <c r="C786" t="n">
        <v>0</v>
      </c>
      <c r="D786" t="n">
        <v>1543</v>
      </c>
      <c r="E786" t="s">
        <v>792</v>
      </c>
      <c r="F786" t="s"/>
      <c r="G786" t="s"/>
      <c r="H786" t="s"/>
      <c r="I786" t="s"/>
      <c r="J786" t="n">
        <v>0</v>
      </c>
      <c r="K786" t="n">
        <v>0</v>
      </c>
      <c r="L786" t="n">
        <v>1</v>
      </c>
      <c r="M786" t="n">
        <v>0</v>
      </c>
    </row>
    <row r="787" spans="1:13">
      <c r="A787" s="1">
        <f>HYPERLINK("http://www.twitter.com/NathanBLawrence/status/862107969558851584", "862107969558851584")</f>
        <v/>
      </c>
      <c r="B787" s="2" t="n">
        <v>42865.03623842593</v>
      </c>
      <c r="C787" t="n">
        <v>0</v>
      </c>
      <c r="D787" t="n">
        <v>3239</v>
      </c>
      <c r="E787" t="s">
        <v>793</v>
      </c>
      <c r="F787" t="s"/>
      <c r="G787" t="s"/>
      <c r="H787" t="s"/>
      <c r="I787" t="s"/>
      <c r="J787" t="n">
        <v>-0.2023</v>
      </c>
      <c r="K787" t="n">
        <v>0.179</v>
      </c>
      <c r="L787" t="n">
        <v>0.714</v>
      </c>
      <c r="M787" t="n">
        <v>0.107</v>
      </c>
    </row>
    <row r="788" spans="1:13">
      <c r="A788" s="1">
        <f>HYPERLINK("http://www.twitter.com/NathanBLawrence/status/860209267210670080", "860209267210670080")</f>
        <v/>
      </c>
      <c r="B788" s="2" t="n">
        <v>42859.79681712963</v>
      </c>
      <c r="C788" t="n">
        <v>0</v>
      </c>
      <c r="D788" t="n">
        <v>429</v>
      </c>
      <c r="E788" t="s">
        <v>794</v>
      </c>
      <c r="F788" t="s"/>
      <c r="G788" t="s"/>
      <c r="H788" t="s"/>
      <c r="I788" t="s"/>
      <c r="J788" t="n">
        <v>-0.3182</v>
      </c>
      <c r="K788" t="n">
        <v>0.113</v>
      </c>
      <c r="L788" t="n">
        <v>0.887</v>
      </c>
      <c r="M788" t="n">
        <v>0</v>
      </c>
    </row>
    <row r="789" spans="1:13">
      <c r="A789" s="1">
        <f>HYPERLINK("http://www.twitter.com/NathanBLawrence/status/859603510681358340", "859603510681358340")</f>
        <v/>
      </c>
      <c r="B789" s="2" t="n">
        <v>42858.12525462963</v>
      </c>
      <c r="C789" t="n">
        <v>0</v>
      </c>
      <c r="D789" t="n">
        <v>1</v>
      </c>
      <c r="E789" t="s">
        <v>795</v>
      </c>
      <c r="F789" t="s"/>
      <c r="G789" t="s"/>
      <c r="H789" t="s"/>
      <c r="I789" t="s"/>
      <c r="J789" t="n">
        <v>-0.6486</v>
      </c>
      <c r="K789" t="n">
        <v>0.301</v>
      </c>
      <c r="L789" t="n">
        <v>0.699</v>
      </c>
      <c r="M789" t="n">
        <v>0</v>
      </c>
    </row>
    <row r="790" spans="1:13">
      <c r="A790" s="1">
        <f>HYPERLINK("http://www.twitter.com/NathanBLawrence/status/857728715438084098", "857728715438084098")</f>
        <v/>
      </c>
      <c r="B790" s="2" t="n">
        <v>42852.95180555555</v>
      </c>
      <c r="C790" t="n">
        <v>0</v>
      </c>
      <c r="D790" t="n">
        <v>132</v>
      </c>
      <c r="E790" t="s">
        <v>796</v>
      </c>
      <c r="F790">
        <f>HYPERLINK("http://pbs.twimg.com/media/C-c36uEXsAATnhc.jpg", "http://pbs.twimg.com/media/C-c36uEXsAATnhc.jpg")</f>
        <v/>
      </c>
      <c r="G790" t="s"/>
      <c r="H790" t="s"/>
      <c r="I790" t="s"/>
      <c r="J790" t="n">
        <v>-0.5574</v>
      </c>
      <c r="K790" t="n">
        <v>0.217</v>
      </c>
      <c r="L790" t="n">
        <v>0.783</v>
      </c>
      <c r="M790" t="n">
        <v>0</v>
      </c>
    </row>
    <row r="791" spans="1:13">
      <c r="A791" s="1">
        <f>HYPERLINK("http://www.twitter.com/NathanBLawrence/status/857638959618424832", "857638959618424832")</f>
        <v/>
      </c>
      <c r="B791" s="2" t="n">
        <v>42852.70412037037</v>
      </c>
      <c r="C791" t="n">
        <v>0</v>
      </c>
      <c r="D791" t="n">
        <v>53</v>
      </c>
      <c r="E791" t="s">
        <v>797</v>
      </c>
      <c r="F791" t="s"/>
      <c r="G791" t="s"/>
      <c r="H791" t="s"/>
      <c r="I791" t="s"/>
      <c r="J791" t="n">
        <v>0.7269</v>
      </c>
      <c r="K791" t="n">
        <v>0</v>
      </c>
      <c r="L791" t="n">
        <v>0.747</v>
      </c>
      <c r="M791" t="n">
        <v>0.253</v>
      </c>
    </row>
    <row r="792" spans="1:13">
      <c r="A792" s="1">
        <f>HYPERLINK("http://www.twitter.com/NathanBLawrence/status/857638219013402626", "857638219013402626")</f>
        <v/>
      </c>
      <c r="B792" s="2" t="n">
        <v>42852.70208333333</v>
      </c>
      <c r="C792" t="n">
        <v>0</v>
      </c>
      <c r="D792" t="n">
        <v>4818</v>
      </c>
      <c r="E792" t="s">
        <v>798</v>
      </c>
      <c r="F792" t="s"/>
      <c r="G792" t="s"/>
      <c r="H792" t="s"/>
      <c r="I792" t="s"/>
      <c r="J792" t="n">
        <v>0.6369</v>
      </c>
      <c r="K792" t="n">
        <v>0</v>
      </c>
      <c r="L792" t="n">
        <v>0.826</v>
      </c>
      <c r="M792" t="n">
        <v>0.174</v>
      </c>
    </row>
    <row r="793" spans="1:13">
      <c r="A793" s="1">
        <f>HYPERLINK("http://www.twitter.com/NathanBLawrence/status/857637833498136576", "857637833498136576")</f>
        <v/>
      </c>
      <c r="B793" s="2" t="n">
        <v>42852.70101851852</v>
      </c>
      <c r="C793" t="n">
        <v>0</v>
      </c>
      <c r="D793" t="n">
        <v>633</v>
      </c>
      <c r="E793" t="s">
        <v>799</v>
      </c>
      <c r="F793" t="s"/>
      <c r="G793" t="s"/>
      <c r="H793" t="s"/>
      <c r="I793" t="s"/>
      <c r="J793" t="n">
        <v>-0.2037</v>
      </c>
      <c r="K793" t="n">
        <v>0.144</v>
      </c>
      <c r="L793" t="n">
        <v>0.74</v>
      </c>
      <c r="M793" t="n">
        <v>0.116</v>
      </c>
    </row>
    <row r="794" spans="1:13">
      <c r="A794" s="1">
        <f>HYPERLINK("http://www.twitter.com/NathanBLawrence/status/857637526303100928", "857637526303100928")</f>
        <v/>
      </c>
      <c r="B794" s="2" t="n">
        <v>42852.70017361111</v>
      </c>
      <c r="C794" t="n">
        <v>0</v>
      </c>
      <c r="D794" t="n">
        <v>281</v>
      </c>
      <c r="E794" t="s">
        <v>800</v>
      </c>
      <c r="F794" t="s"/>
      <c r="G794" t="s"/>
      <c r="H794" t="s"/>
      <c r="I794" t="s"/>
      <c r="J794" t="n">
        <v>0.1531</v>
      </c>
      <c r="K794" t="n">
        <v>0.126</v>
      </c>
      <c r="L794" t="n">
        <v>0.6870000000000001</v>
      </c>
      <c r="M794" t="n">
        <v>0.187</v>
      </c>
    </row>
    <row r="795" spans="1:13">
      <c r="A795" s="1">
        <f>HYPERLINK("http://www.twitter.com/NathanBLawrence/status/857636884931018758", "857636884931018758")</f>
        <v/>
      </c>
      <c r="B795" s="2" t="n">
        <v>42852.69840277778</v>
      </c>
      <c r="C795" t="n">
        <v>0</v>
      </c>
      <c r="D795" t="n">
        <v>14343</v>
      </c>
      <c r="E795" t="s">
        <v>801</v>
      </c>
      <c r="F795" t="s"/>
      <c r="G795" t="s"/>
      <c r="H795" t="s"/>
      <c r="I795" t="s"/>
      <c r="J795" t="n">
        <v>-0.4973</v>
      </c>
      <c r="K795" t="n">
        <v>0.167</v>
      </c>
      <c r="L795" t="n">
        <v>0.833</v>
      </c>
      <c r="M795" t="n">
        <v>0</v>
      </c>
    </row>
    <row r="796" spans="1:13">
      <c r="A796" s="1">
        <f>HYPERLINK("http://www.twitter.com/NathanBLawrence/status/857636798687617024", "857636798687617024")</f>
        <v/>
      </c>
      <c r="B796" s="2" t="n">
        <v>42852.69815972223</v>
      </c>
      <c r="C796" t="n">
        <v>0</v>
      </c>
      <c r="D796" t="n">
        <v>50</v>
      </c>
      <c r="E796" t="s">
        <v>802</v>
      </c>
      <c r="F796" t="s"/>
      <c r="G796" t="s"/>
      <c r="H796" t="s"/>
      <c r="I796" t="s"/>
      <c r="J796" t="n">
        <v>-0.7378</v>
      </c>
      <c r="K796" t="n">
        <v>0.324</v>
      </c>
      <c r="L796" t="n">
        <v>0.676</v>
      </c>
      <c r="M796" t="n">
        <v>0</v>
      </c>
    </row>
    <row r="797" spans="1:13">
      <c r="A797" s="1">
        <f>HYPERLINK("http://www.twitter.com/NathanBLawrence/status/856912096658903040", "856912096658903040")</f>
        <v/>
      </c>
      <c r="B797" s="2" t="n">
        <v>42850.69836805556</v>
      </c>
      <c r="C797" t="n">
        <v>0</v>
      </c>
      <c r="D797" t="n">
        <v>13</v>
      </c>
      <c r="E797" t="s">
        <v>803</v>
      </c>
      <c r="F797" t="s"/>
      <c r="G797" t="s"/>
      <c r="H797" t="s"/>
      <c r="I797" t="s"/>
      <c r="J797" t="n">
        <v>-0.5574</v>
      </c>
      <c r="K797" t="n">
        <v>0.141</v>
      </c>
      <c r="L797" t="n">
        <v>0.859</v>
      </c>
      <c r="M797" t="n">
        <v>0</v>
      </c>
    </row>
    <row r="798" spans="1:13">
      <c r="A798" s="1">
        <f>HYPERLINK("http://www.twitter.com/NathanBLawrence/status/856911891150589954", "856911891150589954")</f>
        <v/>
      </c>
      <c r="B798" s="2" t="n">
        <v>42850.69780092593</v>
      </c>
      <c r="C798" t="n">
        <v>0</v>
      </c>
      <c r="D798" t="n">
        <v>1283</v>
      </c>
      <c r="E798" t="s">
        <v>804</v>
      </c>
      <c r="F798">
        <f>HYPERLINK("http://pbs.twimg.com/media/C-M29qkUQAAsKax.jpg", "http://pbs.twimg.com/media/C-M29qkUQAAsKax.jpg")</f>
        <v/>
      </c>
      <c r="G798" t="s"/>
      <c r="H798" t="s"/>
      <c r="I798" t="s"/>
      <c r="J798" t="n">
        <v>-0.3818</v>
      </c>
      <c r="K798" t="n">
        <v>0.194</v>
      </c>
      <c r="L798" t="n">
        <v>0.709</v>
      </c>
      <c r="M798" t="n">
        <v>0.097</v>
      </c>
    </row>
    <row r="799" spans="1:13">
      <c r="A799" s="1">
        <f>HYPERLINK("http://www.twitter.com/NathanBLawrence/status/856207181095587840", "856207181095587840")</f>
        <v/>
      </c>
      <c r="B799" s="2" t="n">
        <v>42848.7531712963</v>
      </c>
      <c r="C799" t="n">
        <v>0</v>
      </c>
      <c r="D799" t="n">
        <v>1657</v>
      </c>
      <c r="E799" t="s">
        <v>805</v>
      </c>
      <c r="F799">
        <f>HYPERLINK("http://pbs.twimg.com/media/C-G6CsLXUAEHwLO.jpg", "http://pbs.twimg.com/media/C-G6CsLXUAEHwLO.jpg")</f>
        <v/>
      </c>
      <c r="G799" t="s"/>
      <c r="H799" t="s"/>
      <c r="I799" t="s"/>
      <c r="J799" t="n">
        <v>-0.6597</v>
      </c>
      <c r="K799" t="n">
        <v>0.196</v>
      </c>
      <c r="L799" t="n">
        <v>0.804</v>
      </c>
      <c r="M799" t="n">
        <v>0</v>
      </c>
    </row>
    <row r="800" spans="1:13">
      <c r="A800" s="1">
        <f>HYPERLINK("http://www.twitter.com/NathanBLawrence/status/855970015732002819", "855970015732002819")</f>
        <v/>
      </c>
      <c r="B800" s="2" t="n">
        <v>42848.09871527777</v>
      </c>
      <c r="C800" t="n">
        <v>0</v>
      </c>
      <c r="D800" t="n">
        <v>171</v>
      </c>
      <c r="E800" t="s">
        <v>806</v>
      </c>
      <c r="F800" t="s"/>
      <c r="G800" t="s"/>
      <c r="H800" t="s"/>
      <c r="I800" t="s"/>
      <c r="J800" t="n">
        <v>0.1531</v>
      </c>
      <c r="K800" t="n">
        <v>0</v>
      </c>
      <c r="L800" t="n">
        <v>0.9350000000000001</v>
      </c>
      <c r="M800" t="n">
        <v>0.065</v>
      </c>
    </row>
    <row r="801" spans="1:13">
      <c r="A801" s="1">
        <f>HYPERLINK("http://www.twitter.com/NathanBLawrence/status/855382352633188352", "855382352633188352")</f>
        <v/>
      </c>
      <c r="B801" s="2" t="n">
        <v>42846.47707175926</v>
      </c>
      <c r="C801" t="n">
        <v>0</v>
      </c>
      <c r="D801" t="n">
        <v>2429</v>
      </c>
      <c r="E801" t="s">
        <v>807</v>
      </c>
      <c r="F801">
        <f>HYPERLINK("http://pbs.twimg.com/media/C97G5qoUQAAX3S9.jpg", "http://pbs.twimg.com/media/C97G5qoUQAAX3S9.jpg")</f>
        <v/>
      </c>
      <c r="G801" t="s"/>
      <c r="H801" t="s"/>
      <c r="I801" t="s"/>
      <c r="J801" t="n">
        <v>0.3612</v>
      </c>
      <c r="K801" t="n">
        <v>0</v>
      </c>
      <c r="L801" t="n">
        <v>0.884</v>
      </c>
      <c r="M801" t="n">
        <v>0.116</v>
      </c>
    </row>
    <row r="802" spans="1:13">
      <c r="A802" s="1">
        <f>HYPERLINK("http://www.twitter.com/NathanBLawrence/status/855341474925477888", "855341474925477888")</f>
        <v/>
      </c>
      <c r="B802" s="2" t="n">
        <v>42846.36427083334</v>
      </c>
      <c r="C802" t="n">
        <v>0</v>
      </c>
      <c r="D802" t="n">
        <v>421</v>
      </c>
      <c r="E802" t="s">
        <v>808</v>
      </c>
      <c r="F802" t="s"/>
      <c r="G802" t="s"/>
      <c r="H802" t="s"/>
      <c r="I802" t="s"/>
      <c r="J802" t="n">
        <v>-0.7334000000000001</v>
      </c>
      <c r="K802" t="n">
        <v>0.224</v>
      </c>
      <c r="L802" t="n">
        <v>0.734</v>
      </c>
      <c r="M802" t="n">
        <v>0.043</v>
      </c>
    </row>
    <row r="803" spans="1:13">
      <c r="A803" s="1">
        <f>HYPERLINK("http://www.twitter.com/NathanBLawrence/status/855328495165071369", "855328495165071369")</f>
        <v/>
      </c>
      <c r="B803" s="2" t="n">
        <v>42846.32846064815</v>
      </c>
      <c r="C803" t="n">
        <v>0</v>
      </c>
      <c r="D803" t="n">
        <v>1532</v>
      </c>
      <c r="E803" t="s">
        <v>809</v>
      </c>
      <c r="F803" t="s"/>
      <c r="G803" t="s"/>
      <c r="H803" t="s"/>
      <c r="I803" t="s"/>
      <c r="J803" t="n">
        <v>-0.3103</v>
      </c>
      <c r="K803" t="n">
        <v>0.17</v>
      </c>
      <c r="L803" t="n">
        <v>0.75</v>
      </c>
      <c r="M803" t="n">
        <v>0.08</v>
      </c>
    </row>
    <row r="804" spans="1:13">
      <c r="A804" s="1">
        <f>HYPERLINK("http://www.twitter.com/NathanBLawrence/status/855328433538084869", "855328433538084869")</f>
        <v/>
      </c>
      <c r="B804" s="2" t="n">
        <v>42846.32828703704</v>
      </c>
      <c r="C804" t="n">
        <v>0</v>
      </c>
      <c r="D804" t="n">
        <v>7252</v>
      </c>
      <c r="E804" t="s">
        <v>810</v>
      </c>
      <c r="F804" t="s"/>
      <c r="G804" t="s"/>
      <c r="H804" t="s"/>
      <c r="I804" t="s"/>
      <c r="J804" t="n">
        <v>-0.34</v>
      </c>
      <c r="K804" t="n">
        <v>0.098</v>
      </c>
      <c r="L804" t="n">
        <v>0.902</v>
      </c>
      <c r="M804" t="n">
        <v>0</v>
      </c>
    </row>
    <row r="805" spans="1:13">
      <c r="A805" s="1">
        <f>HYPERLINK("http://www.twitter.com/NathanBLawrence/status/855328286120869889", "855328286120869889")</f>
        <v/>
      </c>
      <c r="B805" s="2" t="n">
        <v>42846.32788194445</v>
      </c>
      <c r="C805" t="n">
        <v>0</v>
      </c>
      <c r="D805" t="n">
        <v>3222</v>
      </c>
      <c r="E805" t="s">
        <v>811</v>
      </c>
      <c r="F805" t="s"/>
      <c r="G805" t="s"/>
      <c r="H805" t="s"/>
      <c r="I805" t="s"/>
      <c r="J805" t="n">
        <v>-0.5859</v>
      </c>
      <c r="K805" t="n">
        <v>0.22</v>
      </c>
      <c r="L805" t="n">
        <v>0.78</v>
      </c>
      <c r="M805" t="n">
        <v>0</v>
      </c>
    </row>
    <row r="806" spans="1:13">
      <c r="A806" s="1">
        <f>HYPERLINK("http://www.twitter.com/NathanBLawrence/status/855326633787498502", "855326633787498502")</f>
        <v/>
      </c>
      <c r="B806" s="2" t="n">
        <v>42846.32332175926</v>
      </c>
      <c r="C806" t="n">
        <v>0</v>
      </c>
      <c r="D806" t="n">
        <v>26</v>
      </c>
      <c r="E806" t="s">
        <v>812</v>
      </c>
      <c r="F806" t="s"/>
      <c r="G806" t="s"/>
      <c r="H806" t="s"/>
      <c r="I806" t="s"/>
      <c r="J806" t="n">
        <v>-0.5859</v>
      </c>
      <c r="K806" t="n">
        <v>0.255</v>
      </c>
      <c r="L806" t="n">
        <v>0.745</v>
      </c>
      <c r="M806" t="n">
        <v>0</v>
      </c>
    </row>
    <row r="807" spans="1:13">
      <c r="A807" s="1">
        <f>HYPERLINK("http://www.twitter.com/NathanBLawrence/status/855164984808132610", "855164984808132610")</f>
        <v/>
      </c>
      <c r="B807" s="2" t="n">
        <v>42845.87725694444</v>
      </c>
      <c r="C807" t="n">
        <v>0</v>
      </c>
      <c r="D807" t="n">
        <v>233</v>
      </c>
      <c r="E807" t="s">
        <v>813</v>
      </c>
      <c r="F807" t="s"/>
      <c r="G807" t="s"/>
      <c r="H807" t="s"/>
      <c r="I807" t="s"/>
      <c r="J807" t="n">
        <v>0</v>
      </c>
      <c r="K807" t="n">
        <v>0</v>
      </c>
      <c r="L807" t="n">
        <v>1</v>
      </c>
      <c r="M807" t="n">
        <v>0</v>
      </c>
    </row>
    <row r="808" spans="1:13">
      <c r="A808" s="1">
        <f>HYPERLINK("http://www.twitter.com/NathanBLawrence/status/855099831324483584", "855099831324483584")</f>
        <v/>
      </c>
      <c r="B808" s="2" t="n">
        <v>42845.69746527778</v>
      </c>
      <c r="C808" t="n">
        <v>0</v>
      </c>
      <c r="D808" t="n">
        <v>6407</v>
      </c>
      <c r="E808" t="s">
        <v>814</v>
      </c>
      <c r="F808">
        <f>HYPERLINK("http://pbs.twimg.com/media/C93qVvzXYAABEak.jpg", "http://pbs.twimg.com/media/C93qVvzXYAABEak.jpg")</f>
        <v/>
      </c>
      <c r="G808" t="s"/>
      <c r="H808" t="s"/>
      <c r="I808" t="s"/>
      <c r="J808" t="n">
        <v>-0.4939</v>
      </c>
      <c r="K808" t="n">
        <v>0.259</v>
      </c>
      <c r="L808" t="n">
        <v>0.741</v>
      </c>
      <c r="M808" t="n">
        <v>0</v>
      </c>
    </row>
    <row r="809" spans="1:13">
      <c r="A809" s="1">
        <f>HYPERLINK("http://www.twitter.com/NathanBLawrence/status/855061548892639232", "855061548892639232")</f>
        <v/>
      </c>
      <c r="B809" s="2" t="n">
        <v>42845.59182870371</v>
      </c>
      <c r="C809" t="n">
        <v>0</v>
      </c>
      <c r="D809" t="n">
        <v>236</v>
      </c>
      <c r="E809" t="s">
        <v>815</v>
      </c>
      <c r="F809">
        <f>HYPERLINK("http://pbs.twimg.com/media/C91GGdNUwAAZs3T.jpg", "http://pbs.twimg.com/media/C91GGdNUwAAZs3T.jpg")</f>
        <v/>
      </c>
      <c r="G809" t="s"/>
      <c r="H809" t="s"/>
      <c r="I809" t="s"/>
      <c r="J809" t="n">
        <v>0.4019</v>
      </c>
      <c r="K809" t="n">
        <v>0</v>
      </c>
      <c r="L809" t="n">
        <v>0.847</v>
      </c>
      <c r="M809" t="n">
        <v>0.153</v>
      </c>
    </row>
    <row r="810" spans="1:13">
      <c r="A810" s="1">
        <f>HYPERLINK("http://www.twitter.com/NathanBLawrence/status/855057029538492416", "855057029538492416")</f>
        <v/>
      </c>
      <c r="B810" s="2" t="n">
        <v>42845.57935185185</v>
      </c>
      <c r="C810" t="n">
        <v>0</v>
      </c>
      <c r="D810" t="n">
        <v>1990</v>
      </c>
      <c r="E810" t="s">
        <v>816</v>
      </c>
      <c r="F810" t="s"/>
      <c r="G810" t="s"/>
      <c r="H810" t="s"/>
      <c r="I810" t="s"/>
      <c r="J810" t="n">
        <v>-0.6369</v>
      </c>
      <c r="K810" t="n">
        <v>0.244</v>
      </c>
      <c r="L810" t="n">
        <v>0.756</v>
      </c>
      <c r="M810" t="n">
        <v>0</v>
      </c>
    </row>
    <row r="811" spans="1:13">
      <c r="A811" s="1">
        <f>HYPERLINK("http://www.twitter.com/NathanBLawrence/status/854897353333116929", "854897353333116929")</f>
        <v/>
      </c>
      <c r="B811" s="2" t="n">
        <v>42845.13872685185</v>
      </c>
      <c r="C811" t="n">
        <v>0</v>
      </c>
      <c r="D811" t="n">
        <v>2</v>
      </c>
      <c r="E811" t="s">
        <v>817</v>
      </c>
      <c r="F811">
        <f>HYPERLINK("http://pbs.twimg.com/media/C90dlTQUMAEEtcP.jpg", "http://pbs.twimg.com/media/C90dlTQUMAEEtcP.jpg")</f>
        <v/>
      </c>
      <c r="G811" t="s"/>
      <c r="H811" t="s"/>
      <c r="I811" t="s"/>
      <c r="J811" t="n">
        <v>0</v>
      </c>
      <c r="K811" t="n">
        <v>0</v>
      </c>
      <c r="L811" t="n">
        <v>1</v>
      </c>
      <c r="M811" t="n">
        <v>0</v>
      </c>
    </row>
    <row r="812" spans="1:13">
      <c r="A812" s="1">
        <f>HYPERLINK("http://www.twitter.com/NathanBLawrence/status/854538008837709824", "854538008837709824")</f>
        <v/>
      </c>
      <c r="B812" s="2" t="n">
        <v>42844.14712962963</v>
      </c>
      <c r="C812" t="n">
        <v>0</v>
      </c>
      <c r="D812" t="n">
        <v>1287</v>
      </c>
      <c r="E812" t="s">
        <v>818</v>
      </c>
      <c r="F812" t="s"/>
      <c r="G812" t="s"/>
      <c r="H812" t="s"/>
      <c r="I812" t="s"/>
      <c r="J812" t="n">
        <v>0</v>
      </c>
      <c r="K812" t="n">
        <v>0</v>
      </c>
      <c r="L812" t="n">
        <v>1</v>
      </c>
      <c r="M812" t="n">
        <v>0</v>
      </c>
    </row>
    <row r="813" spans="1:13">
      <c r="A813" s="1">
        <f>HYPERLINK("http://www.twitter.com/NathanBLawrence/status/854497088570351620", "854497088570351620")</f>
        <v/>
      </c>
      <c r="B813" s="2" t="n">
        <v>42844.03421296296</v>
      </c>
      <c r="C813" t="n">
        <v>0</v>
      </c>
      <c r="D813" t="n">
        <v>655</v>
      </c>
      <c r="E813" t="s">
        <v>819</v>
      </c>
      <c r="F813" t="s"/>
      <c r="G813" t="s"/>
      <c r="H813" t="s"/>
      <c r="I813" t="s"/>
      <c r="J813" t="n">
        <v>0</v>
      </c>
      <c r="K813" t="n">
        <v>0</v>
      </c>
      <c r="L813" t="n">
        <v>1</v>
      </c>
      <c r="M813" t="n">
        <v>0</v>
      </c>
    </row>
    <row r="814" spans="1:13">
      <c r="A814" s="1">
        <f>HYPERLINK("http://www.twitter.com/NathanBLawrence/status/854440948918624256", "854440948918624256")</f>
        <v/>
      </c>
      <c r="B814" s="2" t="n">
        <v>42843.87929398148</v>
      </c>
      <c r="C814" t="n">
        <v>0</v>
      </c>
      <c r="D814" t="n">
        <v>2982</v>
      </c>
      <c r="E814" t="s">
        <v>820</v>
      </c>
      <c r="F814" t="s"/>
      <c r="G814" t="s"/>
      <c r="H814" t="s"/>
      <c r="I814" t="s"/>
      <c r="J814" t="n">
        <v>-0.8689</v>
      </c>
      <c r="K814" t="n">
        <v>0.395</v>
      </c>
      <c r="L814" t="n">
        <v>0.605</v>
      </c>
      <c r="M814" t="n">
        <v>0</v>
      </c>
    </row>
    <row r="815" spans="1:13">
      <c r="A815" s="1">
        <f>HYPERLINK("http://www.twitter.com/NathanBLawrence/status/854092420031672320", "854092420031672320")</f>
        <v/>
      </c>
      <c r="B815" s="2" t="n">
        <v>42842.91753472222</v>
      </c>
      <c r="C815" t="n">
        <v>0</v>
      </c>
      <c r="D815" t="n">
        <v>5188</v>
      </c>
      <c r="E815" t="s">
        <v>821</v>
      </c>
      <c r="F815">
        <f>HYPERLINK("http://pbs.twimg.com/media/C9mQD1xUIAAuFGb.jpg", "http://pbs.twimg.com/media/C9mQD1xUIAAuFGb.jpg")</f>
        <v/>
      </c>
      <c r="G815" t="s"/>
      <c r="H815" t="s"/>
      <c r="I815" t="s"/>
      <c r="J815" t="n">
        <v>0.6597</v>
      </c>
      <c r="K815" t="n">
        <v>0</v>
      </c>
      <c r="L815" t="n">
        <v>0.625</v>
      </c>
      <c r="M815" t="n">
        <v>0.375</v>
      </c>
    </row>
    <row r="816" spans="1:13">
      <c r="A816" s="1">
        <f>HYPERLINK("http://www.twitter.com/NathanBLawrence/status/853893678863183872", "853893678863183872")</f>
        <v/>
      </c>
      <c r="B816" s="2" t="n">
        <v>42842.36912037037</v>
      </c>
      <c r="C816" t="n">
        <v>0</v>
      </c>
      <c r="D816" t="n">
        <v>82</v>
      </c>
      <c r="E816" t="s">
        <v>822</v>
      </c>
      <c r="F816" t="s"/>
      <c r="G816" t="s"/>
      <c r="H816" t="s"/>
      <c r="I816" t="s"/>
      <c r="J816" t="n">
        <v>0.4404</v>
      </c>
      <c r="K816" t="n">
        <v>0</v>
      </c>
      <c r="L816" t="n">
        <v>0.674</v>
      </c>
      <c r="M816" t="n">
        <v>0.326</v>
      </c>
    </row>
    <row r="817" spans="1:13">
      <c r="A817" s="1">
        <f>HYPERLINK("http://www.twitter.com/NathanBLawrence/status/853783289932414976", "853783289932414976")</f>
        <v/>
      </c>
      <c r="B817" s="2" t="n">
        <v>42842.06450231482</v>
      </c>
      <c r="C817" t="n">
        <v>0</v>
      </c>
      <c r="D817" t="n">
        <v>19</v>
      </c>
      <c r="E817" t="s">
        <v>823</v>
      </c>
      <c r="F817">
        <f>HYPERLINK("http://pbs.twimg.com/media/C9jlSitUAAAbM4e.jpg", "http://pbs.twimg.com/media/C9jlSitUAAAbM4e.jpg")</f>
        <v/>
      </c>
      <c r="G817" t="s"/>
      <c r="H817" t="s"/>
      <c r="I817" t="s"/>
      <c r="J817" t="n">
        <v>0.734</v>
      </c>
      <c r="K817" t="n">
        <v>0</v>
      </c>
      <c r="L817" t="n">
        <v>0.754</v>
      </c>
      <c r="M817" t="n">
        <v>0.246</v>
      </c>
    </row>
    <row r="818" spans="1:13">
      <c r="A818" s="1">
        <f>HYPERLINK("http://www.twitter.com/NathanBLawrence/status/853783275332136961", "853783275332136961")</f>
        <v/>
      </c>
      <c r="B818" s="2" t="n">
        <v>42842.06446759259</v>
      </c>
      <c r="C818" t="n">
        <v>0</v>
      </c>
      <c r="D818" t="n">
        <v>3</v>
      </c>
      <c r="E818" t="s">
        <v>824</v>
      </c>
      <c r="F818">
        <f>HYPERLINK("http://pbs.twimg.com/media/C9jAsosUQAAVwdX.jpg", "http://pbs.twimg.com/media/C9jAsosUQAAVwdX.jpg")</f>
        <v/>
      </c>
      <c r="G818" t="s"/>
      <c r="H818" t="s"/>
      <c r="I818" t="s"/>
      <c r="J818" t="n">
        <v>0</v>
      </c>
      <c r="K818" t="n">
        <v>0</v>
      </c>
      <c r="L818" t="n">
        <v>1</v>
      </c>
      <c r="M818" t="n">
        <v>0</v>
      </c>
    </row>
    <row r="819" spans="1:13">
      <c r="A819" s="1">
        <f>HYPERLINK("http://www.twitter.com/NathanBLawrence/status/853783109371875330", "853783109371875330")</f>
        <v/>
      </c>
      <c r="B819" s="2" t="n">
        <v>42842.06400462963</v>
      </c>
      <c r="C819" t="n">
        <v>0</v>
      </c>
      <c r="D819" t="n">
        <v>12</v>
      </c>
      <c r="E819" t="s">
        <v>825</v>
      </c>
      <c r="F819" t="s"/>
      <c r="G819" t="s"/>
      <c r="H819" t="s"/>
      <c r="I819" t="s"/>
      <c r="J819" t="n">
        <v>0.8268</v>
      </c>
      <c r="K819" t="n">
        <v>0</v>
      </c>
      <c r="L819" t="n">
        <v>0.51</v>
      </c>
      <c r="M819" t="n">
        <v>0.49</v>
      </c>
    </row>
    <row r="820" spans="1:13">
      <c r="A820" s="1">
        <f>HYPERLINK("http://www.twitter.com/NathanBLawrence/status/853684772488564737", "853684772488564737")</f>
        <v/>
      </c>
      <c r="B820" s="2" t="n">
        <v>42841.79265046296</v>
      </c>
      <c r="C820" t="n">
        <v>1</v>
      </c>
      <c r="D820" t="n">
        <v>0</v>
      </c>
      <c r="E820" t="s">
        <v>826</v>
      </c>
      <c r="F820" t="s"/>
      <c r="G820" t="s"/>
      <c r="H820" t="s"/>
      <c r="I820" t="s"/>
      <c r="J820" t="n">
        <v>0.3595</v>
      </c>
      <c r="K820" t="n">
        <v>0</v>
      </c>
      <c r="L820" t="n">
        <v>0.707</v>
      </c>
      <c r="M820" t="n">
        <v>0.293</v>
      </c>
    </row>
    <row r="821" spans="1:13">
      <c r="A821" s="1">
        <f>HYPERLINK("http://www.twitter.com/NathanBLawrence/status/853577147209969665", "853577147209969665")</f>
        <v/>
      </c>
      <c r="B821" s="2" t="n">
        <v>42841.49565972222</v>
      </c>
      <c r="C821" t="n">
        <v>0</v>
      </c>
      <c r="D821" t="n">
        <v>392</v>
      </c>
      <c r="E821" t="s">
        <v>827</v>
      </c>
      <c r="F821">
        <f>HYPERLINK("http://pbs.twimg.com/media/C9h-hUpVwAE1W2k.jpg", "http://pbs.twimg.com/media/C9h-hUpVwAE1W2k.jpg")</f>
        <v/>
      </c>
      <c r="G821" t="s"/>
      <c r="H821" t="s"/>
      <c r="I821" t="s"/>
      <c r="J821" t="n">
        <v>0.7003</v>
      </c>
      <c r="K821" t="n">
        <v>0</v>
      </c>
      <c r="L821" t="n">
        <v>0.58</v>
      </c>
      <c r="M821" t="n">
        <v>0.42</v>
      </c>
    </row>
    <row r="822" spans="1:13">
      <c r="A822" s="1">
        <f>HYPERLINK("http://www.twitter.com/NathanBLawrence/status/853442399468748800", "853442399468748800")</f>
        <v/>
      </c>
      <c r="B822" s="2" t="n">
        <v>42841.12381944444</v>
      </c>
      <c r="C822" t="n">
        <v>0</v>
      </c>
      <c r="D822" t="n">
        <v>9420</v>
      </c>
      <c r="E822" t="s">
        <v>828</v>
      </c>
      <c r="F822">
        <f>HYPERLINK("https://video.twimg.com/ext_tw_video/853370041617666048/pu/vid/720x720/nTUlBJqih5mDrSKP.mp4", "https://video.twimg.com/ext_tw_video/853370041617666048/pu/vid/720x720/nTUlBJqih5mDrSKP.mp4")</f>
        <v/>
      </c>
      <c r="G822" t="s"/>
      <c r="H822" t="s"/>
      <c r="I822" t="s"/>
      <c r="J822" t="n">
        <v>0</v>
      </c>
      <c r="K822" t="n">
        <v>0</v>
      </c>
      <c r="L822" t="n">
        <v>1</v>
      </c>
      <c r="M822" t="n">
        <v>0</v>
      </c>
    </row>
    <row r="823" spans="1:13">
      <c r="A823" s="1">
        <f>HYPERLINK("http://www.twitter.com/NathanBLawrence/status/853401888909402112", "853401888909402112")</f>
        <v/>
      </c>
      <c r="B823" s="2" t="n">
        <v>42841.01203703704</v>
      </c>
      <c r="C823" t="n">
        <v>0</v>
      </c>
      <c r="D823" t="n">
        <v>204</v>
      </c>
      <c r="E823" t="s">
        <v>829</v>
      </c>
      <c r="F823">
        <f>HYPERLINK("http://pbs.twimg.com/media/C9ffWT8VwAAr_7Y.jpg", "http://pbs.twimg.com/media/C9ffWT8VwAAr_7Y.jpg")</f>
        <v/>
      </c>
      <c r="G823" t="s"/>
      <c r="H823" t="s"/>
      <c r="I823" t="s"/>
      <c r="J823" t="n">
        <v>0.128</v>
      </c>
      <c r="K823" t="n">
        <v>0.162</v>
      </c>
      <c r="L823" t="n">
        <v>0.655</v>
      </c>
      <c r="M823" t="n">
        <v>0.183</v>
      </c>
    </row>
    <row r="824" spans="1:13">
      <c r="A824" s="1">
        <f>HYPERLINK("http://www.twitter.com/NathanBLawrence/status/853400694560370690", "853400694560370690")</f>
        <v/>
      </c>
      <c r="B824" s="2" t="n">
        <v>42841.00873842592</v>
      </c>
      <c r="C824" t="n">
        <v>0</v>
      </c>
      <c r="D824" t="n">
        <v>4101</v>
      </c>
      <c r="E824" t="s">
        <v>830</v>
      </c>
      <c r="F824" t="s"/>
      <c r="G824" t="s"/>
      <c r="H824" t="s"/>
      <c r="I824" t="s"/>
      <c r="J824" t="n">
        <v>-0.5574</v>
      </c>
      <c r="K824" t="n">
        <v>0.227</v>
      </c>
      <c r="L824" t="n">
        <v>0.6820000000000001</v>
      </c>
      <c r="M824" t="n">
        <v>0.091</v>
      </c>
    </row>
    <row r="825" spans="1:13">
      <c r="A825" s="1">
        <f>HYPERLINK("http://www.twitter.com/NathanBLawrence/status/853399435707068416", "853399435707068416")</f>
        <v/>
      </c>
      <c r="B825" s="2" t="n">
        <v>42841.00526620371</v>
      </c>
      <c r="C825" t="n">
        <v>0</v>
      </c>
      <c r="D825" t="n">
        <v>1933</v>
      </c>
      <c r="E825" t="s">
        <v>831</v>
      </c>
      <c r="F825" t="s"/>
      <c r="G825" t="s"/>
      <c r="H825" t="s"/>
      <c r="I825" t="s"/>
      <c r="J825" t="n">
        <v>-0.8225</v>
      </c>
      <c r="K825" t="n">
        <v>0.275</v>
      </c>
      <c r="L825" t="n">
        <v>0.725</v>
      </c>
      <c r="M825" t="n">
        <v>0</v>
      </c>
    </row>
    <row r="826" spans="1:13">
      <c r="A826" s="1">
        <f>HYPERLINK("http://www.twitter.com/NathanBLawrence/status/853284569797324800", "853284569797324800")</f>
        <v/>
      </c>
      <c r="B826" s="2" t="n">
        <v>42840.68829861111</v>
      </c>
      <c r="C826" t="n">
        <v>0</v>
      </c>
      <c r="D826" t="n">
        <v>509</v>
      </c>
      <c r="E826" t="s">
        <v>832</v>
      </c>
      <c r="F826">
        <f>HYPERLINK("http://pbs.twimg.com/media/C9U_NkRXYAEixAt.jpg", "http://pbs.twimg.com/media/C9U_NkRXYAEixAt.jpg")</f>
        <v/>
      </c>
      <c r="G826" t="s"/>
      <c r="H826" t="s"/>
      <c r="I826" t="s"/>
      <c r="J826" t="n">
        <v>-0.25</v>
      </c>
      <c r="K826" t="n">
        <v>0.111</v>
      </c>
      <c r="L826" t="n">
        <v>0.889</v>
      </c>
      <c r="M826" t="n">
        <v>0</v>
      </c>
    </row>
    <row r="827" spans="1:13">
      <c r="A827" s="1">
        <f>HYPERLINK("http://www.twitter.com/NathanBLawrence/status/853012091392983040", "853012091392983040")</f>
        <v/>
      </c>
      <c r="B827" s="2" t="n">
        <v>42839.93640046296</v>
      </c>
      <c r="C827" t="n">
        <v>0</v>
      </c>
      <c r="D827" t="n">
        <v>1586</v>
      </c>
      <c r="E827" t="s">
        <v>833</v>
      </c>
      <c r="F827" t="s"/>
      <c r="G827" t="s"/>
      <c r="H827" t="s"/>
      <c r="I827" t="s"/>
      <c r="J827" t="n">
        <v>-0.296</v>
      </c>
      <c r="K827" t="n">
        <v>0.177</v>
      </c>
      <c r="L827" t="n">
        <v>0.731</v>
      </c>
      <c r="M827" t="n">
        <v>0.092</v>
      </c>
    </row>
    <row r="828" spans="1:13">
      <c r="A828" s="1">
        <f>HYPERLINK("http://www.twitter.com/NathanBLawrence/status/853011919879491586", "853011919879491586")</f>
        <v/>
      </c>
      <c r="B828" s="2" t="n">
        <v>42839.93592592593</v>
      </c>
      <c r="C828" t="n">
        <v>0</v>
      </c>
      <c r="D828" t="n">
        <v>2417</v>
      </c>
      <c r="E828" t="s">
        <v>834</v>
      </c>
      <c r="F828" t="s"/>
      <c r="G828" t="s"/>
      <c r="H828" t="s"/>
      <c r="I828" t="s"/>
      <c r="J828" t="n">
        <v>0.3254</v>
      </c>
      <c r="K828" t="n">
        <v>0.202</v>
      </c>
      <c r="L828" t="n">
        <v>0.521</v>
      </c>
      <c r="M828" t="n">
        <v>0.278</v>
      </c>
    </row>
    <row r="829" spans="1:13">
      <c r="A829" s="1">
        <f>HYPERLINK("http://www.twitter.com/NathanBLawrence/status/852925540503826437", "852925540503826437")</f>
        <v/>
      </c>
      <c r="B829" s="2" t="n">
        <v>42839.69756944444</v>
      </c>
      <c r="C829" t="n">
        <v>0</v>
      </c>
      <c r="D829" t="n">
        <v>259</v>
      </c>
      <c r="E829" t="s">
        <v>835</v>
      </c>
      <c r="F829" t="s"/>
      <c r="G829" t="s"/>
      <c r="H829" t="s"/>
      <c r="I829" t="s"/>
      <c r="J829" t="n">
        <v>0</v>
      </c>
      <c r="K829" t="n">
        <v>0.08</v>
      </c>
      <c r="L829" t="n">
        <v>0.84</v>
      </c>
      <c r="M829" t="n">
        <v>0.08</v>
      </c>
    </row>
    <row r="830" spans="1:13">
      <c r="A830" s="1">
        <f>HYPERLINK("http://www.twitter.com/NathanBLawrence/status/852925093038747648", "852925093038747648")</f>
        <v/>
      </c>
      <c r="B830" s="2" t="n">
        <v>42839.69633101852</v>
      </c>
      <c r="C830" t="n">
        <v>0</v>
      </c>
      <c r="D830" t="n">
        <v>4125</v>
      </c>
      <c r="E830" t="s">
        <v>836</v>
      </c>
      <c r="F830">
        <f>HYPERLINK("http://pbs.twimg.com/media/C9XZfkRUQAUCGF9.jpg", "http://pbs.twimg.com/media/C9XZfkRUQAUCGF9.jpg")</f>
        <v/>
      </c>
      <c r="G830" t="s"/>
      <c r="H830" t="s"/>
      <c r="I830" t="s"/>
      <c r="J830" t="n">
        <v>0</v>
      </c>
      <c r="K830" t="n">
        <v>0</v>
      </c>
      <c r="L830" t="n">
        <v>1</v>
      </c>
      <c r="M830" t="n">
        <v>0</v>
      </c>
    </row>
    <row r="831" spans="1:13">
      <c r="A831" s="1">
        <f>HYPERLINK("http://www.twitter.com/NathanBLawrence/status/852857746005389312", "852857746005389312")</f>
        <v/>
      </c>
      <c r="B831" s="2" t="n">
        <v>42839.51048611111</v>
      </c>
      <c r="C831" t="n">
        <v>0</v>
      </c>
      <c r="D831" t="n">
        <v>1637</v>
      </c>
      <c r="E831" t="s">
        <v>837</v>
      </c>
      <c r="F831" t="s"/>
      <c r="G831" t="s"/>
      <c r="H831" t="s"/>
      <c r="I831" t="s"/>
      <c r="J831" t="n">
        <v>0.7469</v>
      </c>
      <c r="K831" t="n">
        <v>0</v>
      </c>
      <c r="L831" t="n">
        <v>0.776</v>
      </c>
      <c r="M831" t="n">
        <v>0.224</v>
      </c>
    </row>
    <row r="832" spans="1:13">
      <c r="A832" s="1">
        <f>HYPERLINK("http://www.twitter.com/NathanBLawrence/status/852799568466944000", "852799568466944000")</f>
        <v/>
      </c>
      <c r="B832" s="2" t="n">
        <v>42839.34995370371</v>
      </c>
      <c r="C832" t="n">
        <v>0</v>
      </c>
      <c r="D832" t="n">
        <v>228</v>
      </c>
      <c r="E832" t="s">
        <v>838</v>
      </c>
      <c r="F832" t="s"/>
      <c r="G832" t="s"/>
      <c r="H832" t="s"/>
      <c r="I832" t="s"/>
      <c r="J832" t="n">
        <v>0.3612</v>
      </c>
      <c r="K832" t="n">
        <v>0</v>
      </c>
      <c r="L832" t="n">
        <v>0.8</v>
      </c>
      <c r="M832" t="n">
        <v>0.2</v>
      </c>
    </row>
    <row r="833" spans="1:13">
      <c r="A833" s="1">
        <f>HYPERLINK("http://www.twitter.com/NathanBLawrence/status/852722664477261825", "852722664477261825")</f>
        <v/>
      </c>
      <c r="B833" s="2" t="n">
        <v>42839.13773148148</v>
      </c>
      <c r="C833" t="n">
        <v>0</v>
      </c>
      <c r="D833" t="n">
        <v>8355</v>
      </c>
      <c r="E833" t="s">
        <v>839</v>
      </c>
      <c r="F833">
        <f>HYPERLINK("http://pbs.twimg.com/media/C9VVKeCXoAAI5ge.jpg", "http://pbs.twimg.com/media/C9VVKeCXoAAI5ge.jpg")</f>
        <v/>
      </c>
      <c r="G833" t="s"/>
      <c r="H833" t="s"/>
      <c r="I833" t="s"/>
      <c r="J833" t="n">
        <v>0</v>
      </c>
      <c r="K833" t="n">
        <v>0</v>
      </c>
      <c r="L833" t="n">
        <v>1</v>
      </c>
      <c r="M833" t="n">
        <v>0</v>
      </c>
    </row>
    <row r="834" spans="1:13">
      <c r="A834" s="1">
        <f>HYPERLINK("http://www.twitter.com/NathanBLawrence/status/852721896282107904", "852721896282107904")</f>
        <v/>
      </c>
      <c r="B834" s="2" t="n">
        <v>42839.13561342593</v>
      </c>
      <c r="C834" t="n">
        <v>0</v>
      </c>
      <c r="D834" t="n">
        <v>574</v>
      </c>
      <c r="E834" t="s">
        <v>840</v>
      </c>
      <c r="F834" t="s"/>
      <c r="G834" t="s"/>
      <c r="H834" t="s"/>
      <c r="I834" t="s"/>
      <c r="J834" t="n">
        <v>0.3647</v>
      </c>
      <c r="K834" t="n">
        <v>0.097</v>
      </c>
      <c r="L834" t="n">
        <v>0.737</v>
      </c>
      <c r="M834" t="n">
        <v>0.167</v>
      </c>
    </row>
    <row r="835" spans="1:13">
      <c r="A835" s="1">
        <f>HYPERLINK("http://www.twitter.com/NathanBLawrence/status/852721423881785344", "852721423881785344")</f>
        <v/>
      </c>
      <c r="B835" s="2" t="n">
        <v>42839.13430555556</v>
      </c>
      <c r="C835" t="n">
        <v>0</v>
      </c>
      <c r="D835" t="n">
        <v>297</v>
      </c>
      <c r="E835" t="s">
        <v>841</v>
      </c>
      <c r="F835" t="s"/>
      <c r="G835" t="s"/>
      <c r="H835" t="s"/>
      <c r="I835" t="s"/>
      <c r="J835" t="n">
        <v>0</v>
      </c>
      <c r="K835" t="n">
        <v>0</v>
      </c>
      <c r="L835" t="n">
        <v>1</v>
      </c>
      <c r="M835" t="n">
        <v>0</v>
      </c>
    </row>
    <row r="836" spans="1:13">
      <c r="A836" s="1">
        <f>HYPERLINK("http://www.twitter.com/NathanBLawrence/status/852721060386680832", "852721060386680832")</f>
        <v/>
      </c>
      <c r="B836" s="2" t="n">
        <v>42839.13331018519</v>
      </c>
      <c r="C836" t="n">
        <v>0</v>
      </c>
      <c r="D836" t="n">
        <v>193</v>
      </c>
      <c r="E836" t="s">
        <v>842</v>
      </c>
      <c r="F836" t="s"/>
      <c r="G836" t="s"/>
      <c r="H836" t="s"/>
      <c r="I836" t="s"/>
      <c r="J836" t="n">
        <v>-0.765</v>
      </c>
      <c r="K836" t="n">
        <v>0.239</v>
      </c>
      <c r="L836" t="n">
        <v>0.761</v>
      </c>
      <c r="M836" t="n">
        <v>0</v>
      </c>
    </row>
    <row r="837" spans="1:13">
      <c r="A837" s="1">
        <f>HYPERLINK("http://www.twitter.com/NathanBLawrence/status/852512504882356225", "852512504882356225")</f>
        <v/>
      </c>
      <c r="B837" s="2" t="n">
        <v>42838.55780092593</v>
      </c>
      <c r="C837" t="n">
        <v>0</v>
      </c>
      <c r="D837" t="n">
        <v>94</v>
      </c>
      <c r="E837" t="s">
        <v>843</v>
      </c>
      <c r="F837" t="s"/>
      <c r="G837" t="s"/>
      <c r="H837" t="s"/>
      <c r="I837" t="s"/>
      <c r="J837" t="n">
        <v>0</v>
      </c>
      <c r="K837" t="n">
        <v>0</v>
      </c>
      <c r="L837" t="n">
        <v>1</v>
      </c>
      <c r="M837" t="n">
        <v>0</v>
      </c>
    </row>
    <row r="838" spans="1:13">
      <c r="A838" s="1">
        <f>HYPERLINK("http://www.twitter.com/NathanBLawrence/status/852510740909101056", "852510740909101056")</f>
        <v/>
      </c>
      <c r="B838" s="2" t="n">
        <v>42838.55293981481</v>
      </c>
      <c r="C838" t="n">
        <v>0</v>
      </c>
      <c r="D838" t="n">
        <v>2923</v>
      </c>
      <c r="E838" t="s">
        <v>844</v>
      </c>
      <c r="F838">
        <f>HYPERLINK("http://pbs.twimg.com/media/C9Sn2mMXUAEemP0.jpg", "http://pbs.twimg.com/media/C9Sn2mMXUAEemP0.jpg")</f>
        <v/>
      </c>
      <c r="G838" t="s"/>
      <c r="H838" t="s"/>
      <c r="I838" t="s"/>
      <c r="J838" t="n">
        <v>0.4939</v>
      </c>
      <c r="K838" t="n">
        <v>0.102</v>
      </c>
      <c r="L838" t="n">
        <v>0.648</v>
      </c>
      <c r="M838" t="n">
        <v>0.25</v>
      </c>
    </row>
    <row r="839" spans="1:13">
      <c r="A839" s="1">
        <f>HYPERLINK("http://www.twitter.com/NathanBLawrence/status/852510257452601344", "852510257452601344")</f>
        <v/>
      </c>
      <c r="B839" s="2" t="n">
        <v>42838.55159722222</v>
      </c>
      <c r="C839" t="n">
        <v>0</v>
      </c>
      <c r="D839" t="n">
        <v>603</v>
      </c>
      <c r="E839" t="s">
        <v>845</v>
      </c>
      <c r="F839" t="s"/>
      <c r="G839" t="s"/>
      <c r="H839" t="s"/>
      <c r="I839" t="s"/>
      <c r="J839" t="n">
        <v>0.5943000000000001</v>
      </c>
      <c r="K839" t="n">
        <v>0</v>
      </c>
      <c r="L839" t="n">
        <v>0.804</v>
      </c>
      <c r="M839" t="n">
        <v>0.196</v>
      </c>
    </row>
    <row r="840" spans="1:13">
      <c r="A840" s="1">
        <f>HYPERLINK("http://www.twitter.com/NathanBLawrence/status/852507928322068480", "852507928322068480")</f>
        <v/>
      </c>
      <c r="B840" s="2" t="n">
        <v>42838.54517361111</v>
      </c>
      <c r="C840" t="n">
        <v>0</v>
      </c>
      <c r="D840" t="n">
        <v>4823</v>
      </c>
      <c r="E840" t="s">
        <v>846</v>
      </c>
      <c r="F840" t="s"/>
      <c r="G840" t="s"/>
      <c r="H840" t="s"/>
      <c r="I840" t="s"/>
      <c r="J840" t="n">
        <v>-0.5574</v>
      </c>
      <c r="K840" t="n">
        <v>0.159</v>
      </c>
      <c r="L840" t="n">
        <v>0.841</v>
      </c>
      <c r="M840" t="n">
        <v>0</v>
      </c>
    </row>
    <row r="841" spans="1:13">
      <c r="A841" s="1">
        <f>HYPERLINK("http://www.twitter.com/NathanBLawrence/status/852275457189961728", "852275457189961728")</f>
        <v/>
      </c>
      <c r="B841" s="2" t="n">
        <v>42837.90368055556</v>
      </c>
      <c r="C841" t="n">
        <v>0</v>
      </c>
      <c r="D841" t="n">
        <v>12716</v>
      </c>
      <c r="E841" t="s">
        <v>847</v>
      </c>
      <c r="F841">
        <f>HYPERLINK("http://pbs.twimg.com/media/C9Pak4-W0AIldKy.jpg", "http://pbs.twimg.com/media/C9Pak4-W0AIldKy.jpg")</f>
        <v/>
      </c>
      <c r="G841" t="s"/>
      <c r="H841" t="s"/>
      <c r="I841" t="s"/>
      <c r="J841" t="n">
        <v>0</v>
      </c>
      <c r="K841" t="n">
        <v>0</v>
      </c>
      <c r="L841" t="n">
        <v>1</v>
      </c>
      <c r="M841" t="n">
        <v>0</v>
      </c>
    </row>
    <row r="842" spans="1:13">
      <c r="A842" s="1">
        <f>HYPERLINK("http://www.twitter.com/NathanBLawrence/status/852228410827055105", "852228410827055105")</f>
        <v/>
      </c>
      <c r="B842" s="2" t="n">
        <v>42837.77385416667</v>
      </c>
      <c r="C842" t="n">
        <v>1</v>
      </c>
      <c r="D842" t="n">
        <v>0</v>
      </c>
      <c r="E842" t="s">
        <v>848</v>
      </c>
      <c r="F842">
        <f>HYPERLINK("http://pbs.twimg.com/media/C9O5NtoXsAEYxMV.jpg", "http://pbs.twimg.com/media/C9O5NtoXsAEYxMV.jpg")</f>
        <v/>
      </c>
      <c r="G842" t="s"/>
      <c r="H842" t="s"/>
      <c r="I842" t="s"/>
      <c r="J842" t="n">
        <v>0.9059</v>
      </c>
      <c r="K842" t="n">
        <v>0</v>
      </c>
      <c r="L842" t="n">
        <v>0.383</v>
      </c>
      <c r="M842" t="n">
        <v>0.617</v>
      </c>
    </row>
    <row r="843" spans="1:13">
      <c r="A843" s="1">
        <f>HYPERLINK("http://www.twitter.com/NathanBLawrence/status/851950714213605377", "851950714213605377")</f>
        <v/>
      </c>
      <c r="B843" s="2" t="n">
        <v>42837.00755787037</v>
      </c>
      <c r="C843" t="n">
        <v>0</v>
      </c>
      <c r="D843" t="n">
        <v>3922</v>
      </c>
      <c r="E843" t="s">
        <v>849</v>
      </c>
      <c r="F843" t="s"/>
      <c r="G843" t="s"/>
      <c r="H843" t="s"/>
      <c r="I843" t="s"/>
      <c r="J843" t="n">
        <v>0.5574</v>
      </c>
      <c r="K843" t="n">
        <v>0</v>
      </c>
      <c r="L843" t="n">
        <v>0.8159999999999999</v>
      </c>
      <c r="M843" t="n">
        <v>0.184</v>
      </c>
    </row>
    <row r="844" spans="1:13">
      <c r="A844" s="1">
        <f>HYPERLINK("http://www.twitter.com/NathanBLawrence/status/851950325951062016", "851950325951062016")</f>
        <v/>
      </c>
      <c r="B844" s="2" t="n">
        <v>42837.00648148148</v>
      </c>
      <c r="C844" t="n">
        <v>0</v>
      </c>
      <c r="D844" t="n">
        <v>70</v>
      </c>
      <c r="E844" t="s">
        <v>850</v>
      </c>
      <c r="F844">
        <f>HYPERLINK("http://pbs.twimg.com/media/C9K6lsnW0AAjTPU.jpg", "http://pbs.twimg.com/media/C9K6lsnW0AAjTPU.jpg")</f>
        <v/>
      </c>
      <c r="G844" t="s"/>
      <c r="H844" t="s"/>
      <c r="I844" t="s"/>
      <c r="J844" t="n">
        <v>0</v>
      </c>
      <c r="K844" t="n">
        <v>0</v>
      </c>
      <c r="L844" t="n">
        <v>1</v>
      </c>
      <c r="M844" t="n">
        <v>0</v>
      </c>
    </row>
    <row r="845" spans="1:13">
      <c r="A845" s="1">
        <f>HYPERLINK("http://www.twitter.com/NathanBLawrence/status/851950040855838721", "851950040855838721")</f>
        <v/>
      </c>
      <c r="B845" s="2" t="n">
        <v>42837.00569444444</v>
      </c>
      <c r="C845" t="n">
        <v>0</v>
      </c>
      <c r="D845" t="n">
        <v>281</v>
      </c>
      <c r="E845" t="s">
        <v>851</v>
      </c>
      <c r="F845" t="s"/>
      <c r="G845" t="s"/>
      <c r="H845" t="s"/>
      <c r="I845" t="s"/>
      <c r="J845" t="n">
        <v>0.4226</v>
      </c>
      <c r="K845" t="n">
        <v>0.119</v>
      </c>
      <c r="L845" t="n">
        <v>0.615</v>
      </c>
      <c r="M845" t="n">
        <v>0.266</v>
      </c>
    </row>
    <row r="846" spans="1:13">
      <c r="A846" s="1">
        <f>HYPERLINK("http://www.twitter.com/NathanBLawrence/status/851948664469815296", "851948664469815296")</f>
        <v/>
      </c>
      <c r="B846" s="2" t="n">
        <v>42837.00189814815</v>
      </c>
      <c r="C846" t="n">
        <v>1</v>
      </c>
      <c r="D846" t="n">
        <v>0</v>
      </c>
      <c r="E846" t="s">
        <v>852</v>
      </c>
      <c r="F846">
        <f>HYPERLINK("http://pbs.twimg.com/media/C9K6xWvUwAAIWoz.jpg", "http://pbs.twimg.com/media/C9K6xWvUwAAIWoz.jpg")</f>
        <v/>
      </c>
      <c r="G846" t="s"/>
      <c r="H846" t="s"/>
      <c r="I846" t="s"/>
      <c r="J846" t="n">
        <v>0</v>
      </c>
      <c r="K846" t="n">
        <v>0</v>
      </c>
      <c r="L846" t="n">
        <v>1</v>
      </c>
      <c r="M846" t="n">
        <v>0</v>
      </c>
    </row>
    <row r="847" spans="1:13">
      <c r="A847" s="1">
        <f>HYPERLINK("http://www.twitter.com/NathanBLawrence/status/851570761651417088", "851570761651417088")</f>
        <v/>
      </c>
      <c r="B847" s="2" t="n">
        <v>42835.95908564814</v>
      </c>
      <c r="C847" t="n">
        <v>0</v>
      </c>
      <c r="D847" t="n">
        <v>640</v>
      </c>
      <c r="E847" t="s">
        <v>853</v>
      </c>
      <c r="F847" t="s"/>
      <c r="G847" t="s"/>
      <c r="H847" t="s"/>
      <c r="I847" t="s"/>
      <c r="J847" t="n">
        <v>0</v>
      </c>
      <c r="K847" t="n">
        <v>0</v>
      </c>
      <c r="L847" t="n">
        <v>1</v>
      </c>
      <c r="M847" t="n">
        <v>0</v>
      </c>
    </row>
    <row r="848" spans="1:13">
      <c r="A848" s="1">
        <f>HYPERLINK("http://www.twitter.com/NathanBLawrence/status/851553530720681985", "851553530720681985")</f>
        <v/>
      </c>
      <c r="B848" s="2" t="n">
        <v>42835.91153935185</v>
      </c>
      <c r="C848" t="n">
        <v>0</v>
      </c>
      <c r="D848" t="n">
        <v>1657</v>
      </c>
      <c r="E848" t="s">
        <v>854</v>
      </c>
      <c r="F848" t="s"/>
      <c r="G848" t="s"/>
      <c r="H848" t="s"/>
      <c r="I848" t="s"/>
      <c r="J848" t="n">
        <v>0</v>
      </c>
      <c r="K848" t="n">
        <v>0</v>
      </c>
      <c r="L848" t="n">
        <v>1</v>
      </c>
      <c r="M848" t="n">
        <v>0</v>
      </c>
    </row>
    <row r="849" spans="1:13">
      <c r="A849" s="1">
        <f>HYPERLINK("http://www.twitter.com/NathanBLawrence/status/851512737939283969", "851512737939283969")</f>
        <v/>
      </c>
      <c r="B849" s="2" t="n">
        <v>42835.79896990741</v>
      </c>
      <c r="C849" t="n">
        <v>0</v>
      </c>
      <c r="D849" t="n">
        <v>1676</v>
      </c>
      <c r="E849" t="s">
        <v>855</v>
      </c>
      <c r="F849" t="s"/>
      <c r="G849" t="s"/>
      <c r="H849" t="s"/>
      <c r="I849" t="s"/>
      <c r="J849" t="n">
        <v>-0.128</v>
      </c>
      <c r="K849" t="n">
        <v>0.129</v>
      </c>
      <c r="L849" t="n">
        <v>0.766</v>
      </c>
      <c r="M849" t="n">
        <v>0.105</v>
      </c>
    </row>
    <row r="850" spans="1:13">
      <c r="A850" s="1">
        <f>HYPERLINK("http://www.twitter.com/NathanBLawrence/status/851488923113148417", "851488923113148417")</f>
        <v/>
      </c>
      <c r="B850" s="2" t="n">
        <v>42835.73325231481</v>
      </c>
      <c r="C850" t="n">
        <v>0</v>
      </c>
      <c r="D850" t="n">
        <v>4</v>
      </c>
      <c r="E850" t="s">
        <v>856</v>
      </c>
      <c r="F850" t="s"/>
      <c r="G850" t="s"/>
      <c r="H850" t="s"/>
      <c r="I850" t="s"/>
      <c r="J850" t="n">
        <v>0</v>
      </c>
      <c r="K850" t="n">
        <v>0</v>
      </c>
      <c r="L850" t="n">
        <v>1</v>
      </c>
      <c r="M850" t="n">
        <v>0</v>
      </c>
    </row>
    <row r="851" spans="1:13">
      <c r="A851" s="1">
        <f>HYPERLINK("http://www.twitter.com/NathanBLawrence/status/851397073245278208", "851397073245278208")</f>
        <v/>
      </c>
      <c r="B851" s="2" t="n">
        <v>42835.47980324074</v>
      </c>
      <c r="C851" t="n">
        <v>0</v>
      </c>
      <c r="D851" t="n">
        <v>855</v>
      </c>
      <c r="E851" t="s">
        <v>857</v>
      </c>
      <c r="F851">
        <f>HYPERLINK("http://pbs.twimg.com/media/C9ARl4pXkAAifGY.jpg", "http://pbs.twimg.com/media/C9ARl4pXkAAifGY.jpg")</f>
        <v/>
      </c>
      <c r="G851" t="s"/>
      <c r="H851" t="s"/>
      <c r="I851" t="s"/>
      <c r="J851" t="n">
        <v>0</v>
      </c>
      <c r="K851" t="n">
        <v>0</v>
      </c>
      <c r="L851" t="n">
        <v>1</v>
      </c>
      <c r="M851" t="n">
        <v>0</v>
      </c>
    </row>
    <row r="852" spans="1:13">
      <c r="A852" s="1">
        <f>HYPERLINK("http://www.twitter.com/NathanBLawrence/status/851353140788121600", "851353140788121600")</f>
        <v/>
      </c>
      <c r="B852" s="2" t="n">
        <v>42835.35856481481</v>
      </c>
      <c r="C852" t="n">
        <v>0</v>
      </c>
      <c r="D852" t="n">
        <v>5294</v>
      </c>
      <c r="E852" t="s">
        <v>858</v>
      </c>
      <c r="F852" t="s"/>
      <c r="G852" t="s"/>
      <c r="H852" t="s"/>
      <c r="I852" t="s"/>
      <c r="J852" t="n">
        <v>-0.5266999999999999</v>
      </c>
      <c r="K852" t="n">
        <v>0.159</v>
      </c>
      <c r="L852" t="n">
        <v>0.841</v>
      </c>
      <c r="M852" t="n">
        <v>0</v>
      </c>
    </row>
    <row r="853" spans="1:13">
      <c r="A853" s="1">
        <f>HYPERLINK("http://www.twitter.com/NathanBLawrence/status/851158444942000128", "851158444942000128")</f>
        <v/>
      </c>
      <c r="B853" s="2" t="n">
        <v>42834.82130787037</v>
      </c>
      <c r="C853" t="n">
        <v>0</v>
      </c>
      <c r="D853" t="n">
        <v>744</v>
      </c>
      <c r="E853" t="s">
        <v>859</v>
      </c>
      <c r="F853" t="s"/>
      <c r="G853" t="s"/>
      <c r="H853" t="s"/>
      <c r="I853" t="s"/>
      <c r="J853" t="n">
        <v>-0.128</v>
      </c>
      <c r="K853" t="n">
        <v>0.155</v>
      </c>
      <c r="L853" t="n">
        <v>0.671</v>
      </c>
      <c r="M853" t="n">
        <v>0.173</v>
      </c>
    </row>
    <row r="854" spans="1:13">
      <c r="A854" s="1">
        <f>HYPERLINK("http://www.twitter.com/NathanBLawrence/status/851157113078415363", "851157113078415363")</f>
        <v/>
      </c>
      <c r="B854" s="2" t="n">
        <v>42834.81763888889</v>
      </c>
      <c r="C854" t="n">
        <v>0</v>
      </c>
      <c r="D854" t="n">
        <v>9</v>
      </c>
      <c r="E854" t="s">
        <v>860</v>
      </c>
      <c r="F854" t="s"/>
      <c r="G854" t="s"/>
      <c r="H854" t="s"/>
      <c r="I854" t="s"/>
      <c r="J854" t="n">
        <v>-0.4767</v>
      </c>
      <c r="K854" t="n">
        <v>0.107</v>
      </c>
      <c r="L854" t="n">
        <v>0.893</v>
      </c>
      <c r="M854" t="n">
        <v>0</v>
      </c>
    </row>
    <row r="855" spans="1:13">
      <c r="A855" s="1">
        <f>HYPERLINK("http://www.twitter.com/NathanBLawrence/status/851141092837920768", "851141092837920768")</f>
        <v/>
      </c>
      <c r="B855" s="2" t="n">
        <v>42834.77342592592</v>
      </c>
      <c r="C855" t="n">
        <v>0</v>
      </c>
      <c r="D855" t="n">
        <v>193</v>
      </c>
      <c r="E855" t="s">
        <v>861</v>
      </c>
      <c r="F855">
        <f>HYPERLINK("http://pbs.twimg.com/amplify_video_thumb/851030910426169344/img/d8r4QV5-c-hRpZGq.jpg", "http://pbs.twimg.com/amplify_video_thumb/851030910426169344/img/d8r4QV5-c-hRpZGq.jpg")</f>
        <v/>
      </c>
      <c r="G855" t="s"/>
      <c r="H855" t="s"/>
      <c r="I855" t="s"/>
      <c r="J855" t="n">
        <v>-0.4588</v>
      </c>
      <c r="K855" t="n">
        <v>0.257</v>
      </c>
      <c r="L855" t="n">
        <v>0.634</v>
      </c>
      <c r="M855" t="n">
        <v>0.108</v>
      </c>
    </row>
    <row r="856" spans="1:13">
      <c r="A856" s="1">
        <f>HYPERLINK("http://www.twitter.com/NathanBLawrence/status/850882967845076992", "850882967845076992")</f>
        <v/>
      </c>
      <c r="B856" s="2" t="n">
        <v>42834.06113425926</v>
      </c>
      <c r="C856" t="n">
        <v>0</v>
      </c>
      <c r="D856" t="n">
        <v>441</v>
      </c>
      <c r="E856" t="s">
        <v>862</v>
      </c>
      <c r="F856" t="s"/>
      <c r="G856" t="s"/>
      <c r="H856" t="s"/>
      <c r="I856" t="s"/>
      <c r="J856" t="n">
        <v>0</v>
      </c>
      <c r="K856" t="n">
        <v>0</v>
      </c>
      <c r="L856" t="n">
        <v>1</v>
      </c>
      <c r="M856" t="n">
        <v>0</v>
      </c>
    </row>
    <row r="857" spans="1:13">
      <c r="A857" s="1">
        <f>HYPERLINK("http://www.twitter.com/NathanBLawrence/status/850831492146245632", "850831492146245632")</f>
        <v/>
      </c>
      <c r="B857" s="2" t="n">
        <v>42833.91909722222</v>
      </c>
      <c r="C857" t="n">
        <v>0</v>
      </c>
      <c r="D857" t="n">
        <v>7176</v>
      </c>
      <c r="E857" t="s">
        <v>863</v>
      </c>
      <c r="F857" t="s"/>
      <c r="G857" t="s"/>
      <c r="H857" t="s"/>
      <c r="I857" t="s"/>
      <c r="J857" t="n">
        <v>0</v>
      </c>
      <c r="K857" t="n">
        <v>0</v>
      </c>
      <c r="L857" t="n">
        <v>1</v>
      </c>
      <c r="M857" t="n">
        <v>0</v>
      </c>
    </row>
    <row r="858" spans="1:13">
      <c r="A858" s="1">
        <f>HYPERLINK("http://www.twitter.com/NathanBLawrence/status/850831144149032962", "850831144149032962")</f>
        <v/>
      </c>
      <c r="B858" s="2" t="n">
        <v>42833.91813657407</v>
      </c>
      <c r="C858" t="n">
        <v>0</v>
      </c>
      <c r="D858" t="n">
        <v>13</v>
      </c>
      <c r="E858" t="s">
        <v>864</v>
      </c>
      <c r="F858" t="s"/>
      <c r="G858" t="s"/>
      <c r="H858" t="s"/>
      <c r="I858" t="s"/>
      <c r="J858" t="n">
        <v>0.4939</v>
      </c>
      <c r="K858" t="n">
        <v>0</v>
      </c>
      <c r="L858" t="n">
        <v>0.849</v>
      </c>
      <c r="M858" t="n">
        <v>0.151</v>
      </c>
    </row>
    <row r="859" spans="1:13">
      <c r="A859" s="1">
        <f>HYPERLINK("http://www.twitter.com/NathanBLawrence/status/850830669131468801", "850830669131468801")</f>
        <v/>
      </c>
      <c r="B859" s="2" t="n">
        <v>42833.91681712963</v>
      </c>
      <c r="C859" t="n">
        <v>0</v>
      </c>
      <c r="D859" t="n">
        <v>867</v>
      </c>
      <c r="E859" t="s">
        <v>865</v>
      </c>
      <c r="F859" t="s"/>
      <c r="G859" t="s"/>
      <c r="H859" t="s"/>
      <c r="I859" t="s"/>
      <c r="J859" t="n">
        <v>0</v>
      </c>
      <c r="K859" t="n">
        <v>0</v>
      </c>
      <c r="L859" t="n">
        <v>1</v>
      </c>
      <c r="M859" t="n">
        <v>0</v>
      </c>
    </row>
    <row r="860" spans="1:13">
      <c r="A860" s="1">
        <f>HYPERLINK("http://www.twitter.com/NathanBLawrence/status/850797211285942272", "850797211285942272")</f>
        <v/>
      </c>
      <c r="B860" s="2" t="n">
        <v>42833.82449074074</v>
      </c>
      <c r="C860" t="n">
        <v>0</v>
      </c>
      <c r="D860" t="n">
        <v>411</v>
      </c>
      <c r="E860" t="s">
        <v>866</v>
      </c>
      <c r="F860" t="s"/>
      <c r="G860" t="s"/>
      <c r="H860" t="s"/>
      <c r="I860" t="s"/>
      <c r="J860" t="n">
        <v>0</v>
      </c>
      <c r="K860" t="n">
        <v>0</v>
      </c>
      <c r="L860" t="n">
        <v>1</v>
      </c>
      <c r="M860" t="n">
        <v>0</v>
      </c>
    </row>
    <row r="861" spans="1:13">
      <c r="A861" s="1">
        <f>HYPERLINK("http://www.twitter.com/NathanBLawrence/status/850766735301128192", "850766735301128192")</f>
        <v/>
      </c>
      <c r="B861" s="2" t="n">
        <v>42833.74039351852</v>
      </c>
      <c r="C861" t="n">
        <v>0</v>
      </c>
      <c r="D861" t="n">
        <v>252</v>
      </c>
      <c r="E861" t="s">
        <v>867</v>
      </c>
      <c r="F861">
        <f>HYPERLINK("http://pbs.twimg.com/media/C820fEOUAAQmCwr.jpg", "http://pbs.twimg.com/media/C820fEOUAAQmCwr.jpg")</f>
        <v/>
      </c>
      <c r="G861" t="s"/>
      <c r="H861" t="s"/>
      <c r="I861" t="s"/>
      <c r="J861" t="n">
        <v>0</v>
      </c>
      <c r="K861" t="n">
        <v>0</v>
      </c>
      <c r="L861" t="n">
        <v>1</v>
      </c>
      <c r="M861" t="n">
        <v>0</v>
      </c>
    </row>
    <row r="862" spans="1:13">
      <c r="A862" s="1">
        <f>HYPERLINK("http://www.twitter.com/NathanBLawrence/status/850508499197014016", "850508499197014016")</f>
        <v/>
      </c>
      <c r="B862" s="2" t="n">
        <v>42833.02780092593</v>
      </c>
      <c r="C862" t="n">
        <v>0</v>
      </c>
      <c r="D862" t="n">
        <v>289</v>
      </c>
      <c r="E862" t="s">
        <v>868</v>
      </c>
      <c r="F862">
        <f>HYPERLINK("http://pbs.twimg.com/media/C813zmcWsAIqdlQ.jpg", "http://pbs.twimg.com/media/C813zmcWsAIqdlQ.jpg")</f>
        <v/>
      </c>
      <c r="G862" t="s"/>
      <c r="H862" t="s"/>
      <c r="I862" t="s"/>
      <c r="J862" t="n">
        <v>0.4215</v>
      </c>
      <c r="K862" t="n">
        <v>0</v>
      </c>
      <c r="L862" t="n">
        <v>0.6820000000000001</v>
      </c>
      <c r="M862" t="n">
        <v>0.318</v>
      </c>
    </row>
    <row r="863" spans="1:13">
      <c r="A863" s="1">
        <f>HYPERLINK("http://www.twitter.com/NathanBLawrence/status/850506958209773568", "850506958209773568")</f>
        <v/>
      </c>
      <c r="B863" s="2" t="n">
        <v>42833.02355324074</v>
      </c>
      <c r="C863" t="n">
        <v>0</v>
      </c>
      <c r="D863" t="n">
        <v>120</v>
      </c>
      <c r="E863" t="s">
        <v>869</v>
      </c>
      <c r="F863" t="s"/>
      <c r="G863" t="s"/>
      <c r="H863" t="s"/>
      <c r="I863" t="s"/>
      <c r="J863" t="n">
        <v>0</v>
      </c>
      <c r="K863" t="n">
        <v>0</v>
      </c>
      <c r="L863" t="n">
        <v>1</v>
      </c>
      <c r="M863" t="n">
        <v>0</v>
      </c>
    </row>
    <row r="864" spans="1:13">
      <c r="A864" s="1">
        <f>HYPERLINK("http://www.twitter.com/NathanBLawrence/status/850506128505135105", "850506128505135105")</f>
        <v/>
      </c>
      <c r="B864" s="2" t="n">
        <v>42833.02126157407</v>
      </c>
      <c r="C864" t="n">
        <v>0</v>
      </c>
      <c r="D864" t="n">
        <v>162</v>
      </c>
      <c r="E864" t="s">
        <v>870</v>
      </c>
      <c r="F864" t="s"/>
      <c r="G864" t="s"/>
      <c r="H864" t="s"/>
      <c r="I864" t="s"/>
      <c r="J864" t="n">
        <v>0</v>
      </c>
      <c r="K864" t="n">
        <v>0</v>
      </c>
      <c r="L864" t="n">
        <v>1</v>
      </c>
      <c r="M864" t="n">
        <v>0</v>
      </c>
    </row>
    <row r="865" spans="1:13">
      <c r="A865" s="1">
        <f>HYPERLINK("http://www.twitter.com/NathanBLawrence/status/850425365172563973", "850425365172563973")</f>
        <v/>
      </c>
      <c r="B865" s="2" t="n">
        <v>42832.7983912037</v>
      </c>
      <c r="C865" t="n">
        <v>0</v>
      </c>
      <c r="D865" t="n">
        <v>52</v>
      </c>
      <c r="E865" t="s">
        <v>871</v>
      </c>
      <c r="F865" t="s"/>
      <c r="G865" t="s"/>
      <c r="H865" t="s"/>
      <c r="I865" t="s"/>
      <c r="J865" t="n">
        <v>-0.9116</v>
      </c>
      <c r="K865" t="n">
        <v>0.794</v>
      </c>
      <c r="L865" t="n">
        <v>0.206</v>
      </c>
      <c r="M865" t="n">
        <v>0</v>
      </c>
    </row>
    <row r="866" spans="1:13">
      <c r="A866" s="1">
        <f>HYPERLINK("http://www.twitter.com/NathanBLawrence/status/850408082320617473", "850408082320617473")</f>
        <v/>
      </c>
      <c r="B866" s="2" t="n">
        <v>42832.75070601852</v>
      </c>
      <c r="C866" t="n">
        <v>0</v>
      </c>
      <c r="D866" t="n">
        <v>108777</v>
      </c>
      <c r="E866" t="s">
        <v>872</v>
      </c>
      <c r="F866" t="s"/>
      <c r="G866" t="s"/>
      <c r="H866" t="s"/>
      <c r="I866" t="s"/>
      <c r="J866" t="n">
        <v>-0.9319</v>
      </c>
      <c r="K866" t="n">
        <v>0.371</v>
      </c>
      <c r="L866" t="n">
        <v>0.629</v>
      </c>
      <c r="M866" t="n">
        <v>0</v>
      </c>
    </row>
    <row r="867" spans="1:13">
      <c r="A867" s="1">
        <f>HYPERLINK("http://www.twitter.com/NathanBLawrence/status/850386043589230592", "850386043589230592")</f>
        <v/>
      </c>
      <c r="B867" s="2" t="n">
        <v>42832.68988425926</v>
      </c>
      <c r="C867" t="n">
        <v>0</v>
      </c>
      <c r="D867" t="n">
        <v>12</v>
      </c>
      <c r="E867" t="s">
        <v>873</v>
      </c>
      <c r="F867">
        <f>HYPERLINK("http://pbs.twimg.com/media/C80nNxpVwAEYTi4.jpg", "http://pbs.twimg.com/media/C80nNxpVwAEYTi4.jpg")</f>
        <v/>
      </c>
      <c r="G867" t="s"/>
      <c r="H867" t="s"/>
      <c r="I867" t="s"/>
      <c r="J867" t="n">
        <v>0.6597</v>
      </c>
      <c r="K867" t="n">
        <v>0.141</v>
      </c>
      <c r="L867" t="n">
        <v>0.528</v>
      </c>
      <c r="M867" t="n">
        <v>0.331</v>
      </c>
    </row>
    <row r="868" spans="1:13">
      <c r="A868" s="1">
        <f>HYPERLINK("http://www.twitter.com/NathanBLawrence/status/850308606717284353", "850308606717284353")</f>
        <v/>
      </c>
      <c r="B868" s="2" t="n">
        <v>42832.47620370371</v>
      </c>
      <c r="C868" t="n">
        <v>0</v>
      </c>
      <c r="D868" t="n">
        <v>167</v>
      </c>
      <c r="E868" t="s">
        <v>874</v>
      </c>
      <c r="F868" t="s"/>
      <c r="G868" t="s"/>
      <c r="H868" t="s"/>
      <c r="I868" t="s"/>
      <c r="J868" t="n">
        <v>-0.34</v>
      </c>
      <c r="K868" t="n">
        <v>0.124</v>
      </c>
      <c r="L868" t="n">
        <v>0.876</v>
      </c>
      <c r="M868" t="n">
        <v>0</v>
      </c>
    </row>
    <row r="869" spans="1:13">
      <c r="A869" s="1">
        <f>HYPERLINK("http://www.twitter.com/NathanBLawrence/status/850253348859138048", "850253348859138048")</f>
        <v/>
      </c>
      <c r="B869" s="2" t="n">
        <v>42832.32371527778</v>
      </c>
      <c r="C869" t="n">
        <v>0</v>
      </c>
      <c r="D869" t="n">
        <v>8421</v>
      </c>
      <c r="E869" t="s">
        <v>875</v>
      </c>
      <c r="F869" t="s"/>
      <c r="G869" t="s"/>
      <c r="H869" t="s"/>
      <c r="I869" t="s"/>
      <c r="J869" t="n">
        <v>0.7906</v>
      </c>
      <c r="K869" t="n">
        <v>0</v>
      </c>
      <c r="L869" t="n">
        <v>0.6820000000000001</v>
      </c>
      <c r="M869" t="n">
        <v>0.318</v>
      </c>
    </row>
    <row r="870" spans="1:13">
      <c r="A870" s="1">
        <f>HYPERLINK("http://www.twitter.com/NathanBLawrence/status/850151581257519104", "850151581257519104")</f>
        <v/>
      </c>
      <c r="B870" s="2" t="n">
        <v>42832.04289351852</v>
      </c>
      <c r="C870" t="n">
        <v>0</v>
      </c>
      <c r="D870" t="n">
        <v>63</v>
      </c>
      <c r="E870" t="s">
        <v>876</v>
      </c>
      <c r="F870" t="s"/>
      <c r="G870" t="s"/>
      <c r="H870" t="s"/>
      <c r="I870" t="s"/>
      <c r="J870" t="n">
        <v>0</v>
      </c>
      <c r="K870" t="n">
        <v>0</v>
      </c>
      <c r="L870" t="n">
        <v>1</v>
      </c>
      <c r="M870" t="n">
        <v>0</v>
      </c>
    </row>
    <row r="871" spans="1:13">
      <c r="A871" s="1">
        <f>HYPERLINK("http://www.twitter.com/NathanBLawrence/status/850111564220944384", "850111564220944384")</f>
        <v/>
      </c>
      <c r="B871" s="2" t="n">
        <v>42831.93246527778</v>
      </c>
      <c r="C871" t="n">
        <v>0</v>
      </c>
      <c r="D871" t="n">
        <v>4613</v>
      </c>
      <c r="E871" t="s">
        <v>877</v>
      </c>
      <c r="F871" t="s"/>
      <c r="G871" t="s"/>
      <c r="H871" t="s"/>
      <c r="I871" t="s"/>
      <c r="J871" t="n">
        <v>-0.3182</v>
      </c>
      <c r="K871" t="n">
        <v>0.119</v>
      </c>
      <c r="L871" t="n">
        <v>0.881</v>
      </c>
      <c r="M871" t="n">
        <v>0</v>
      </c>
    </row>
    <row r="872" spans="1:13">
      <c r="A872" s="1">
        <f>HYPERLINK("http://www.twitter.com/NathanBLawrence/status/850050786059005952", "850050786059005952")</f>
        <v/>
      </c>
      <c r="B872" s="2" t="n">
        <v>42831.76475694445</v>
      </c>
      <c r="C872" t="n">
        <v>0</v>
      </c>
      <c r="D872" t="n">
        <v>2246</v>
      </c>
      <c r="E872" t="s">
        <v>878</v>
      </c>
      <c r="F872" t="s"/>
      <c r="G872" t="s"/>
      <c r="H872" t="s"/>
      <c r="I872" t="s"/>
      <c r="J872" t="n">
        <v>-0.8225</v>
      </c>
      <c r="K872" t="n">
        <v>0.301</v>
      </c>
      <c r="L872" t="n">
        <v>0.699</v>
      </c>
      <c r="M872" t="n">
        <v>0</v>
      </c>
    </row>
    <row r="873" spans="1:13">
      <c r="A873" s="1">
        <f>HYPERLINK("http://www.twitter.com/NathanBLawrence/status/850050627250139137", "850050627250139137")</f>
        <v/>
      </c>
      <c r="B873" s="2" t="n">
        <v>42831.76431712963</v>
      </c>
      <c r="C873" t="n">
        <v>0</v>
      </c>
      <c r="D873" t="n">
        <v>997</v>
      </c>
      <c r="E873" t="s">
        <v>879</v>
      </c>
      <c r="F873">
        <f>HYPERLINK("http://pbs.twimg.com/media/C8uj7mBWsAArdlD.jpg", "http://pbs.twimg.com/media/C8uj7mBWsAArdlD.jpg")</f>
        <v/>
      </c>
      <c r="G873" t="s"/>
      <c r="H873" t="s"/>
      <c r="I873" t="s"/>
      <c r="J873" t="n">
        <v>-0.3182</v>
      </c>
      <c r="K873" t="n">
        <v>0.148</v>
      </c>
      <c r="L873" t="n">
        <v>0.766</v>
      </c>
      <c r="M873" t="n">
        <v>0.08599999999999999</v>
      </c>
    </row>
    <row r="874" spans="1:13">
      <c r="A874" s="1">
        <f>HYPERLINK("http://www.twitter.com/NathanBLawrence/status/850050289654693890", "850050289654693890")</f>
        <v/>
      </c>
      <c r="B874" s="2" t="n">
        <v>42831.76337962963</v>
      </c>
      <c r="C874" t="n">
        <v>0</v>
      </c>
      <c r="D874" t="n">
        <v>605</v>
      </c>
      <c r="E874" t="s">
        <v>880</v>
      </c>
      <c r="F874" t="s"/>
      <c r="G874" t="s"/>
      <c r="H874" t="s"/>
      <c r="I874" t="s"/>
      <c r="J874" t="n">
        <v>0</v>
      </c>
      <c r="K874" t="n">
        <v>0</v>
      </c>
      <c r="L874" t="n">
        <v>1</v>
      </c>
      <c r="M874" t="n">
        <v>0</v>
      </c>
    </row>
    <row r="875" spans="1:13">
      <c r="A875" s="1">
        <f>HYPERLINK("http://www.twitter.com/NathanBLawrence/status/850049832182042626", "850049832182042626")</f>
        <v/>
      </c>
      <c r="B875" s="2" t="n">
        <v>42831.76211805556</v>
      </c>
      <c r="C875" t="n">
        <v>0</v>
      </c>
      <c r="D875" t="n">
        <v>1310</v>
      </c>
      <c r="E875" t="s">
        <v>881</v>
      </c>
      <c r="F875" t="s"/>
      <c r="G875" t="s"/>
      <c r="H875" t="s"/>
      <c r="I875" t="s"/>
      <c r="J875" t="n">
        <v>-0.1759</v>
      </c>
      <c r="K875" t="n">
        <v>0.118</v>
      </c>
      <c r="L875" t="n">
        <v>0.789</v>
      </c>
      <c r="M875" t="n">
        <v>0.093</v>
      </c>
    </row>
    <row r="876" spans="1:13">
      <c r="A876" s="1">
        <f>HYPERLINK("http://www.twitter.com/NathanBLawrence/status/850029686612791296", "850029686612791296")</f>
        <v/>
      </c>
      <c r="B876" s="2" t="n">
        <v>42831.70652777778</v>
      </c>
      <c r="C876" t="n">
        <v>0</v>
      </c>
      <c r="D876" t="n">
        <v>11167</v>
      </c>
      <c r="E876" t="s">
        <v>882</v>
      </c>
      <c r="F876" t="s"/>
      <c r="G876" t="s"/>
      <c r="H876" t="s"/>
      <c r="I876" t="s"/>
      <c r="J876" t="n">
        <v>0.4215</v>
      </c>
      <c r="K876" t="n">
        <v>0</v>
      </c>
      <c r="L876" t="n">
        <v>0.823</v>
      </c>
      <c r="M876" t="n">
        <v>0.177</v>
      </c>
    </row>
    <row r="877" spans="1:13">
      <c r="A877" s="1">
        <f>HYPERLINK("http://www.twitter.com/NathanBLawrence/status/850026682954252289", "850026682954252289")</f>
        <v/>
      </c>
      <c r="B877" s="2" t="n">
        <v>42831.69824074074</v>
      </c>
      <c r="C877" t="n">
        <v>0</v>
      </c>
      <c r="D877" t="n">
        <v>1394</v>
      </c>
      <c r="E877" t="s">
        <v>883</v>
      </c>
      <c r="F877">
        <f>HYPERLINK("http://pbs.twimg.com/media/C8vk25gXsAAgKSY.jpg", "http://pbs.twimg.com/media/C8vk25gXsAAgKSY.jpg")</f>
        <v/>
      </c>
      <c r="G877" t="s"/>
      <c r="H877" t="s"/>
      <c r="I877" t="s"/>
      <c r="J877" t="n">
        <v>-0.7506</v>
      </c>
      <c r="K877" t="n">
        <v>0.262</v>
      </c>
      <c r="L877" t="n">
        <v>0.738</v>
      </c>
      <c r="M877" t="n">
        <v>0</v>
      </c>
    </row>
    <row r="878" spans="1:13">
      <c r="A878" s="1">
        <f>HYPERLINK("http://www.twitter.com/NathanBLawrence/status/850024930674606084", "850024930674606084")</f>
        <v/>
      </c>
      <c r="B878" s="2" t="n">
        <v>42831.69340277778</v>
      </c>
      <c r="C878" t="n">
        <v>0</v>
      </c>
      <c r="D878" t="n">
        <v>42</v>
      </c>
      <c r="E878" t="s">
        <v>884</v>
      </c>
      <c r="F878" t="s"/>
      <c r="G878" t="s"/>
      <c r="H878" t="s"/>
      <c r="I878" t="s"/>
      <c r="J878" t="n">
        <v>-0.2023</v>
      </c>
      <c r="K878" t="n">
        <v>0.117</v>
      </c>
      <c r="L878" t="n">
        <v>0.795</v>
      </c>
      <c r="M878" t="n">
        <v>0.08699999999999999</v>
      </c>
    </row>
    <row r="879" spans="1:13">
      <c r="A879" s="1">
        <f>HYPERLINK("http://www.twitter.com/NathanBLawrence/status/850024203231387654", "850024203231387654")</f>
        <v/>
      </c>
      <c r="B879" s="2" t="n">
        <v>42831.69140046297</v>
      </c>
      <c r="C879" t="n">
        <v>0</v>
      </c>
      <c r="D879" t="n">
        <v>418</v>
      </c>
      <c r="E879" t="s">
        <v>885</v>
      </c>
      <c r="F879" t="s"/>
      <c r="G879" t="s"/>
      <c r="H879" t="s"/>
      <c r="I879" t="s"/>
      <c r="J879" t="n">
        <v>0.4118</v>
      </c>
      <c r="K879" t="n">
        <v>0.114</v>
      </c>
      <c r="L879" t="n">
        <v>0.71</v>
      </c>
      <c r="M879" t="n">
        <v>0.176</v>
      </c>
    </row>
    <row r="880" spans="1:13">
      <c r="A880" s="1">
        <f>HYPERLINK("http://www.twitter.com/NathanBLawrence/status/850021990106882048", "850021990106882048")</f>
        <v/>
      </c>
      <c r="B880" s="2" t="n">
        <v>42831.68528935185</v>
      </c>
      <c r="C880" t="n">
        <v>0</v>
      </c>
      <c r="D880" t="n">
        <v>3361</v>
      </c>
      <c r="E880" t="s">
        <v>886</v>
      </c>
      <c r="F880" t="s"/>
      <c r="G880" t="s"/>
      <c r="H880" t="s"/>
      <c r="I880" t="s"/>
      <c r="J880" t="n">
        <v>-0.0191</v>
      </c>
      <c r="K880" t="n">
        <v>0.1</v>
      </c>
      <c r="L880" t="n">
        <v>0.804</v>
      </c>
      <c r="M880" t="n">
        <v>0.096</v>
      </c>
    </row>
    <row r="881" spans="1:13">
      <c r="A881" s="1">
        <f>HYPERLINK("http://www.twitter.com/NathanBLawrence/status/850020930181111808", "850020930181111808")</f>
        <v/>
      </c>
      <c r="B881" s="2" t="n">
        <v>42831.68237268519</v>
      </c>
      <c r="C881" t="n">
        <v>0</v>
      </c>
      <c r="D881" t="n">
        <v>62</v>
      </c>
      <c r="E881" t="s">
        <v>887</v>
      </c>
      <c r="F881" t="s"/>
      <c r="G881" t="s"/>
      <c r="H881" t="s"/>
      <c r="I881" t="s"/>
      <c r="J881" t="n">
        <v>0.0772</v>
      </c>
      <c r="K881" t="n">
        <v>0.133</v>
      </c>
      <c r="L881" t="n">
        <v>0.723</v>
      </c>
      <c r="M881" t="n">
        <v>0.145</v>
      </c>
    </row>
    <row r="882" spans="1:13">
      <c r="A882" s="1">
        <f>HYPERLINK("http://www.twitter.com/NathanBLawrence/status/850002848435900417", "850002848435900417")</f>
        <v/>
      </c>
      <c r="B882" s="2" t="n">
        <v>42831.63247685185</v>
      </c>
      <c r="C882" t="n">
        <v>0</v>
      </c>
      <c r="D882" t="n">
        <v>187</v>
      </c>
      <c r="E882" t="s">
        <v>888</v>
      </c>
      <c r="F882" t="s"/>
      <c r="G882" t="s"/>
      <c r="H882" t="s"/>
      <c r="I882" t="s"/>
      <c r="J882" t="n">
        <v>0.6808</v>
      </c>
      <c r="K882" t="n">
        <v>0</v>
      </c>
      <c r="L882" t="n">
        <v>0.781</v>
      </c>
      <c r="M882" t="n">
        <v>0.219</v>
      </c>
    </row>
    <row r="883" spans="1:13">
      <c r="A883" s="1">
        <f>HYPERLINK("http://www.twitter.com/NathanBLawrence/status/849965399848431619", "849965399848431619")</f>
        <v/>
      </c>
      <c r="B883" s="2" t="n">
        <v>42831.52913194444</v>
      </c>
      <c r="C883" t="n">
        <v>0</v>
      </c>
      <c r="D883" t="n">
        <v>2799</v>
      </c>
      <c r="E883" t="s">
        <v>889</v>
      </c>
      <c r="F883" t="s"/>
      <c r="G883" t="s"/>
      <c r="H883" t="s"/>
      <c r="I883" t="s"/>
      <c r="J883" t="n">
        <v>-0.008500000000000001</v>
      </c>
      <c r="K883" t="n">
        <v>0.144</v>
      </c>
      <c r="L883" t="n">
        <v>0.713</v>
      </c>
      <c r="M883" t="n">
        <v>0.143</v>
      </c>
    </row>
    <row r="884" spans="1:13">
      <c r="A884" s="1">
        <f>HYPERLINK("http://www.twitter.com/NathanBLawrence/status/849964943806005249", "849964943806005249")</f>
        <v/>
      </c>
      <c r="B884" s="2" t="n">
        <v>42831.52787037037</v>
      </c>
      <c r="C884" t="n">
        <v>0</v>
      </c>
      <c r="D884" t="n">
        <v>1587</v>
      </c>
      <c r="E884" t="s">
        <v>890</v>
      </c>
      <c r="F884" t="s"/>
      <c r="G884" t="s"/>
      <c r="H884" t="s"/>
      <c r="I884" t="s"/>
      <c r="J884" t="n">
        <v>0</v>
      </c>
      <c r="K884" t="n">
        <v>0</v>
      </c>
      <c r="L884" t="n">
        <v>1</v>
      </c>
      <c r="M884" t="n">
        <v>0</v>
      </c>
    </row>
    <row r="885" spans="1:13">
      <c r="A885" s="1">
        <f>HYPERLINK("http://www.twitter.com/NathanBLawrence/status/849715335628558336", "849715335628558336")</f>
        <v/>
      </c>
      <c r="B885" s="2" t="n">
        <v>42830.83908564815</v>
      </c>
      <c r="C885" t="n">
        <v>0</v>
      </c>
      <c r="D885" t="n">
        <v>2173</v>
      </c>
      <c r="E885" t="s">
        <v>891</v>
      </c>
      <c r="F885" t="s"/>
      <c r="G885" t="s"/>
      <c r="H885" t="s"/>
      <c r="I885" t="s"/>
      <c r="J885" t="n">
        <v>0</v>
      </c>
      <c r="K885" t="n">
        <v>0</v>
      </c>
      <c r="L885" t="n">
        <v>1</v>
      </c>
      <c r="M885" t="n">
        <v>0</v>
      </c>
    </row>
    <row r="886" spans="1:13">
      <c r="A886" s="1">
        <f>HYPERLINK("http://www.twitter.com/NathanBLawrence/status/849693827132739584", "849693827132739584")</f>
        <v/>
      </c>
      <c r="B886" s="2" t="n">
        <v>42830.7797337963</v>
      </c>
      <c r="C886" t="n">
        <v>0</v>
      </c>
      <c r="D886" t="n">
        <v>870</v>
      </c>
      <c r="E886" t="s">
        <v>892</v>
      </c>
      <c r="F886">
        <f>HYPERLINK("http://pbs.twimg.com/media/C8g2MS4U0AEttIp.jpg", "http://pbs.twimg.com/media/C8g2MS4U0AEttIp.jpg")</f>
        <v/>
      </c>
      <c r="G886" t="s"/>
      <c r="H886" t="s"/>
      <c r="I886" t="s"/>
      <c r="J886" t="n">
        <v>0.5574</v>
      </c>
      <c r="K886" t="n">
        <v>0</v>
      </c>
      <c r="L886" t="n">
        <v>0.635</v>
      </c>
      <c r="M886" t="n">
        <v>0.365</v>
      </c>
    </row>
    <row r="887" spans="1:13">
      <c r="A887" s="1">
        <f>HYPERLINK("http://www.twitter.com/NathanBLawrence/status/849690903958749184", "849690903958749184")</f>
        <v/>
      </c>
      <c r="B887" s="2" t="n">
        <v>42830.77166666667</v>
      </c>
      <c r="C887" t="n">
        <v>0</v>
      </c>
      <c r="D887" t="n">
        <v>213</v>
      </c>
      <c r="E887" t="s">
        <v>893</v>
      </c>
      <c r="F887" t="s"/>
      <c r="G887" t="s"/>
      <c r="H887" t="s"/>
      <c r="I887" t="s"/>
      <c r="J887" t="n">
        <v>-0.5222</v>
      </c>
      <c r="K887" t="n">
        <v>0.252</v>
      </c>
      <c r="L887" t="n">
        <v>0.629</v>
      </c>
      <c r="M887" t="n">
        <v>0.119</v>
      </c>
    </row>
    <row r="888" spans="1:13">
      <c r="A888" s="1">
        <f>HYPERLINK("http://www.twitter.com/NathanBLawrence/status/849690669413281797", "849690669413281797")</f>
        <v/>
      </c>
      <c r="B888" s="2" t="n">
        <v>42830.77101851852</v>
      </c>
      <c r="C888" t="n">
        <v>0</v>
      </c>
      <c r="D888" t="n">
        <v>1160</v>
      </c>
      <c r="E888" t="s">
        <v>894</v>
      </c>
      <c r="F888" t="s"/>
      <c r="G888" t="s"/>
      <c r="H888" t="s"/>
      <c r="I888" t="s"/>
      <c r="J888" t="n">
        <v>0.4069</v>
      </c>
      <c r="K888" t="n">
        <v>0.249</v>
      </c>
      <c r="L888" t="n">
        <v>0.453</v>
      </c>
      <c r="M888" t="n">
        <v>0.298</v>
      </c>
    </row>
    <row r="889" spans="1:13">
      <c r="A889" s="1">
        <f>HYPERLINK("http://www.twitter.com/NathanBLawrence/status/849667189472972801", "849667189472972801")</f>
        <v/>
      </c>
      <c r="B889" s="2" t="n">
        <v>42830.70622685185</v>
      </c>
      <c r="C889" t="n">
        <v>0</v>
      </c>
      <c r="D889" t="n">
        <v>23</v>
      </c>
      <c r="E889" t="s">
        <v>895</v>
      </c>
      <c r="F889">
        <f>HYPERLINK("http://pbs.twimg.com/media/C8qdjWEV0AAxEkx.jpg", "http://pbs.twimg.com/media/C8qdjWEV0AAxEkx.jpg")</f>
        <v/>
      </c>
      <c r="G889" t="s"/>
      <c r="H889" t="s"/>
      <c r="I889" t="s"/>
      <c r="J889" t="n">
        <v>0</v>
      </c>
      <c r="K889" t="n">
        <v>0</v>
      </c>
      <c r="L889" t="n">
        <v>1</v>
      </c>
      <c r="M889" t="n">
        <v>0</v>
      </c>
    </row>
    <row r="890" spans="1:13">
      <c r="A890" s="1">
        <f>HYPERLINK("http://www.twitter.com/NathanBLawrence/status/849590796840046593", "849590796840046593")</f>
        <v/>
      </c>
      <c r="B890" s="2" t="n">
        <v>42830.49542824074</v>
      </c>
      <c r="C890" t="n">
        <v>0</v>
      </c>
      <c r="D890" t="n">
        <v>1251</v>
      </c>
      <c r="E890" t="s">
        <v>896</v>
      </c>
      <c r="F890">
        <f>HYPERLINK("http://pbs.twimg.com/media/C8pPanZXgAASAhG.jpg", "http://pbs.twimg.com/media/C8pPanZXgAASAhG.jpg")</f>
        <v/>
      </c>
      <c r="G890" t="s"/>
      <c r="H890" t="s"/>
      <c r="I890" t="s"/>
      <c r="J890" t="n">
        <v>0</v>
      </c>
      <c r="K890" t="n">
        <v>0</v>
      </c>
      <c r="L890" t="n">
        <v>1</v>
      </c>
      <c r="M890" t="n">
        <v>0</v>
      </c>
    </row>
    <row r="891" spans="1:13">
      <c r="A891" s="1">
        <f>HYPERLINK("http://www.twitter.com/NathanBLawrence/status/849590166264180736", "849590166264180736")</f>
        <v/>
      </c>
      <c r="B891" s="2" t="n">
        <v>42830.49368055556</v>
      </c>
      <c r="C891" t="n">
        <v>0</v>
      </c>
      <c r="D891" t="n">
        <v>797</v>
      </c>
      <c r="E891" t="s">
        <v>897</v>
      </c>
      <c r="F891" t="s"/>
      <c r="G891" t="s"/>
      <c r="H891" t="s"/>
      <c r="I891" t="s"/>
      <c r="J891" t="n">
        <v>0.2023</v>
      </c>
      <c r="K891" t="n">
        <v>0.047</v>
      </c>
      <c r="L891" t="n">
        <v>0.845</v>
      </c>
      <c r="M891" t="n">
        <v>0.108</v>
      </c>
    </row>
    <row r="892" spans="1:13">
      <c r="A892" s="1">
        <f>HYPERLINK("http://www.twitter.com/NathanBLawrence/status/849589966569185282", "849589966569185282")</f>
        <v/>
      </c>
      <c r="B892" s="2" t="n">
        <v>42830.49313657408</v>
      </c>
      <c r="C892" t="n">
        <v>0</v>
      </c>
      <c r="D892" t="n">
        <v>1150</v>
      </c>
      <c r="E892" t="s">
        <v>898</v>
      </c>
      <c r="F892" t="s"/>
      <c r="G892" t="s"/>
      <c r="H892" t="s"/>
      <c r="I892" t="s"/>
      <c r="J892" t="n">
        <v>0.3612</v>
      </c>
      <c r="K892" t="n">
        <v>0</v>
      </c>
      <c r="L892" t="n">
        <v>0.894</v>
      </c>
      <c r="M892" t="n">
        <v>0.106</v>
      </c>
    </row>
    <row r="893" spans="1:13">
      <c r="A893" s="1">
        <f>HYPERLINK("http://www.twitter.com/NathanBLawrence/status/849589922428309505", "849589922428309505")</f>
        <v/>
      </c>
      <c r="B893" s="2" t="n">
        <v>42830.49300925926</v>
      </c>
      <c r="C893" t="n">
        <v>0</v>
      </c>
      <c r="D893" t="n">
        <v>1451</v>
      </c>
      <c r="E893" t="s">
        <v>899</v>
      </c>
      <c r="F893" t="s"/>
      <c r="G893" t="s"/>
      <c r="H893" t="s"/>
      <c r="I893" t="s"/>
      <c r="J893" t="n">
        <v>-0.4404</v>
      </c>
      <c r="K893" t="n">
        <v>0.121</v>
      </c>
      <c r="L893" t="n">
        <v>0.879</v>
      </c>
      <c r="M893" t="n">
        <v>0</v>
      </c>
    </row>
    <row r="894" spans="1:13">
      <c r="A894" s="1">
        <f>HYPERLINK("http://www.twitter.com/NathanBLawrence/status/849588764762570752", "849588764762570752")</f>
        <v/>
      </c>
      <c r="B894" s="2" t="n">
        <v>42830.48981481481</v>
      </c>
      <c r="C894" t="n">
        <v>0</v>
      </c>
      <c r="D894" t="n">
        <v>924</v>
      </c>
      <c r="E894" t="s">
        <v>900</v>
      </c>
      <c r="F894" t="s"/>
      <c r="G894" t="s"/>
      <c r="H894" t="s"/>
      <c r="I894" t="s"/>
      <c r="J894" t="n">
        <v>-0.4404</v>
      </c>
      <c r="K894" t="n">
        <v>0.121</v>
      </c>
      <c r="L894" t="n">
        <v>0.879</v>
      </c>
      <c r="M894" t="n">
        <v>0</v>
      </c>
    </row>
    <row r="895" spans="1:13">
      <c r="A895" s="1">
        <f>HYPERLINK("http://www.twitter.com/NathanBLawrence/status/849588451582324736", "849588451582324736")</f>
        <v/>
      </c>
      <c r="B895" s="2" t="n">
        <v>42830.48895833334</v>
      </c>
      <c r="C895" t="n">
        <v>0</v>
      </c>
      <c r="D895" t="n">
        <v>527</v>
      </c>
      <c r="E895" t="s">
        <v>901</v>
      </c>
      <c r="F895" t="s"/>
      <c r="G895" t="s"/>
      <c r="H895" t="s"/>
      <c r="I895" t="s"/>
      <c r="J895" t="n">
        <v>-0.4404</v>
      </c>
      <c r="K895" t="n">
        <v>0.132</v>
      </c>
      <c r="L895" t="n">
        <v>0.868</v>
      </c>
      <c r="M895" t="n">
        <v>0</v>
      </c>
    </row>
    <row r="896" spans="1:13">
      <c r="A896" s="1">
        <f>HYPERLINK("http://www.twitter.com/NathanBLawrence/status/849588369806036992", "849588369806036992")</f>
        <v/>
      </c>
      <c r="B896" s="2" t="n">
        <v>42830.48872685185</v>
      </c>
      <c r="C896" t="n">
        <v>0</v>
      </c>
      <c r="D896" t="n">
        <v>4904</v>
      </c>
      <c r="E896" t="s">
        <v>902</v>
      </c>
      <c r="F896" t="s"/>
      <c r="G896" t="s"/>
      <c r="H896" t="s"/>
      <c r="I896" t="s"/>
      <c r="J896" t="n">
        <v>-0.1027</v>
      </c>
      <c r="K896" t="n">
        <v>0.062</v>
      </c>
      <c r="L896" t="n">
        <v>0.9379999999999999</v>
      </c>
      <c r="M896" t="n">
        <v>0</v>
      </c>
    </row>
    <row r="897" spans="1:13">
      <c r="A897" s="1">
        <f>HYPERLINK("http://www.twitter.com/NathanBLawrence/status/849414725557510144", "849414725557510144")</f>
        <v/>
      </c>
      <c r="B897" s="2" t="n">
        <v>42830.00956018519</v>
      </c>
      <c r="C897" t="n">
        <v>0</v>
      </c>
      <c r="D897" t="n">
        <v>4471</v>
      </c>
      <c r="E897" t="s">
        <v>903</v>
      </c>
      <c r="F897" t="s"/>
      <c r="G897" t="s"/>
      <c r="H897" t="s"/>
      <c r="I897" t="s"/>
      <c r="J897" t="n">
        <v>-0.6458</v>
      </c>
      <c r="K897" t="n">
        <v>0.192</v>
      </c>
      <c r="L897" t="n">
        <v>0.8080000000000001</v>
      </c>
      <c r="M897" t="n">
        <v>0</v>
      </c>
    </row>
    <row r="898" spans="1:13">
      <c r="A898" s="1">
        <f>HYPERLINK("http://www.twitter.com/NathanBLawrence/status/849337579094802437", "849337579094802437")</f>
        <v/>
      </c>
      <c r="B898" s="2" t="n">
        <v>42829.79667824074</v>
      </c>
      <c r="C898" t="n">
        <v>0</v>
      </c>
      <c r="D898" t="n">
        <v>193</v>
      </c>
      <c r="E898" t="s">
        <v>904</v>
      </c>
      <c r="F898">
        <f>HYPERLINK("http://pbs.twimg.com/media/C8lpU0_XoAEu5PG.jpg", "http://pbs.twimg.com/media/C8lpU0_XoAEu5PG.jpg")</f>
        <v/>
      </c>
      <c r="G898" t="s"/>
      <c r="H898" t="s"/>
      <c r="I898" t="s"/>
      <c r="J898" t="n">
        <v>-0.2023</v>
      </c>
      <c r="K898" t="n">
        <v>0.174</v>
      </c>
      <c r="L898" t="n">
        <v>0.698</v>
      </c>
      <c r="M898" t="n">
        <v>0.128</v>
      </c>
    </row>
    <row r="899" spans="1:13">
      <c r="A899" s="1">
        <f>HYPERLINK("http://www.twitter.com/NathanBLawrence/status/849336092721643520", "849336092721643520")</f>
        <v/>
      </c>
      <c r="B899" s="2" t="n">
        <v>42829.79258101852</v>
      </c>
      <c r="C899" t="n">
        <v>0</v>
      </c>
      <c r="D899" t="n">
        <v>12</v>
      </c>
      <c r="E899" t="s">
        <v>905</v>
      </c>
      <c r="F899" t="s"/>
      <c r="G899" t="s"/>
      <c r="H899" t="s"/>
      <c r="I899" t="s"/>
      <c r="J899" t="n">
        <v>-0.25</v>
      </c>
      <c r="K899" t="n">
        <v>0.08699999999999999</v>
      </c>
      <c r="L899" t="n">
        <v>0.913</v>
      </c>
      <c r="M899" t="n">
        <v>0</v>
      </c>
    </row>
    <row r="900" spans="1:13">
      <c r="A900" s="1">
        <f>HYPERLINK("http://www.twitter.com/NathanBLawrence/status/849328354637512704", "849328354637512704")</f>
        <v/>
      </c>
      <c r="B900" s="2" t="n">
        <v>42829.77122685185</v>
      </c>
      <c r="C900" t="n">
        <v>0</v>
      </c>
      <c r="D900" t="n">
        <v>827</v>
      </c>
      <c r="E900" t="s">
        <v>906</v>
      </c>
      <c r="F900" t="s"/>
      <c r="G900" t="s"/>
      <c r="H900" t="s"/>
      <c r="I900" t="s"/>
      <c r="J900" t="n">
        <v>-0.3804</v>
      </c>
      <c r="K900" t="n">
        <v>0.11</v>
      </c>
      <c r="L900" t="n">
        <v>0.89</v>
      </c>
      <c r="M900" t="n">
        <v>0</v>
      </c>
    </row>
    <row r="901" spans="1:13">
      <c r="A901" s="1">
        <f>HYPERLINK("http://www.twitter.com/NathanBLawrence/status/849169725242445824", "849169725242445824")</f>
        <v/>
      </c>
      <c r="B901" s="2" t="n">
        <v>42829.3334837963</v>
      </c>
      <c r="C901" t="n">
        <v>0</v>
      </c>
      <c r="D901" t="n">
        <v>2073</v>
      </c>
      <c r="E901" t="s">
        <v>907</v>
      </c>
      <c r="F901" t="s"/>
      <c r="G901" t="s"/>
      <c r="H901" t="s"/>
      <c r="I901" t="s"/>
      <c r="J901" t="n">
        <v>-0.5266999999999999</v>
      </c>
      <c r="K901" t="n">
        <v>0.196</v>
      </c>
      <c r="L901" t="n">
        <v>0.804</v>
      </c>
      <c r="M901" t="n">
        <v>0</v>
      </c>
    </row>
    <row r="902" spans="1:13">
      <c r="A902" s="1">
        <f>HYPERLINK("http://www.twitter.com/NathanBLawrence/status/849169279358521344", "849169279358521344")</f>
        <v/>
      </c>
      <c r="B902" s="2" t="n">
        <v>42829.33225694444</v>
      </c>
      <c r="C902" t="n">
        <v>0</v>
      </c>
      <c r="D902" t="n">
        <v>1964</v>
      </c>
      <c r="E902" t="s">
        <v>908</v>
      </c>
      <c r="F902" t="s"/>
      <c r="G902" t="s"/>
      <c r="H902" t="s"/>
      <c r="I902" t="s"/>
      <c r="J902" t="n">
        <v>-0.0258</v>
      </c>
      <c r="K902" t="n">
        <v>0.154</v>
      </c>
      <c r="L902" t="n">
        <v>0.734</v>
      </c>
      <c r="M902" t="n">
        <v>0.112</v>
      </c>
    </row>
    <row r="903" spans="1:13">
      <c r="A903" s="1">
        <f>HYPERLINK("http://www.twitter.com/NathanBLawrence/status/849045993945542656", "849045993945542656")</f>
        <v/>
      </c>
      <c r="B903" s="2" t="n">
        <v>42828.99206018518</v>
      </c>
      <c r="C903" t="n">
        <v>0</v>
      </c>
      <c r="D903" t="n">
        <v>10</v>
      </c>
      <c r="E903" t="s">
        <v>909</v>
      </c>
      <c r="F903" t="s"/>
      <c r="G903" t="s"/>
      <c r="H903" t="s"/>
      <c r="I903" t="s"/>
      <c r="J903" t="n">
        <v>0</v>
      </c>
      <c r="K903" t="n">
        <v>0</v>
      </c>
      <c r="L903" t="n">
        <v>1</v>
      </c>
      <c r="M903" t="n">
        <v>0</v>
      </c>
    </row>
    <row r="904" spans="1:13">
      <c r="A904" s="1">
        <f>HYPERLINK("http://www.twitter.com/NathanBLawrence/status/848942775928320000", "848942775928320000")</f>
        <v/>
      </c>
      <c r="B904" s="2" t="n">
        <v>42828.7072337963</v>
      </c>
      <c r="C904" t="n">
        <v>0</v>
      </c>
      <c r="D904" t="n">
        <v>1082</v>
      </c>
      <c r="E904" t="s">
        <v>910</v>
      </c>
      <c r="F904" t="s"/>
      <c r="G904" t="s"/>
      <c r="H904" t="s"/>
      <c r="I904" t="s"/>
      <c r="J904" t="n">
        <v>0.2732</v>
      </c>
      <c r="K904" t="n">
        <v>0.117</v>
      </c>
      <c r="L904" t="n">
        <v>0.717</v>
      </c>
      <c r="M904" t="n">
        <v>0.166</v>
      </c>
    </row>
    <row r="905" spans="1:13">
      <c r="A905" s="1">
        <f>HYPERLINK("http://www.twitter.com/NathanBLawrence/status/848858731370729472", "848858731370729472")</f>
        <v/>
      </c>
      <c r="B905" s="2" t="n">
        <v>42828.4753125</v>
      </c>
      <c r="C905" t="n">
        <v>1</v>
      </c>
      <c r="D905" t="n">
        <v>0</v>
      </c>
      <c r="E905" t="s">
        <v>911</v>
      </c>
      <c r="F905" t="s"/>
      <c r="G905" t="s"/>
      <c r="H905" t="s"/>
      <c r="I905" t="s"/>
      <c r="J905" t="n">
        <v>-0.5423</v>
      </c>
      <c r="K905" t="n">
        <v>0.273</v>
      </c>
      <c r="L905" t="n">
        <v>0.727</v>
      </c>
      <c r="M905" t="n">
        <v>0</v>
      </c>
    </row>
    <row r="906" spans="1:13">
      <c r="A906" s="1">
        <f>HYPERLINK("http://www.twitter.com/NathanBLawrence/status/848857491056214016", "848857491056214016")</f>
        <v/>
      </c>
      <c r="B906" s="2" t="n">
        <v>42828.47188657407</v>
      </c>
      <c r="C906" t="n">
        <v>0</v>
      </c>
      <c r="D906" t="n">
        <v>958</v>
      </c>
      <c r="E906" t="s">
        <v>912</v>
      </c>
      <c r="F906" t="s"/>
      <c r="G906" t="s"/>
      <c r="H906" t="s"/>
      <c r="I906" t="s"/>
      <c r="J906" t="n">
        <v>0</v>
      </c>
      <c r="K906" t="n">
        <v>0</v>
      </c>
      <c r="L906" t="n">
        <v>1</v>
      </c>
      <c r="M906" t="n">
        <v>0</v>
      </c>
    </row>
    <row r="907" spans="1:13">
      <c r="A907" s="1">
        <f>HYPERLINK("http://www.twitter.com/NathanBLawrence/status/848857178970742784", "848857178970742784")</f>
        <v/>
      </c>
      <c r="B907" s="2" t="n">
        <v>42828.47103009259</v>
      </c>
      <c r="C907" t="n">
        <v>0</v>
      </c>
      <c r="D907" t="n">
        <v>541</v>
      </c>
      <c r="E907" t="s">
        <v>913</v>
      </c>
      <c r="F907" t="s"/>
      <c r="G907" t="s"/>
      <c r="H907" t="s"/>
      <c r="I907" t="s"/>
      <c r="J907" t="n">
        <v>0</v>
      </c>
      <c r="K907" t="n">
        <v>0</v>
      </c>
      <c r="L907" t="n">
        <v>1</v>
      </c>
      <c r="M907" t="n">
        <v>0</v>
      </c>
    </row>
    <row r="908" spans="1:13">
      <c r="A908" s="1">
        <f>HYPERLINK("http://www.twitter.com/NathanBLawrence/status/848640562567794690", "848640562567794690")</f>
        <v/>
      </c>
      <c r="B908" s="2" t="n">
        <v>42827.87327546296</v>
      </c>
      <c r="C908" t="n">
        <v>0</v>
      </c>
      <c r="D908" t="n">
        <v>0</v>
      </c>
      <c r="E908" t="s">
        <v>914</v>
      </c>
      <c r="F908" t="s"/>
      <c r="G908" t="s"/>
      <c r="H908" t="s"/>
      <c r="I908" t="s"/>
      <c r="J908" t="n">
        <v>0.3612</v>
      </c>
      <c r="K908" t="n">
        <v>0</v>
      </c>
      <c r="L908" t="n">
        <v>0.906</v>
      </c>
      <c r="M908" t="n">
        <v>0.094</v>
      </c>
    </row>
    <row r="909" spans="1:13">
      <c r="A909" s="1">
        <f>HYPERLINK("http://www.twitter.com/NathanBLawrence/status/848639851268362242", "848639851268362242")</f>
        <v/>
      </c>
      <c r="B909" s="2" t="n">
        <v>42827.87131944444</v>
      </c>
      <c r="C909" t="n">
        <v>0</v>
      </c>
      <c r="D909" t="n">
        <v>0</v>
      </c>
      <c r="E909" t="s">
        <v>915</v>
      </c>
      <c r="F909" t="s"/>
      <c r="G909" t="s"/>
      <c r="H909" t="s"/>
      <c r="I909" t="s"/>
      <c r="J909" t="n">
        <v>0.5891999999999999</v>
      </c>
      <c r="K909" t="n">
        <v>0.059</v>
      </c>
      <c r="L909" t="n">
        <v>0.71</v>
      </c>
      <c r="M909" t="n">
        <v>0.23</v>
      </c>
    </row>
    <row r="910" spans="1:13">
      <c r="A910" s="1">
        <f>HYPERLINK("http://www.twitter.com/NathanBLawrence/status/848594983556980736", "848594983556980736")</f>
        <v/>
      </c>
      <c r="B910" s="2" t="n">
        <v>42827.7475</v>
      </c>
      <c r="C910" t="n">
        <v>0</v>
      </c>
      <c r="D910" t="n">
        <v>1</v>
      </c>
      <c r="E910" t="s">
        <v>916</v>
      </c>
      <c r="F910">
        <f>HYPERLINK("http://pbs.twimg.com/media/C8bGZJLUMAAYfbH.jpg", "http://pbs.twimg.com/media/C8bGZJLUMAAYfbH.jpg")</f>
        <v/>
      </c>
      <c r="G910" t="s"/>
      <c r="H910" t="s"/>
      <c r="I910" t="s"/>
      <c r="J910" t="n">
        <v>0</v>
      </c>
      <c r="K910" t="n">
        <v>0</v>
      </c>
      <c r="L910" t="n">
        <v>1</v>
      </c>
      <c r="M910" t="n">
        <v>0</v>
      </c>
    </row>
    <row r="911" spans="1:13">
      <c r="A911" s="1">
        <f>HYPERLINK("http://www.twitter.com/NathanBLawrence/status/848519917372571649", "848519917372571649")</f>
        <v/>
      </c>
      <c r="B911" s="2" t="n">
        <v>42827.54035879629</v>
      </c>
      <c r="C911" t="n">
        <v>0</v>
      </c>
      <c r="D911" t="n">
        <v>1948</v>
      </c>
      <c r="E911" t="s">
        <v>917</v>
      </c>
      <c r="F911" t="s"/>
      <c r="G911" t="s"/>
      <c r="H911" t="s"/>
      <c r="I911" t="s"/>
      <c r="J911" t="n">
        <v>0</v>
      </c>
      <c r="K911" t="n">
        <v>0</v>
      </c>
      <c r="L911" t="n">
        <v>1</v>
      </c>
      <c r="M911" t="n">
        <v>0</v>
      </c>
    </row>
    <row r="912" spans="1:13">
      <c r="A912" s="1">
        <f>HYPERLINK("http://www.twitter.com/NathanBLawrence/status/848519874968256512", "848519874968256512")</f>
        <v/>
      </c>
      <c r="B912" s="2" t="n">
        <v>42827.54024305556</v>
      </c>
      <c r="C912" t="n">
        <v>0</v>
      </c>
      <c r="D912" t="n">
        <v>1824</v>
      </c>
      <c r="E912" t="s">
        <v>918</v>
      </c>
      <c r="F912" t="s"/>
      <c r="G912" t="s"/>
      <c r="H912" t="s"/>
      <c r="I912" t="s"/>
      <c r="J912" t="n">
        <v>0.7717000000000001</v>
      </c>
      <c r="K912" t="n">
        <v>0.037</v>
      </c>
      <c r="L912" t="n">
        <v>0.702</v>
      </c>
      <c r="M912" t="n">
        <v>0.261</v>
      </c>
    </row>
    <row r="913" spans="1:13">
      <c r="A913" s="1">
        <f>HYPERLINK("http://www.twitter.com/NathanBLawrence/status/848519730990387201", "848519730990387201")</f>
        <v/>
      </c>
      <c r="B913" s="2" t="n">
        <v>42827.53984953704</v>
      </c>
      <c r="C913" t="n">
        <v>0</v>
      </c>
      <c r="D913" t="n">
        <v>284</v>
      </c>
      <c r="E913" t="s">
        <v>919</v>
      </c>
      <c r="F913" t="s"/>
      <c r="G913" t="s"/>
      <c r="H913" t="s"/>
      <c r="I913" t="s"/>
      <c r="J913" t="n">
        <v>0.3182</v>
      </c>
      <c r="K913" t="n">
        <v>0</v>
      </c>
      <c r="L913" t="n">
        <v>0.874</v>
      </c>
      <c r="M913" t="n">
        <v>0.126</v>
      </c>
    </row>
    <row r="914" spans="1:13">
      <c r="A914" s="1">
        <f>HYPERLINK("http://www.twitter.com/NathanBLawrence/status/848519622613757952", "848519622613757952")</f>
        <v/>
      </c>
      <c r="B914" s="2" t="n">
        <v>42827.53954861111</v>
      </c>
      <c r="C914" t="n">
        <v>0</v>
      </c>
      <c r="D914" t="n">
        <v>2</v>
      </c>
      <c r="E914" t="s">
        <v>920</v>
      </c>
      <c r="F914" t="s"/>
      <c r="G914" t="s"/>
      <c r="H914" t="s"/>
      <c r="I914" t="s"/>
      <c r="J914" t="n">
        <v>-0.5859</v>
      </c>
      <c r="K914" t="n">
        <v>0.22</v>
      </c>
      <c r="L914" t="n">
        <v>0.78</v>
      </c>
      <c r="M914" t="n">
        <v>0</v>
      </c>
    </row>
    <row r="915" spans="1:13">
      <c r="A915" s="1">
        <f>HYPERLINK("http://www.twitter.com/NathanBLawrence/status/848203904387088389", "848203904387088389")</f>
        <v/>
      </c>
      <c r="B915" s="2" t="n">
        <v>42826.66833333333</v>
      </c>
      <c r="C915" t="n">
        <v>0</v>
      </c>
      <c r="D915" t="n">
        <v>92</v>
      </c>
      <c r="E915" t="s">
        <v>921</v>
      </c>
      <c r="F915" t="s"/>
      <c r="G915" t="s"/>
      <c r="H915" t="s"/>
      <c r="I915" t="s"/>
      <c r="J915" t="n">
        <v>0</v>
      </c>
      <c r="K915" t="n">
        <v>0</v>
      </c>
      <c r="L915" t="n">
        <v>1</v>
      </c>
      <c r="M915" t="n">
        <v>0</v>
      </c>
    </row>
    <row r="916" spans="1:13">
      <c r="A916" s="1">
        <f>HYPERLINK("http://www.twitter.com/NathanBLawrence/status/847893422035873795", "847893422035873795")</f>
        <v/>
      </c>
      <c r="B916" s="2" t="n">
        <v>42825.8115625</v>
      </c>
      <c r="C916" t="n">
        <v>0</v>
      </c>
      <c r="D916" t="n">
        <v>3349</v>
      </c>
      <c r="E916" t="s">
        <v>922</v>
      </c>
      <c r="F916" t="s"/>
      <c r="G916" t="s"/>
      <c r="H916" t="s"/>
      <c r="I916" t="s"/>
      <c r="J916" t="n">
        <v>0</v>
      </c>
      <c r="K916" t="n">
        <v>0</v>
      </c>
      <c r="L916" t="n">
        <v>1</v>
      </c>
      <c r="M916" t="n">
        <v>0</v>
      </c>
    </row>
    <row r="917" spans="1:13">
      <c r="A917" s="1">
        <f>HYPERLINK("http://www.twitter.com/NathanBLawrence/status/847885733885075457", "847885733885075457")</f>
        <v/>
      </c>
      <c r="B917" s="2" t="n">
        <v>42825.79034722222</v>
      </c>
      <c r="C917" t="n">
        <v>14</v>
      </c>
      <c r="D917" t="n">
        <v>12</v>
      </c>
      <c r="E917" t="s">
        <v>923</v>
      </c>
      <c r="F917" t="s"/>
      <c r="G917" t="s"/>
      <c r="H917" t="s"/>
      <c r="I917" t="s"/>
      <c r="J917" t="n">
        <v>0.4404</v>
      </c>
      <c r="K917" t="n">
        <v>0</v>
      </c>
      <c r="L917" t="n">
        <v>0.838</v>
      </c>
      <c r="M917" t="n">
        <v>0.162</v>
      </c>
    </row>
    <row r="918" spans="1:13">
      <c r="A918" s="1">
        <f>HYPERLINK("http://www.twitter.com/NathanBLawrence/status/847767965407875072", "847767965407875072")</f>
        <v/>
      </c>
      <c r="B918" s="2" t="n">
        <v>42825.46537037037</v>
      </c>
      <c r="C918" t="n">
        <v>0</v>
      </c>
      <c r="D918" t="n">
        <v>34</v>
      </c>
      <c r="E918" t="s">
        <v>924</v>
      </c>
      <c r="F918" t="s"/>
      <c r="G918" t="s"/>
      <c r="H918" t="s"/>
      <c r="I918" t="s"/>
      <c r="J918" t="n">
        <v>0</v>
      </c>
      <c r="K918" t="n">
        <v>0</v>
      </c>
      <c r="L918" t="n">
        <v>1</v>
      </c>
      <c r="M918" t="n">
        <v>0</v>
      </c>
    </row>
    <row r="919" spans="1:13">
      <c r="A919" s="1">
        <f>HYPERLINK("http://www.twitter.com/NathanBLawrence/status/847767846780325888", "847767846780325888")</f>
        <v/>
      </c>
      <c r="B919" s="2" t="n">
        <v>42825.4650462963</v>
      </c>
      <c r="C919" t="n">
        <v>0</v>
      </c>
      <c r="D919" t="n">
        <v>6063</v>
      </c>
      <c r="E919" t="s">
        <v>925</v>
      </c>
      <c r="F919">
        <f>HYPERLINK("http://pbs.twimg.com/media/C8PYDmiW0AAuGjl.jpg", "http://pbs.twimg.com/media/C8PYDmiW0AAuGjl.jpg")</f>
        <v/>
      </c>
      <c r="G919" t="s"/>
      <c r="H919" t="s"/>
      <c r="I919" t="s"/>
      <c r="J919" t="n">
        <v>-0.4404</v>
      </c>
      <c r="K919" t="n">
        <v>0.132</v>
      </c>
      <c r="L919" t="n">
        <v>0.868</v>
      </c>
      <c r="M919" t="n">
        <v>0</v>
      </c>
    </row>
    <row r="920" spans="1:13">
      <c r="A920" s="1">
        <f>HYPERLINK("http://www.twitter.com/NathanBLawrence/status/847767745307570177", "847767745307570177")</f>
        <v/>
      </c>
      <c r="B920" s="2" t="n">
        <v>42825.46475694444</v>
      </c>
      <c r="C920" t="n">
        <v>0</v>
      </c>
      <c r="D920" t="n">
        <v>5729</v>
      </c>
      <c r="E920" t="s">
        <v>926</v>
      </c>
      <c r="F920">
        <f>HYPERLINK("http://pbs.twimg.com/media/C8PZiJFXoAErFnW.jpg", "http://pbs.twimg.com/media/C8PZiJFXoAErFnW.jpg")</f>
        <v/>
      </c>
      <c r="G920" t="s"/>
      <c r="H920" t="s"/>
      <c r="I920" t="s"/>
      <c r="J920" t="n">
        <v>-0.3612</v>
      </c>
      <c r="K920" t="n">
        <v>0.146</v>
      </c>
      <c r="L920" t="n">
        <v>0.78</v>
      </c>
      <c r="M920" t="n">
        <v>0.073</v>
      </c>
    </row>
    <row r="921" spans="1:13">
      <c r="A921" s="1">
        <f>HYPERLINK("http://www.twitter.com/NathanBLawrence/status/847726140223504384", "847726140223504384")</f>
        <v/>
      </c>
      <c r="B921" s="2" t="n">
        <v>42825.34995370371</v>
      </c>
      <c r="C921" t="n">
        <v>0</v>
      </c>
      <c r="D921" t="n">
        <v>3451</v>
      </c>
      <c r="E921" t="s">
        <v>927</v>
      </c>
      <c r="F921" t="s"/>
      <c r="G921" t="s"/>
      <c r="H921" t="s"/>
      <c r="I921" t="s"/>
      <c r="J921" t="n">
        <v>0</v>
      </c>
      <c r="K921" t="n">
        <v>0</v>
      </c>
      <c r="L921" t="n">
        <v>1</v>
      </c>
      <c r="M921" t="n">
        <v>0</v>
      </c>
    </row>
    <row r="922" spans="1:13">
      <c r="A922" s="1">
        <f>HYPERLINK("http://www.twitter.com/NathanBLawrence/status/847725967430696960", "847725967430696960")</f>
        <v/>
      </c>
      <c r="B922" s="2" t="n">
        <v>42825.34947916667</v>
      </c>
      <c r="C922" t="n">
        <v>0</v>
      </c>
      <c r="D922" t="n">
        <v>518</v>
      </c>
      <c r="E922" t="s">
        <v>928</v>
      </c>
      <c r="F922" t="s"/>
      <c r="G922" t="s"/>
      <c r="H922" t="s"/>
      <c r="I922" t="s"/>
      <c r="J922" t="n">
        <v>-0.34</v>
      </c>
      <c r="K922" t="n">
        <v>0.091</v>
      </c>
      <c r="L922" t="n">
        <v>0.909</v>
      </c>
      <c r="M922" t="n">
        <v>0</v>
      </c>
    </row>
    <row r="923" spans="1:13">
      <c r="A923" s="1">
        <f>HYPERLINK("http://www.twitter.com/NathanBLawrence/status/847719635243810817", "847719635243810817")</f>
        <v/>
      </c>
      <c r="B923" s="2" t="n">
        <v>42825.33200231481</v>
      </c>
      <c r="C923" t="n">
        <v>0</v>
      </c>
      <c r="D923" t="n">
        <v>114</v>
      </c>
      <c r="E923" t="s">
        <v>929</v>
      </c>
      <c r="F923" t="s"/>
      <c r="G923" t="s"/>
      <c r="H923" t="s"/>
      <c r="I923" t="s"/>
      <c r="J923" t="n">
        <v>0</v>
      </c>
      <c r="K923" t="n">
        <v>0</v>
      </c>
      <c r="L923" t="n">
        <v>1</v>
      </c>
      <c r="M923" t="n">
        <v>0</v>
      </c>
    </row>
    <row r="924" spans="1:13">
      <c r="A924" s="1">
        <f>HYPERLINK("http://www.twitter.com/NathanBLawrence/status/847602818592657409", "847602818592657409")</f>
        <v/>
      </c>
      <c r="B924" s="2" t="n">
        <v>42825.00965277778</v>
      </c>
      <c r="C924" t="n">
        <v>0</v>
      </c>
      <c r="D924" t="n">
        <v>190</v>
      </c>
      <c r="E924" t="s">
        <v>930</v>
      </c>
      <c r="F924">
        <f>HYPERLINK("http://pbs.twimg.com/media/C8NIW81UIAACwBg.jpg", "http://pbs.twimg.com/media/C8NIW81UIAACwBg.jpg")</f>
        <v/>
      </c>
      <c r="G924" t="s"/>
      <c r="H924" t="s"/>
      <c r="I924" t="s"/>
      <c r="J924" t="n">
        <v>-0.5242</v>
      </c>
      <c r="K924" t="n">
        <v>0.18</v>
      </c>
      <c r="L924" t="n">
        <v>0.82</v>
      </c>
      <c r="M924" t="n">
        <v>0</v>
      </c>
    </row>
    <row r="925" spans="1:13">
      <c r="A925" s="1">
        <f>HYPERLINK("http://www.twitter.com/NathanBLawrence/status/847569698879401984", "847569698879401984")</f>
        <v/>
      </c>
      <c r="B925" s="2" t="n">
        <v>42824.91825231481</v>
      </c>
      <c r="C925" t="n">
        <v>0</v>
      </c>
      <c r="D925" t="n">
        <v>743</v>
      </c>
      <c r="E925" t="s">
        <v>931</v>
      </c>
      <c r="F925" t="s"/>
      <c r="G925" t="s"/>
      <c r="H925" t="s"/>
      <c r="I925" t="s"/>
      <c r="J925" t="n">
        <v>0</v>
      </c>
      <c r="K925" t="n">
        <v>0</v>
      </c>
      <c r="L925" t="n">
        <v>1</v>
      </c>
      <c r="M925" t="n">
        <v>0</v>
      </c>
    </row>
    <row r="926" spans="1:13">
      <c r="A926" s="1">
        <f>HYPERLINK("http://www.twitter.com/NathanBLawrence/status/847463923322245120", "847463923322245120")</f>
        <v/>
      </c>
      <c r="B926" s="2" t="n">
        <v>42824.62637731482</v>
      </c>
      <c r="C926" t="n">
        <v>0</v>
      </c>
      <c r="D926" t="n">
        <v>7635</v>
      </c>
      <c r="E926" t="s">
        <v>932</v>
      </c>
      <c r="F926">
        <f>HYPERLINK("https://video.twimg.com/ext_tw_video/847266774974218240/pu/vid/640x360/oaYdt83isk23daCy.mp4", "https://video.twimg.com/ext_tw_video/847266774974218240/pu/vid/640x360/oaYdt83isk23daCy.mp4")</f>
        <v/>
      </c>
      <c r="G926" t="s"/>
      <c r="H926" t="s"/>
      <c r="I926" t="s"/>
      <c r="J926" t="n">
        <v>0.4215</v>
      </c>
      <c r="K926" t="n">
        <v>0</v>
      </c>
      <c r="L926" t="n">
        <v>0.84</v>
      </c>
      <c r="M926" t="n">
        <v>0.16</v>
      </c>
    </row>
    <row r="927" spans="1:13">
      <c r="A927" s="1">
        <f>HYPERLINK("http://www.twitter.com/NathanBLawrence/status/847459879899889667", "847459879899889667")</f>
        <v/>
      </c>
      <c r="B927" s="2" t="n">
        <v>42824.61521990741</v>
      </c>
      <c r="C927" t="n">
        <v>0</v>
      </c>
      <c r="D927" t="n">
        <v>123</v>
      </c>
      <c r="E927" t="s">
        <v>933</v>
      </c>
      <c r="F927" t="s"/>
      <c r="G927" t="s"/>
      <c r="H927" t="s"/>
      <c r="I927" t="s"/>
      <c r="J927" t="n">
        <v>0.5266999999999999</v>
      </c>
      <c r="K927" t="n">
        <v>0</v>
      </c>
      <c r="L927" t="n">
        <v>0.673</v>
      </c>
      <c r="M927" t="n">
        <v>0.327</v>
      </c>
    </row>
    <row r="928" spans="1:13">
      <c r="A928" s="1">
        <f>HYPERLINK("http://www.twitter.com/NathanBLawrence/status/847435127294533633", "847435127294533633")</f>
        <v/>
      </c>
      <c r="B928" s="2" t="n">
        <v>42824.54690972222</v>
      </c>
      <c r="C928" t="n">
        <v>2</v>
      </c>
      <c r="D928" t="n">
        <v>1</v>
      </c>
      <c r="E928" t="s">
        <v>934</v>
      </c>
      <c r="F928" t="s"/>
      <c r="G928" t="s"/>
      <c r="H928" t="s"/>
      <c r="I928" t="s"/>
      <c r="J928" t="n">
        <v>-0.9042</v>
      </c>
      <c r="K928" t="n">
        <v>0.444</v>
      </c>
      <c r="L928" t="n">
        <v>0.556</v>
      </c>
      <c r="M928" t="n">
        <v>0</v>
      </c>
    </row>
    <row r="929" spans="1:13">
      <c r="A929" s="1">
        <f>HYPERLINK("http://www.twitter.com/NathanBLawrence/status/847432617095909376", "847432617095909376")</f>
        <v/>
      </c>
      <c r="B929" s="2" t="n">
        <v>42824.53998842592</v>
      </c>
      <c r="C929" t="n">
        <v>0</v>
      </c>
      <c r="D929" t="n">
        <v>91</v>
      </c>
      <c r="E929" t="s">
        <v>935</v>
      </c>
      <c r="F929">
        <f>HYPERLINK("https://video.twimg.com/ext_tw_video/846935649966080003/pu/vid/176x144/fPX5T-APrtfM6e9b.mp4", "https://video.twimg.com/ext_tw_video/846935649966080003/pu/vid/176x144/fPX5T-APrtfM6e9b.mp4")</f>
        <v/>
      </c>
      <c r="G929" t="s"/>
      <c r="H929" t="s"/>
      <c r="I929" t="s"/>
      <c r="J929" t="n">
        <v>0.4466</v>
      </c>
      <c r="K929" t="n">
        <v>0</v>
      </c>
      <c r="L929" t="n">
        <v>0.877</v>
      </c>
      <c r="M929" t="n">
        <v>0.123</v>
      </c>
    </row>
    <row r="930" spans="1:13">
      <c r="A930" s="1">
        <f>HYPERLINK("http://www.twitter.com/NathanBLawrence/status/847297562293837829", "847297562293837829")</f>
        <v/>
      </c>
      <c r="B930" s="2" t="n">
        <v>42824.16730324074</v>
      </c>
      <c r="C930" t="n">
        <v>0</v>
      </c>
      <c r="D930" t="n">
        <v>22</v>
      </c>
      <c r="E930" t="s">
        <v>936</v>
      </c>
      <c r="F930">
        <f>HYPERLINK("http://pbs.twimg.com/media/C8Iz4GeVoAAkKf8.jpg", "http://pbs.twimg.com/media/C8Iz4GeVoAAkKf8.jpg")</f>
        <v/>
      </c>
      <c r="G930" t="s"/>
      <c r="H930" t="s"/>
      <c r="I930" t="s"/>
      <c r="J930" t="n">
        <v>-0.5255</v>
      </c>
      <c r="K930" t="n">
        <v>0.195</v>
      </c>
      <c r="L930" t="n">
        <v>0.805</v>
      </c>
      <c r="M930" t="n">
        <v>0</v>
      </c>
    </row>
    <row r="931" spans="1:13">
      <c r="A931" s="1">
        <f>HYPERLINK("http://www.twitter.com/NathanBLawrence/status/847243963056627713", "847243963056627713")</f>
        <v/>
      </c>
      <c r="B931" s="2" t="n">
        <v>42824.01939814815</v>
      </c>
      <c r="C931" t="n">
        <v>0</v>
      </c>
      <c r="D931" t="n">
        <v>889</v>
      </c>
      <c r="E931" t="s">
        <v>937</v>
      </c>
      <c r="F931" t="s"/>
      <c r="G931" t="s"/>
      <c r="H931" t="s"/>
      <c r="I931" t="s"/>
      <c r="J931" t="n">
        <v>0</v>
      </c>
      <c r="K931" t="n">
        <v>0</v>
      </c>
      <c r="L931" t="n">
        <v>1</v>
      </c>
      <c r="M931" t="n">
        <v>0</v>
      </c>
    </row>
    <row r="932" spans="1:13">
      <c r="A932" s="1">
        <f>HYPERLINK("http://www.twitter.com/NathanBLawrence/status/847238684650872836", "847238684650872836")</f>
        <v/>
      </c>
      <c r="B932" s="2" t="n">
        <v>42824.00483796297</v>
      </c>
      <c r="C932" t="n">
        <v>0</v>
      </c>
      <c r="D932" t="n">
        <v>234</v>
      </c>
      <c r="E932" t="s">
        <v>938</v>
      </c>
      <c r="F932">
        <f>HYPERLINK("http://pbs.twimg.com/media/C8GG7PkVAAA8a1M.jpg", "http://pbs.twimg.com/media/C8GG7PkVAAA8a1M.jpg")</f>
        <v/>
      </c>
      <c r="G932" t="s"/>
      <c r="H932" t="s"/>
      <c r="I932" t="s"/>
      <c r="J932" t="n">
        <v>-0.7003</v>
      </c>
      <c r="K932" t="n">
        <v>0.216</v>
      </c>
      <c r="L932" t="n">
        <v>0.784</v>
      </c>
      <c r="M932" t="n">
        <v>0</v>
      </c>
    </row>
    <row r="933" spans="1:13">
      <c r="A933" s="1">
        <f>HYPERLINK("http://www.twitter.com/NathanBLawrence/status/847204026685050881", "847204026685050881")</f>
        <v/>
      </c>
      <c r="B933" s="2" t="n">
        <v>42823.90918981482</v>
      </c>
      <c r="C933" t="n">
        <v>0</v>
      </c>
      <c r="D933" t="n">
        <v>0</v>
      </c>
      <c r="E933" t="s">
        <v>939</v>
      </c>
      <c r="F933" t="s"/>
      <c r="G933" t="s"/>
      <c r="H933" t="s"/>
      <c r="I933" t="s"/>
      <c r="J933" t="n">
        <v>-0.636</v>
      </c>
      <c r="K933" t="n">
        <v>0.722</v>
      </c>
      <c r="L933" t="n">
        <v>0.278</v>
      </c>
      <c r="M933" t="n">
        <v>0</v>
      </c>
    </row>
    <row r="934" spans="1:13">
      <c r="A934" s="1">
        <f>HYPERLINK("http://www.twitter.com/NathanBLawrence/status/847190849041698816", "847190849041698816")</f>
        <v/>
      </c>
      <c r="B934" s="2" t="n">
        <v>42823.87283564815</v>
      </c>
      <c r="C934" t="n">
        <v>4</v>
      </c>
      <c r="D934" t="n">
        <v>0</v>
      </c>
      <c r="E934" t="s">
        <v>940</v>
      </c>
      <c r="F934" t="s"/>
      <c r="G934" t="s"/>
      <c r="H934" t="s"/>
      <c r="I934" t="s"/>
      <c r="J934" t="n">
        <v>0.784</v>
      </c>
      <c r="K934" t="n">
        <v>0</v>
      </c>
      <c r="L934" t="n">
        <v>0.42</v>
      </c>
      <c r="M934" t="n">
        <v>0.58</v>
      </c>
    </row>
    <row r="935" spans="1:13">
      <c r="A935" s="1">
        <f>HYPERLINK("http://www.twitter.com/NathanBLawrence/status/847182908087521282", "847182908087521282")</f>
        <v/>
      </c>
      <c r="B935" s="2" t="n">
        <v>42823.85091435185</v>
      </c>
      <c r="C935" t="n">
        <v>0</v>
      </c>
      <c r="D935" t="n">
        <v>8</v>
      </c>
      <c r="E935" t="s">
        <v>941</v>
      </c>
      <c r="F935">
        <f>HYPERLINK("http://pbs.twimg.com/media/C8C_bmEXgAAblhi.jpg", "http://pbs.twimg.com/media/C8C_bmEXgAAblhi.jpg")</f>
        <v/>
      </c>
      <c r="G935" t="s"/>
      <c r="H935" t="s"/>
      <c r="I935" t="s"/>
      <c r="J935" t="n">
        <v>0.7184</v>
      </c>
      <c r="K935" t="n">
        <v>0</v>
      </c>
      <c r="L935" t="n">
        <v>0.739</v>
      </c>
      <c r="M935" t="n">
        <v>0.261</v>
      </c>
    </row>
    <row r="936" spans="1:13">
      <c r="A936" s="1">
        <f>HYPERLINK("http://www.twitter.com/NathanBLawrence/status/847158910821781504", "847158910821781504")</f>
        <v/>
      </c>
      <c r="B936" s="2" t="n">
        <v>42823.78469907407</v>
      </c>
      <c r="C936" t="n">
        <v>0</v>
      </c>
      <c r="D936" t="n">
        <v>449</v>
      </c>
      <c r="E936" t="s">
        <v>942</v>
      </c>
      <c r="F936" t="s"/>
      <c r="G936" t="s"/>
      <c r="H936" t="s"/>
      <c r="I936" t="s"/>
      <c r="J936" t="n">
        <v>0</v>
      </c>
      <c r="K936" t="n">
        <v>0</v>
      </c>
      <c r="L936" t="n">
        <v>1</v>
      </c>
      <c r="M936" t="n">
        <v>0</v>
      </c>
    </row>
    <row r="937" spans="1:13">
      <c r="A937" s="1">
        <f>HYPERLINK("http://www.twitter.com/NathanBLawrence/status/847158264714407937", "847158264714407937")</f>
        <v/>
      </c>
      <c r="B937" s="2" t="n">
        <v>42823.78291666666</v>
      </c>
      <c r="C937" t="n">
        <v>0</v>
      </c>
      <c r="D937" t="n">
        <v>1798</v>
      </c>
      <c r="E937" t="s">
        <v>943</v>
      </c>
      <c r="F937" t="s"/>
      <c r="G937" t="s"/>
      <c r="H937" t="s"/>
      <c r="I937" t="s"/>
      <c r="J937" t="n">
        <v>-0.7845</v>
      </c>
      <c r="K937" t="n">
        <v>0.283</v>
      </c>
      <c r="L937" t="n">
        <v>0.717</v>
      </c>
      <c r="M937" t="n">
        <v>0</v>
      </c>
    </row>
    <row r="938" spans="1:13">
      <c r="A938" s="1">
        <f>HYPERLINK("http://www.twitter.com/NathanBLawrence/status/847158206057119745", "847158206057119745")</f>
        <v/>
      </c>
      <c r="B938" s="2" t="n">
        <v>42823.78275462963</v>
      </c>
      <c r="C938" t="n">
        <v>0</v>
      </c>
      <c r="D938" t="n">
        <v>2125</v>
      </c>
      <c r="E938" t="s">
        <v>944</v>
      </c>
      <c r="F938" t="s"/>
      <c r="G938" t="s"/>
      <c r="H938" t="s"/>
      <c r="I938" t="s"/>
      <c r="J938" t="n">
        <v>-0.1154</v>
      </c>
      <c r="K938" t="n">
        <v>0.079</v>
      </c>
      <c r="L938" t="n">
        <v>0.859</v>
      </c>
      <c r="M938" t="n">
        <v>0.063</v>
      </c>
    </row>
    <row r="939" spans="1:13">
      <c r="A939" s="1">
        <f>HYPERLINK("http://www.twitter.com/NathanBLawrence/status/847156602155225089", "847156602155225089")</f>
        <v/>
      </c>
      <c r="B939" s="2" t="n">
        <v>42823.77833333334</v>
      </c>
      <c r="C939" t="n">
        <v>0</v>
      </c>
      <c r="D939" t="n">
        <v>0</v>
      </c>
      <c r="E939" t="s">
        <v>945</v>
      </c>
      <c r="F939" t="s"/>
      <c r="G939" t="s"/>
      <c r="H939" t="s"/>
      <c r="I939" t="s"/>
      <c r="J939" t="n">
        <v>-0.4215</v>
      </c>
      <c r="K939" t="n">
        <v>0.167</v>
      </c>
      <c r="L939" t="n">
        <v>0.833</v>
      </c>
      <c r="M939" t="n">
        <v>0</v>
      </c>
    </row>
    <row r="940" spans="1:13">
      <c r="A940" s="1">
        <f>HYPERLINK("http://www.twitter.com/NathanBLawrence/status/847142913616363524", "847142913616363524")</f>
        <v/>
      </c>
      <c r="B940" s="2" t="n">
        <v>42823.74055555555</v>
      </c>
      <c r="C940" t="n">
        <v>0</v>
      </c>
      <c r="D940" t="n">
        <v>1133</v>
      </c>
      <c r="E940" t="s">
        <v>946</v>
      </c>
      <c r="F940">
        <f>HYPERLINK("http://pbs.twimg.com/media/C8Ew7H5X0AAE0nK.jpg", "http://pbs.twimg.com/media/C8Ew7H5X0AAE0nK.jpg")</f>
        <v/>
      </c>
      <c r="G940" t="s"/>
      <c r="H940" t="s"/>
      <c r="I940" t="s"/>
      <c r="J940" t="n">
        <v>0</v>
      </c>
      <c r="K940" t="n">
        <v>0</v>
      </c>
      <c r="L940" t="n">
        <v>1</v>
      </c>
      <c r="M940" t="n">
        <v>0</v>
      </c>
    </row>
    <row r="941" spans="1:13">
      <c r="A941" s="1">
        <f>HYPERLINK("http://www.twitter.com/NathanBLawrence/status/847133308790194179", "847133308790194179")</f>
        <v/>
      </c>
      <c r="B941" s="2" t="n">
        <v>42823.71405092593</v>
      </c>
      <c r="C941" t="n">
        <v>0</v>
      </c>
      <c r="D941" t="n">
        <v>4</v>
      </c>
      <c r="E941" t="s">
        <v>947</v>
      </c>
      <c r="F941">
        <f>HYPERLINK("http://pbs.twimg.com/media/C8GGyuTWsAElduR.jpg", "http://pbs.twimg.com/media/C8GGyuTWsAElduR.jpg")</f>
        <v/>
      </c>
      <c r="G941" t="s"/>
      <c r="H941" t="s"/>
      <c r="I941" t="s"/>
      <c r="J941" t="n">
        <v>0</v>
      </c>
      <c r="K941" t="n">
        <v>0</v>
      </c>
      <c r="L941" t="n">
        <v>1</v>
      </c>
      <c r="M941" t="n">
        <v>0</v>
      </c>
    </row>
    <row r="942" spans="1:13">
      <c r="A942" s="1">
        <f>HYPERLINK("http://www.twitter.com/NathanBLawrence/status/847128726450130945", "847128726450130945")</f>
        <v/>
      </c>
      <c r="B942" s="2" t="n">
        <v>42823.70140046296</v>
      </c>
      <c r="C942" t="n">
        <v>0</v>
      </c>
      <c r="D942" t="n">
        <v>1499</v>
      </c>
      <c r="E942" t="s">
        <v>948</v>
      </c>
      <c r="F942">
        <f>HYPERLINK("http://pbs.twimg.com/media/C8F9DgSWsAAb2Nw.jpg", "http://pbs.twimg.com/media/C8F9DgSWsAAb2Nw.jpg")</f>
        <v/>
      </c>
      <c r="G942" t="s"/>
      <c r="H942" t="s"/>
      <c r="I942" t="s"/>
      <c r="J942" t="n">
        <v>0</v>
      </c>
      <c r="K942" t="n">
        <v>0</v>
      </c>
      <c r="L942" t="n">
        <v>1</v>
      </c>
      <c r="M942" t="n">
        <v>0</v>
      </c>
    </row>
    <row r="943" spans="1:13">
      <c r="A943" s="1">
        <f>HYPERLINK("http://www.twitter.com/NathanBLawrence/status/847121457662582784", "847121457662582784")</f>
        <v/>
      </c>
      <c r="B943" s="2" t="n">
        <v>42823.68134259259</v>
      </c>
      <c r="C943" t="n">
        <v>0</v>
      </c>
      <c r="D943" t="n">
        <v>113</v>
      </c>
      <c r="E943" t="s">
        <v>949</v>
      </c>
      <c r="F943">
        <f>HYPERLINK("http://pbs.twimg.com/media/C8GNmsbVsAEL68u.jpg", "http://pbs.twimg.com/media/C8GNmsbVsAEL68u.jpg")</f>
        <v/>
      </c>
      <c r="G943" t="s"/>
      <c r="H943" t="s"/>
      <c r="I943" t="s"/>
      <c r="J943" t="n">
        <v>0</v>
      </c>
      <c r="K943" t="n">
        <v>0</v>
      </c>
      <c r="L943" t="n">
        <v>1</v>
      </c>
      <c r="M943" t="n">
        <v>0</v>
      </c>
    </row>
    <row r="944" spans="1:13">
      <c r="A944" s="1">
        <f>HYPERLINK("http://www.twitter.com/NathanBLawrence/status/847117987815591936", "847117987815591936")</f>
        <v/>
      </c>
      <c r="B944" s="2" t="n">
        <v>42823.67177083333</v>
      </c>
      <c r="C944" t="n">
        <v>0</v>
      </c>
      <c r="D944" t="n">
        <v>1</v>
      </c>
      <c r="E944" t="s">
        <v>950</v>
      </c>
      <c r="F944" t="s"/>
      <c r="G944" t="s"/>
      <c r="H944" t="s"/>
      <c r="I944" t="s"/>
      <c r="J944" t="n">
        <v>-0.2596</v>
      </c>
      <c r="K944" t="n">
        <v>0.229</v>
      </c>
      <c r="L944" t="n">
        <v>0.617</v>
      </c>
      <c r="M944" t="n">
        <v>0.155</v>
      </c>
    </row>
    <row r="945" spans="1:13">
      <c r="A945" s="1">
        <f>HYPERLINK("http://www.twitter.com/NathanBLawrence/status/847114680590061568", "847114680590061568")</f>
        <v/>
      </c>
      <c r="B945" s="2" t="n">
        <v>42823.66265046296</v>
      </c>
      <c r="C945" t="n">
        <v>0</v>
      </c>
      <c r="D945" t="n">
        <v>51</v>
      </c>
      <c r="E945" t="s">
        <v>951</v>
      </c>
      <c r="F945">
        <f>HYPERLINK("http://pbs.twimg.com/media/C8GLwH1U8AAMceO.jpg", "http://pbs.twimg.com/media/C8GLwH1U8AAMceO.jpg")</f>
        <v/>
      </c>
      <c r="G945" t="s"/>
      <c r="H945" t="s"/>
      <c r="I945" t="s"/>
      <c r="J945" t="n">
        <v>0</v>
      </c>
      <c r="K945" t="n">
        <v>0</v>
      </c>
      <c r="L945" t="n">
        <v>1</v>
      </c>
      <c r="M945" t="n">
        <v>0</v>
      </c>
    </row>
    <row r="946" spans="1:13">
      <c r="A946" s="1">
        <f>HYPERLINK("http://www.twitter.com/NathanBLawrence/status/847112990474354688", "847112990474354688")</f>
        <v/>
      </c>
      <c r="B946" s="2" t="n">
        <v>42823.65798611111</v>
      </c>
      <c r="C946" t="n">
        <v>0</v>
      </c>
      <c r="D946" t="n">
        <v>43</v>
      </c>
      <c r="E946" t="s">
        <v>952</v>
      </c>
      <c r="F946" t="s"/>
      <c r="G946" t="s"/>
      <c r="H946" t="s"/>
      <c r="I946" t="s"/>
      <c r="J946" t="n">
        <v>0</v>
      </c>
      <c r="K946" t="n">
        <v>0</v>
      </c>
      <c r="L946" t="n">
        <v>1</v>
      </c>
      <c r="M946" t="n">
        <v>0</v>
      </c>
    </row>
    <row r="947" spans="1:13">
      <c r="A947" s="1">
        <f>HYPERLINK("http://www.twitter.com/NathanBLawrence/status/847112771632336896", "847112771632336896")</f>
        <v/>
      </c>
      <c r="B947" s="2" t="n">
        <v>42823.65738425926</v>
      </c>
      <c r="C947" t="n">
        <v>0</v>
      </c>
      <c r="D947" t="n">
        <v>62</v>
      </c>
      <c r="E947" t="s">
        <v>953</v>
      </c>
      <c r="F947">
        <f>HYPERLINK("http://pbs.twimg.com/media/C8GIDGDXQAEWQat.jpg", "http://pbs.twimg.com/media/C8GIDGDXQAEWQat.jpg")</f>
        <v/>
      </c>
      <c r="G947" t="s"/>
      <c r="H947" t="s"/>
      <c r="I947" t="s"/>
      <c r="J947" t="n">
        <v>0.0772</v>
      </c>
      <c r="K947" t="n">
        <v>0</v>
      </c>
      <c r="L947" t="n">
        <v>0.909</v>
      </c>
      <c r="M947" t="n">
        <v>0.091</v>
      </c>
    </row>
    <row r="948" spans="1:13">
      <c r="A948" s="1">
        <f>HYPERLINK("http://www.twitter.com/NathanBLawrence/status/847111167646584833", "847111167646584833")</f>
        <v/>
      </c>
      <c r="B948" s="2" t="n">
        <v>42823.65295138889</v>
      </c>
      <c r="C948" t="n">
        <v>0</v>
      </c>
      <c r="D948" t="n">
        <v>241</v>
      </c>
      <c r="E948" t="s">
        <v>954</v>
      </c>
      <c r="F948">
        <f>HYPERLINK("http://pbs.twimg.com/media/C72I-rOXkAE-LYu.jpg", "http://pbs.twimg.com/media/C72I-rOXkAE-LYu.jpg")</f>
        <v/>
      </c>
      <c r="G948" t="s"/>
      <c r="H948" t="s"/>
      <c r="I948" t="s"/>
      <c r="J948" t="n">
        <v>0</v>
      </c>
      <c r="K948" t="n">
        <v>0</v>
      </c>
      <c r="L948" t="n">
        <v>1</v>
      </c>
      <c r="M948" t="n">
        <v>0</v>
      </c>
    </row>
    <row r="949" spans="1:13">
      <c r="A949" s="1">
        <f>HYPERLINK("http://www.twitter.com/NathanBLawrence/status/846903100392665090", "846903100392665090")</f>
        <v/>
      </c>
      <c r="B949" s="2" t="n">
        <v>42823.07879629629</v>
      </c>
      <c r="C949" t="n">
        <v>0</v>
      </c>
      <c r="D949" t="n">
        <v>0</v>
      </c>
      <c r="E949" t="s">
        <v>955</v>
      </c>
      <c r="F949" t="s"/>
      <c r="G949" t="s"/>
      <c r="H949" t="s"/>
      <c r="I949" t="s"/>
      <c r="J949" t="n">
        <v>0.4588</v>
      </c>
      <c r="K949" t="n">
        <v>0</v>
      </c>
      <c r="L949" t="n">
        <v>0.5</v>
      </c>
      <c r="M949" t="n">
        <v>0.5</v>
      </c>
    </row>
    <row r="950" spans="1:13">
      <c r="A950" s="1">
        <f>HYPERLINK("http://www.twitter.com/NathanBLawrence/status/846900734708740098", "846900734708740098")</f>
        <v/>
      </c>
      <c r="B950" s="2" t="n">
        <v>42823.07226851852</v>
      </c>
      <c r="C950" t="n">
        <v>1</v>
      </c>
      <c r="D950" t="n">
        <v>0</v>
      </c>
      <c r="E950" t="s">
        <v>956</v>
      </c>
      <c r="F950" t="s"/>
      <c r="G950" t="s"/>
      <c r="H950" t="s"/>
      <c r="I950" t="s"/>
      <c r="J950" t="n">
        <v>0.128</v>
      </c>
      <c r="K950" t="n">
        <v>0.111</v>
      </c>
      <c r="L950" t="n">
        <v>0.754</v>
      </c>
      <c r="M950" t="n">
        <v>0.136</v>
      </c>
    </row>
    <row r="951" spans="1:13">
      <c r="A951" s="1">
        <f>HYPERLINK("http://www.twitter.com/NathanBLawrence/status/846898287231696897", "846898287231696897")</f>
        <v/>
      </c>
      <c r="B951" s="2" t="n">
        <v>42823.06550925926</v>
      </c>
      <c r="C951" t="n">
        <v>1</v>
      </c>
      <c r="D951" t="n">
        <v>0</v>
      </c>
      <c r="E951" t="s">
        <v>957</v>
      </c>
      <c r="F951" t="s"/>
      <c r="G951" t="s"/>
      <c r="H951" t="s"/>
      <c r="I951" t="s"/>
      <c r="J951" t="n">
        <v>0</v>
      </c>
      <c r="K951" t="n">
        <v>0</v>
      </c>
      <c r="L951" t="n">
        <v>1</v>
      </c>
      <c r="M951" t="n">
        <v>0</v>
      </c>
    </row>
    <row r="952" spans="1:13">
      <c r="A952" s="1">
        <f>HYPERLINK("http://www.twitter.com/NathanBLawrence/status/846897221161271297", "846897221161271297")</f>
        <v/>
      </c>
      <c r="B952" s="2" t="n">
        <v>42823.06256944445</v>
      </c>
      <c r="C952" t="n">
        <v>1</v>
      </c>
      <c r="D952" t="n">
        <v>0</v>
      </c>
      <c r="E952" t="s">
        <v>958</v>
      </c>
      <c r="F952" t="s"/>
      <c r="G952" t="s"/>
      <c r="H952" t="s"/>
      <c r="I952" t="s"/>
      <c r="J952" t="n">
        <v>-0.8748</v>
      </c>
      <c r="K952" t="n">
        <v>0.447</v>
      </c>
      <c r="L952" t="n">
        <v>0.455</v>
      </c>
      <c r="M952" t="n">
        <v>0.098</v>
      </c>
    </row>
    <row r="953" spans="1:13">
      <c r="A953" s="1">
        <f>HYPERLINK("http://www.twitter.com/NathanBLawrence/status/846895542353330178", "846895542353330178")</f>
        <v/>
      </c>
      <c r="B953" s="2" t="n">
        <v>42823.05793981482</v>
      </c>
      <c r="C953" t="n">
        <v>1</v>
      </c>
      <c r="D953" t="n">
        <v>0</v>
      </c>
      <c r="E953" t="s">
        <v>959</v>
      </c>
      <c r="F953" t="s"/>
      <c r="G953" t="s"/>
      <c r="H953" t="s"/>
      <c r="I953" t="s"/>
      <c r="J953" t="n">
        <v>0.721</v>
      </c>
      <c r="K953" t="n">
        <v>0.134</v>
      </c>
      <c r="L953" t="n">
        <v>0.487</v>
      </c>
      <c r="M953" t="n">
        <v>0.379</v>
      </c>
    </row>
    <row r="954" spans="1:13">
      <c r="A954" s="1">
        <f>HYPERLINK("http://www.twitter.com/NathanBLawrence/status/846894218480156672", "846894218480156672")</f>
        <v/>
      </c>
      <c r="B954" s="2" t="n">
        <v>42823.05428240741</v>
      </c>
      <c r="C954" t="n">
        <v>1</v>
      </c>
      <c r="D954" t="n">
        <v>0</v>
      </c>
      <c r="E954" t="s">
        <v>960</v>
      </c>
      <c r="F954" t="s"/>
      <c r="G954" t="s"/>
      <c r="H954" t="s"/>
      <c r="I954" t="s"/>
      <c r="J954" t="n">
        <v>0</v>
      </c>
      <c r="K954" t="n">
        <v>0</v>
      </c>
      <c r="L954" t="n">
        <v>1</v>
      </c>
      <c r="M954" t="n">
        <v>0</v>
      </c>
    </row>
    <row r="955" spans="1:13">
      <c r="A955" s="1">
        <f>HYPERLINK("http://www.twitter.com/NathanBLawrence/status/846891169141460994", "846891169141460994")</f>
        <v/>
      </c>
      <c r="B955" s="2" t="n">
        <v>42823.04586805555</v>
      </c>
      <c r="C955" t="n">
        <v>1</v>
      </c>
      <c r="D955" t="n">
        <v>0</v>
      </c>
      <c r="E955" t="s">
        <v>961</v>
      </c>
      <c r="F955" t="s"/>
      <c r="G955" t="s"/>
      <c r="H955" t="s"/>
      <c r="I955" t="s"/>
      <c r="J955" t="n">
        <v>-0.2263</v>
      </c>
      <c r="K955" t="n">
        <v>0.19</v>
      </c>
      <c r="L955" t="n">
        <v>0.667</v>
      </c>
      <c r="M955" t="n">
        <v>0.144</v>
      </c>
    </row>
    <row r="956" spans="1:13">
      <c r="A956" s="1">
        <f>HYPERLINK("http://www.twitter.com/NathanBLawrence/status/846889213614346241", "846889213614346241")</f>
        <v/>
      </c>
      <c r="B956" s="2" t="n">
        <v>42823.04047453704</v>
      </c>
      <c r="C956" t="n">
        <v>2</v>
      </c>
      <c r="D956" t="n">
        <v>0</v>
      </c>
      <c r="E956" t="s">
        <v>962</v>
      </c>
      <c r="F956" t="s"/>
      <c r="G956" t="s"/>
      <c r="H956" t="s"/>
      <c r="I956" t="s"/>
      <c r="J956" t="n">
        <v>0.25</v>
      </c>
      <c r="K956" t="n">
        <v>0.064</v>
      </c>
      <c r="L956" t="n">
        <v>0.826</v>
      </c>
      <c r="M956" t="n">
        <v>0.11</v>
      </c>
    </row>
    <row r="957" spans="1:13">
      <c r="A957" s="1">
        <f>HYPERLINK("http://www.twitter.com/NathanBLawrence/status/846886961809948672", "846886961809948672")</f>
        <v/>
      </c>
      <c r="B957" s="2" t="n">
        <v>42823.03425925926</v>
      </c>
      <c r="C957" t="n">
        <v>1</v>
      </c>
      <c r="D957" t="n">
        <v>0</v>
      </c>
      <c r="E957" t="s">
        <v>963</v>
      </c>
      <c r="F957" t="s"/>
      <c r="G957" t="s"/>
      <c r="H957" t="s"/>
      <c r="I957" t="s"/>
      <c r="J957" t="n">
        <v>0.5244</v>
      </c>
      <c r="K957" t="n">
        <v>0</v>
      </c>
      <c r="L957" t="n">
        <v>0.47</v>
      </c>
      <c r="M957" t="n">
        <v>0.53</v>
      </c>
    </row>
    <row r="958" spans="1:13">
      <c r="A958" s="1">
        <f>HYPERLINK("http://www.twitter.com/NathanBLawrence/status/846886761108328449", "846886761108328449")</f>
        <v/>
      </c>
      <c r="B958" s="2" t="n">
        <v>42823.0337037037</v>
      </c>
      <c r="C958" t="n">
        <v>0</v>
      </c>
      <c r="D958" t="n">
        <v>1</v>
      </c>
      <c r="E958" t="s">
        <v>964</v>
      </c>
      <c r="F958" t="s"/>
      <c r="G958" t="s"/>
      <c r="H958" t="s"/>
      <c r="I958" t="s"/>
      <c r="J958" t="n">
        <v>0</v>
      </c>
      <c r="K958" t="n">
        <v>0</v>
      </c>
      <c r="L958" t="n">
        <v>1</v>
      </c>
      <c r="M958" t="n">
        <v>0</v>
      </c>
    </row>
    <row r="959" spans="1:13">
      <c r="A959" s="1">
        <f>HYPERLINK("http://www.twitter.com/NathanBLawrence/status/846822942872875008", "846822942872875008")</f>
        <v/>
      </c>
      <c r="B959" s="2" t="n">
        <v>42822.85760416667</v>
      </c>
      <c r="C959" t="n">
        <v>0</v>
      </c>
      <c r="D959" t="n">
        <v>6</v>
      </c>
      <c r="E959" t="s">
        <v>965</v>
      </c>
      <c r="F959" t="s"/>
      <c r="G959" t="s"/>
      <c r="H959" t="s"/>
      <c r="I959" t="s"/>
      <c r="J959" t="n">
        <v>-0.2732</v>
      </c>
      <c r="K959" t="n">
        <v>0.095</v>
      </c>
      <c r="L959" t="n">
        <v>0.905</v>
      </c>
      <c r="M959" t="n">
        <v>0</v>
      </c>
    </row>
    <row r="960" spans="1:13">
      <c r="A960" s="1">
        <f>HYPERLINK("http://www.twitter.com/NathanBLawrence/status/846819268134129667", "846819268134129667")</f>
        <v/>
      </c>
      <c r="B960" s="2" t="n">
        <v>42822.84746527778</v>
      </c>
      <c r="C960" t="n">
        <v>0</v>
      </c>
      <c r="D960" t="n">
        <v>9</v>
      </c>
      <c r="E960" t="s">
        <v>966</v>
      </c>
      <c r="F960">
        <f>HYPERLINK("http://pbs.twimg.com/media/C8BZ7lfU8AAg4p0.jpg", "http://pbs.twimg.com/media/C8BZ7lfU8AAg4p0.jpg")</f>
        <v/>
      </c>
      <c r="G960" t="s"/>
      <c r="H960" t="s"/>
      <c r="I960" t="s"/>
      <c r="J960" t="n">
        <v>0</v>
      </c>
      <c r="K960" t="n">
        <v>0</v>
      </c>
      <c r="L960" t="n">
        <v>1</v>
      </c>
      <c r="M960" t="n">
        <v>0</v>
      </c>
    </row>
    <row r="961" spans="1:13">
      <c r="A961" s="1">
        <f>HYPERLINK("http://www.twitter.com/NathanBLawrence/status/846818323153211392", "846818323153211392")</f>
        <v/>
      </c>
      <c r="B961" s="2" t="n">
        <v>42822.84486111111</v>
      </c>
      <c r="C961" t="n">
        <v>0</v>
      </c>
      <c r="D961" t="n">
        <v>7</v>
      </c>
      <c r="E961" t="s">
        <v>967</v>
      </c>
      <c r="F961">
        <f>HYPERLINK("http://pbs.twimg.com/media/C8Be-8TVMAELrvc.jpg", "http://pbs.twimg.com/media/C8Be-8TVMAELrvc.jpg")</f>
        <v/>
      </c>
      <c r="G961" t="s"/>
      <c r="H961" t="s"/>
      <c r="I961" t="s"/>
      <c r="J961" t="n">
        <v>-0.4019</v>
      </c>
      <c r="K961" t="n">
        <v>0.119</v>
      </c>
      <c r="L961" t="n">
        <v>0.881</v>
      </c>
      <c r="M961" t="n">
        <v>0</v>
      </c>
    </row>
    <row r="962" spans="1:13">
      <c r="A962" s="1">
        <f>HYPERLINK("http://www.twitter.com/NathanBLawrence/status/846805521420242944", "846805521420242944")</f>
        <v/>
      </c>
      <c r="B962" s="2" t="n">
        <v>42822.80952546297</v>
      </c>
      <c r="C962" t="n">
        <v>0</v>
      </c>
      <c r="D962" t="n">
        <v>1140</v>
      </c>
      <c r="E962" t="s">
        <v>968</v>
      </c>
      <c r="F962">
        <f>HYPERLINK("http://pbs.twimg.com/media/C8BTpixXQAAlN1h.jpg", "http://pbs.twimg.com/media/C8BTpixXQAAlN1h.jpg")</f>
        <v/>
      </c>
      <c r="G962" t="s"/>
      <c r="H962" t="s"/>
      <c r="I962" t="s"/>
      <c r="J962" t="n">
        <v>0.2023</v>
      </c>
      <c r="K962" t="n">
        <v>0.095</v>
      </c>
      <c r="L962" t="n">
        <v>0.773</v>
      </c>
      <c r="M962" t="n">
        <v>0.132</v>
      </c>
    </row>
    <row r="963" spans="1:13">
      <c r="A963" s="1">
        <f>HYPERLINK("http://www.twitter.com/NathanBLawrence/status/846782084605726720", "846782084605726720")</f>
        <v/>
      </c>
      <c r="B963" s="2" t="n">
        <v>42822.74486111111</v>
      </c>
      <c r="C963" t="n">
        <v>0</v>
      </c>
      <c r="D963" t="n">
        <v>0</v>
      </c>
      <c r="E963" t="s">
        <v>969</v>
      </c>
      <c r="F963" t="s"/>
      <c r="G963" t="s"/>
      <c r="H963" t="s"/>
      <c r="I963" t="s"/>
      <c r="J963" t="n">
        <v>0.4404</v>
      </c>
      <c r="K963" t="n">
        <v>0</v>
      </c>
      <c r="L963" t="n">
        <v>0.734</v>
      </c>
      <c r="M963" t="n">
        <v>0.266</v>
      </c>
    </row>
    <row r="964" spans="1:13">
      <c r="A964" s="1">
        <f>HYPERLINK("http://www.twitter.com/NathanBLawrence/status/846777588831924224", "846777588831924224")</f>
        <v/>
      </c>
      <c r="B964" s="2" t="n">
        <v>42822.73245370371</v>
      </c>
      <c r="C964" t="n">
        <v>0</v>
      </c>
      <c r="D964" t="n">
        <v>422</v>
      </c>
      <c r="E964" t="s">
        <v>970</v>
      </c>
      <c r="F964">
        <f>HYPERLINK("http://pbs.twimg.com/media/C7-UeWXVUAAX0Ex.jpg", "http://pbs.twimg.com/media/C7-UeWXVUAAX0Ex.jpg")</f>
        <v/>
      </c>
      <c r="G964" t="s"/>
      <c r="H964" t="s"/>
      <c r="I964" t="s"/>
      <c r="J964" t="n">
        <v>-0.296</v>
      </c>
      <c r="K964" t="n">
        <v>0.109</v>
      </c>
      <c r="L964" t="n">
        <v>0.891</v>
      </c>
      <c r="M964" t="n">
        <v>0</v>
      </c>
    </row>
    <row r="965" spans="1:13">
      <c r="A965" s="1">
        <f>HYPERLINK("http://www.twitter.com/NathanBLawrence/status/846777263962161152", "846777263962161152")</f>
        <v/>
      </c>
      <c r="B965" s="2" t="n">
        <v>42822.73155092593</v>
      </c>
      <c r="C965" t="n">
        <v>28</v>
      </c>
      <c r="D965" t="n">
        <v>0</v>
      </c>
      <c r="E965" t="s">
        <v>971</v>
      </c>
      <c r="F965" t="s"/>
      <c r="G965" t="s"/>
      <c r="H965" t="s"/>
      <c r="I965" t="s"/>
      <c r="J965" t="n">
        <v>0.5445</v>
      </c>
      <c r="K965" t="n">
        <v>0.134</v>
      </c>
      <c r="L965" t="n">
        <v>0.508</v>
      </c>
      <c r="M965" t="n">
        <v>0.357</v>
      </c>
    </row>
    <row r="966" spans="1:13">
      <c r="A966" s="1">
        <f>HYPERLINK("http://www.twitter.com/NathanBLawrence/status/846769291219402753", "846769291219402753")</f>
        <v/>
      </c>
      <c r="B966" s="2" t="n">
        <v>42822.70954861111</v>
      </c>
      <c r="C966" t="n">
        <v>0</v>
      </c>
      <c r="D966" t="n">
        <v>6203</v>
      </c>
      <c r="E966" t="s">
        <v>972</v>
      </c>
      <c r="F966" t="s"/>
      <c r="G966" t="s"/>
      <c r="H966" t="s"/>
      <c r="I966" t="s"/>
      <c r="J966" t="n">
        <v>-0.876</v>
      </c>
      <c r="K966" t="n">
        <v>0.367</v>
      </c>
      <c r="L966" t="n">
        <v>0.633</v>
      </c>
      <c r="M966" t="n">
        <v>0</v>
      </c>
    </row>
    <row r="967" spans="1:13">
      <c r="A967" s="1">
        <f>HYPERLINK("http://www.twitter.com/NathanBLawrence/status/846766589894676481", "846766589894676481")</f>
        <v/>
      </c>
      <c r="B967" s="2" t="n">
        <v>42822.70209490741</v>
      </c>
      <c r="C967" t="n">
        <v>0</v>
      </c>
      <c r="D967" t="n">
        <v>1904</v>
      </c>
      <c r="E967" t="s">
        <v>973</v>
      </c>
      <c r="F967" t="s"/>
      <c r="G967" t="s"/>
      <c r="H967" t="s"/>
      <c r="I967" t="s"/>
      <c r="J967" t="n">
        <v>0</v>
      </c>
      <c r="K967" t="n">
        <v>0</v>
      </c>
      <c r="L967" t="n">
        <v>1</v>
      </c>
      <c r="M967" t="n">
        <v>0</v>
      </c>
    </row>
    <row r="968" spans="1:13">
      <c r="A968" s="1">
        <f>HYPERLINK("http://www.twitter.com/NathanBLawrence/status/846766303230775297", "846766303230775297")</f>
        <v/>
      </c>
      <c r="B968" s="2" t="n">
        <v>42822.70130787037</v>
      </c>
      <c r="C968" t="n">
        <v>0</v>
      </c>
      <c r="D968" t="n">
        <v>70</v>
      </c>
      <c r="E968" t="s">
        <v>974</v>
      </c>
      <c r="F968" t="s"/>
      <c r="G968" t="s"/>
      <c r="H968" t="s"/>
      <c r="I968" t="s"/>
      <c r="J968" t="n">
        <v>0.6037</v>
      </c>
      <c r="K968" t="n">
        <v>0</v>
      </c>
      <c r="L968" t="n">
        <v>0.775</v>
      </c>
      <c r="M968" t="n">
        <v>0.225</v>
      </c>
    </row>
    <row r="969" spans="1:13">
      <c r="A969" s="1">
        <f>HYPERLINK("http://www.twitter.com/NathanBLawrence/status/846645957068574720", "846645957068574720")</f>
        <v/>
      </c>
      <c r="B969" s="2" t="n">
        <v>42822.36921296296</v>
      </c>
      <c r="C969" t="n">
        <v>0</v>
      </c>
      <c r="D969" t="n">
        <v>95</v>
      </c>
      <c r="E969" t="s">
        <v>975</v>
      </c>
      <c r="F969">
        <f>HYPERLINK("http://pbs.twimg.com/media/C7_dKf9VQAALy7X.jpg", "http://pbs.twimg.com/media/C7_dKf9VQAALy7X.jpg")</f>
        <v/>
      </c>
      <c r="G969" t="s"/>
      <c r="H969" t="s"/>
      <c r="I969" t="s"/>
      <c r="J969" t="n">
        <v>-0.296</v>
      </c>
      <c r="K969" t="n">
        <v>0.239</v>
      </c>
      <c r="L969" t="n">
        <v>0.761</v>
      </c>
      <c r="M969" t="n">
        <v>0</v>
      </c>
    </row>
    <row r="970" spans="1:13">
      <c r="A970" s="1">
        <f>HYPERLINK("http://www.twitter.com/NathanBLawrence/status/846644460029120513", "846644460029120513")</f>
        <v/>
      </c>
      <c r="B970" s="2" t="n">
        <v>42822.36508101852</v>
      </c>
      <c r="C970" t="n">
        <v>0</v>
      </c>
      <c r="D970" t="n">
        <v>133</v>
      </c>
      <c r="E970" t="s">
        <v>976</v>
      </c>
      <c r="F970" t="s"/>
      <c r="G970" t="s"/>
      <c r="H970" t="s"/>
      <c r="I970" t="s"/>
      <c r="J970" t="n">
        <v>-0.6369</v>
      </c>
      <c r="K970" t="n">
        <v>0.234</v>
      </c>
      <c r="L970" t="n">
        <v>0.766</v>
      </c>
      <c r="M970" t="n">
        <v>0</v>
      </c>
    </row>
    <row r="971" spans="1:13">
      <c r="A971" s="1">
        <f>HYPERLINK("http://www.twitter.com/NathanBLawrence/status/846499515247083525", "846499515247083525")</f>
        <v/>
      </c>
      <c r="B971" s="2" t="n">
        <v>42821.96511574074</v>
      </c>
      <c r="C971" t="n">
        <v>0</v>
      </c>
      <c r="D971" t="n">
        <v>1765</v>
      </c>
      <c r="E971" t="s">
        <v>977</v>
      </c>
      <c r="F971" t="s"/>
      <c r="G971" t="s"/>
      <c r="H971" t="s"/>
      <c r="I971" t="s"/>
      <c r="J971" t="n">
        <v>-0.7906</v>
      </c>
      <c r="K971" t="n">
        <v>0.308</v>
      </c>
      <c r="L971" t="n">
        <v>0.6919999999999999</v>
      </c>
      <c r="M971" t="n">
        <v>0</v>
      </c>
    </row>
    <row r="972" spans="1:13">
      <c r="A972" s="1">
        <f>HYPERLINK("http://www.twitter.com/NathanBLawrence/status/846445287853953025", "846445287853953025")</f>
        <v/>
      </c>
      <c r="B972" s="2" t="n">
        <v>42821.81547453703</v>
      </c>
      <c r="C972" t="n">
        <v>0</v>
      </c>
      <c r="D972" t="n">
        <v>76</v>
      </c>
      <c r="E972" t="s">
        <v>978</v>
      </c>
      <c r="F972" t="s"/>
      <c r="G972" t="s"/>
      <c r="H972" t="s"/>
      <c r="I972" t="s"/>
      <c r="J972" t="n">
        <v>0.34</v>
      </c>
      <c r="K972" t="n">
        <v>0</v>
      </c>
      <c r="L972" t="n">
        <v>0.876</v>
      </c>
      <c r="M972" t="n">
        <v>0.124</v>
      </c>
    </row>
    <row r="973" spans="1:13">
      <c r="A973" s="1">
        <f>HYPERLINK("http://www.twitter.com/NathanBLawrence/status/846441290258698246", "846441290258698246")</f>
        <v/>
      </c>
      <c r="B973" s="2" t="n">
        <v>42821.80444444445</v>
      </c>
      <c r="C973" t="n">
        <v>0</v>
      </c>
      <c r="D973" t="n">
        <v>936</v>
      </c>
      <c r="E973" t="s">
        <v>979</v>
      </c>
      <c r="F973" t="s"/>
      <c r="G973" t="s"/>
      <c r="H973" t="s"/>
      <c r="I973" t="s"/>
      <c r="J973" t="n">
        <v>0.6597</v>
      </c>
      <c r="K973" t="n">
        <v>0.106</v>
      </c>
      <c r="L973" t="n">
        <v>0.621</v>
      </c>
      <c r="M973" t="n">
        <v>0.273</v>
      </c>
    </row>
    <row r="974" spans="1:13">
      <c r="A974" s="1">
        <f>HYPERLINK("http://www.twitter.com/NathanBLawrence/status/846402965795737600", "846402965795737600")</f>
        <v/>
      </c>
      <c r="B974" s="2" t="n">
        <v>42821.69869212963</v>
      </c>
      <c r="C974" t="n">
        <v>1</v>
      </c>
      <c r="D974" t="n">
        <v>0</v>
      </c>
      <c r="E974" t="s">
        <v>980</v>
      </c>
      <c r="F974" t="s"/>
      <c r="G974" t="s"/>
      <c r="H974" t="s"/>
      <c r="I974" t="s"/>
      <c r="J974" t="n">
        <v>-0.0258</v>
      </c>
      <c r="K974" t="n">
        <v>0.213</v>
      </c>
      <c r="L974" t="n">
        <v>0.531</v>
      </c>
      <c r="M974" t="n">
        <v>0.256</v>
      </c>
    </row>
    <row r="975" spans="1:13">
      <c r="A975" s="1">
        <f>HYPERLINK("http://www.twitter.com/NathanBLawrence/status/846402313149394944", "846402313149394944")</f>
        <v/>
      </c>
      <c r="B975" s="2" t="n">
        <v>42821.69688657407</v>
      </c>
      <c r="C975" t="n">
        <v>0</v>
      </c>
      <c r="D975" t="n">
        <v>1052</v>
      </c>
      <c r="E975" t="s">
        <v>981</v>
      </c>
      <c r="F975" t="s"/>
      <c r="G975" t="s"/>
      <c r="H975" t="s"/>
      <c r="I975" t="s"/>
      <c r="J975" t="n">
        <v>-0.0516</v>
      </c>
      <c r="K975" t="n">
        <v>0.102</v>
      </c>
      <c r="L975" t="n">
        <v>0.805</v>
      </c>
      <c r="M975" t="n">
        <v>0.093</v>
      </c>
    </row>
    <row r="976" spans="1:13">
      <c r="A976" s="1">
        <f>HYPERLINK("http://www.twitter.com/NathanBLawrence/status/846319004872531969", "846319004872531969")</f>
        <v/>
      </c>
      <c r="B976" s="2" t="n">
        <v>42821.46700231481</v>
      </c>
      <c r="C976" t="n">
        <v>0</v>
      </c>
      <c r="D976" t="n">
        <v>1092</v>
      </c>
      <c r="E976" t="s">
        <v>982</v>
      </c>
      <c r="F976" t="s"/>
      <c r="G976" t="s"/>
      <c r="H976" t="s"/>
      <c r="I976" t="s"/>
      <c r="J976" t="n">
        <v>-0.8519</v>
      </c>
      <c r="K976" t="n">
        <v>0.341</v>
      </c>
      <c r="L976" t="n">
        <v>0.659</v>
      </c>
      <c r="M976" t="n">
        <v>0</v>
      </c>
    </row>
    <row r="977" spans="1:13">
      <c r="A977" s="1">
        <f>HYPERLINK("http://www.twitter.com/NathanBLawrence/status/846284178006179840", "846284178006179840")</f>
        <v/>
      </c>
      <c r="B977" s="2" t="n">
        <v>42821.3708912037</v>
      </c>
      <c r="C977" t="n">
        <v>10</v>
      </c>
      <c r="D977" t="n">
        <v>5</v>
      </c>
      <c r="E977" t="s">
        <v>983</v>
      </c>
      <c r="F977" t="s"/>
      <c r="G977" t="s"/>
      <c r="H977" t="s"/>
      <c r="I977" t="s"/>
      <c r="J977" t="n">
        <v>-0.4574</v>
      </c>
      <c r="K977" t="n">
        <v>0.115</v>
      </c>
      <c r="L977" t="n">
        <v>0.885</v>
      </c>
      <c r="M977" t="n">
        <v>0</v>
      </c>
    </row>
    <row r="978" spans="1:13">
      <c r="A978" s="1">
        <f>HYPERLINK("http://www.twitter.com/NathanBLawrence/status/846062148367368193", "846062148367368193")</f>
        <v/>
      </c>
      <c r="B978" s="2" t="n">
        <v>42820.75820601852</v>
      </c>
      <c r="C978" t="n">
        <v>0</v>
      </c>
      <c r="D978" t="n">
        <v>6</v>
      </c>
      <c r="E978" t="s">
        <v>984</v>
      </c>
      <c r="F978" t="s"/>
      <c r="G978" t="s"/>
      <c r="H978" t="s"/>
      <c r="I978" t="s"/>
      <c r="J978" t="n">
        <v>0.4404</v>
      </c>
      <c r="K978" t="n">
        <v>0</v>
      </c>
      <c r="L978" t="n">
        <v>0.879</v>
      </c>
      <c r="M978" t="n">
        <v>0.121</v>
      </c>
    </row>
    <row r="979" spans="1:13">
      <c r="A979" s="1">
        <f>HYPERLINK("http://www.twitter.com/NathanBLawrence/status/846059456450449408", "846059456450449408")</f>
        <v/>
      </c>
      <c r="B979" s="2" t="n">
        <v>42820.75078703704</v>
      </c>
      <c r="C979" t="n">
        <v>0</v>
      </c>
      <c r="D979" t="n">
        <v>5</v>
      </c>
      <c r="E979" t="s">
        <v>985</v>
      </c>
      <c r="F979" t="s"/>
      <c r="G979" t="s"/>
      <c r="H979" t="s"/>
      <c r="I979" t="s"/>
      <c r="J979" t="n">
        <v>-0.0516</v>
      </c>
      <c r="K979" t="n">
        <v>0.052</v>
      </c>
      <c r="L979" t="n">
        <v>0.948</v>
      </c>
      <c r="M979" t="n">
        <v>0</v>
      </c>
    </row>
    <row r="980" spans="1:13">
      <c r="A980" s="1">
        <f>HYPERLINK("http://www.twitter.com/NathanBLawrence/status/845969497181868034", "845969497181868034")</f>
        <v/>
      </c>
      <c r="B980" s="2" t="n">
        <v>42820.50254629629</v>
      </c>
      <c r="C980" t="n">
        <v>0</v>
      </c>
      <c r="D980" t="n">
        <v>38</v>
      </c>
      <c r="E980" t="s">
        <v>986</v>
      </c>
      <c r="F980">
        <f>HYPERLINK("http://pbs.twimg.com/media/C71Qf_ZXkAEU9aC.jpg", "http://pbs.twimg.com/media/C71Qf_ZXkAEU9aC.jpg")</f>
        <v/>
      </c>
      <c r="G980" t="s"/>
      <c r="H980" t="s"/>
      <c r="I980" t="s"/>
      <c r="J980" t="n">
        <v>-0.4019</v>
      </c>
      <c r="K980" t="n">
        <v>0.31</v>
      </c>
      <c r="L980" t="n">
        <v>0.6899999999999999</v>
      </c>
      <c r="M980" t="n">
        <v>0</v>
      </c>
    </row>
    <row r="981" spans="1:13">
      <c r="A981" s="1">
        <f>HYPERLINK("http://www.twitter.com/NathanBLawrence/status/845969064946257920", "845969064946257920")</f>
        <v/>
      </c>
      <c r="B981" s="2" t="n">
        <v>42820.50135416666</v>
      </c>
      <c r="C981" t="n">
        <v>0</v>
      </c>
      <c r="D981" t="n">
        <v>2598</v>
      </c>
      <c r="E981" t="s">
        <v>987</v>
      </c>
      <c r="F981" t="s"/>
      <c r="G981" t="s"/>
      <c r="H981" t="s"/>
      <c r="I981" t="s"/>
      <c r="J981" t="n">
        <v>0</v>
      </c>
      <c r="K981" t="n">
        <v>0</v>
      </c>
      <c r="L981" t="n">
        <v>1</v>
      </c>
      <c r="M981" t="n">
        <v>0</v>
      </c>
    </row>
    <row r="982" spans="1:13">
      <c r="A982" s="1">
        <f>HYPERLINK("http://www.twitter.com/NathanBLawrence/status/845675584520966145", "845675584520966145")</f>
        <v/>
      </c>
      <c r="B982" s="2" t="n">
        <v>42819.69149305556</v>
      </c>
      <c r="C982" t="n">
        <v>0</v>
      </c>
      <c r="D982" t="n">
        <v>162</v>
      </c>
      <c r="E982" t="s">
        <v>988</v>
      </c>
      <c r="F982" t="s"/>
      <c r="G982" t="s"/>
      <c r="H982" t="s"/>
      <c r="I982" t="s"/>
      <c r="J982" t="n">
        <v>-0.7403999999999999</v>
      </c>
      <c r="K982" t="n">
        <v>0.239</v>
      </c>
      <c r="L982" t="n">
        <v>0.761</v>
      </c>
      <c r="M982" t="n">
        <v>0</v>
      </c>
    </row>
    <row r="983" spans="1:13">
      <c r="A983" s="1">
        <f>HYPERLINK("http://www.twitter.com/NathanBLawrence/status/845558729797910528", "845558729797910528")</f>
        <v/>
      </c>
      <c r="B983" s="2" t="n">
        <v>42819.36903935186</v>
      </c>
      <c r="C983" t="n">
        <v>0</v>
      </c>
      <c r="D983" t="n">
        <v>1928</v>
      </c>
      <c r="E983" t="s">
        <v>989</v>
      </c>
      <c r="F983">
        <f>HYPERLINK("http://pbs.twimg.com/media/C7uhPDwX0AYciZa.jpg", "http://pbs.twimg.com/media/C7uhPDwX0AYciZa.jpg")</f>
        <v/>
      </c>
      <c r="G983" t="s"/>
      <c r="H983" t="s"/>
      <c r="I983" t="s"/>
      <c r="J983" t="n">
        <v>0.4019</v>
      </c>
      <c r="K983" t="n">
        <v>0.08400000000000001</v>
      </c>
      <c r="L983" t="n">
        <v>0.748</v>
      </c>
      <c r="M983" t="n">
        <v>0.168</v>
      </c>
    </row>
    <row r="984" spans="1:13">
      <c r="A984" s="1">
        <f>HYPERLINK("http://www.twitter.com/NathanBLawrence/status/845402314735276033", "845402314735276033")</f>
        <v/>
      </c>
      <c r="B984" s="2" t="n">
        <v>42818.93741898148</v>
      </c>
      <c r="C984" t="n">
        <v>0</v>
      </c>
      <c r="D984" t="n">
        <v>63</v>
      </c>
      <c r="E984" t="s">
        <v>990</v>
      </c>
      <c r="F984" t="s"/>
      <c r="G984" t="s"/>
      <c r="H984" t="s"/>
      <c r="I984" t="s"/>
      <c r="J984" t="n">
        <v>-0.34</v>
      </c>
      <c r="K984" t="n">
        <v>0.118</v>
      </c>
      <c r="L984" t="n">
        <v>0.882</v>
      </c>
      <c r="M984" t="n">
        <v>0</v>
      </c>
    </row>
    <row r="985" spans="1:13">
      <c r="A985" s="1">
        <f>HYPERLINK("http://www.twitter.com/NathanBLawrence/status/845396336342192129", "845396336342192129")</f>
        <v/>
      </c>
      <c r="B985" s="2" t="n">
        <v>42818.92091435185</v>
      </c>
      <c r="C985" t="n">
        <v>0</v>
      </c>
      <c r="D985" t="n">
        <v>1526</v>
      </c>
      <c r="E985" t="s">
        <v>991</v>
      </c>
      <c r="F985" t="s"/>
      <c r="G985" t="s"/>
      <c r="H985" t="s"/>
      <c r="I985" t="s"/>
      <c r="J985" t="n">
        <v>0.2003</v>
      </c>
      <c r="K985" t="n">
        <v>0</v>
      </c>
      <c r="L985" t="n">
        <v>0.914</v>
      </c>
      <c r="M985" t="n">
        <v>0.08599999999999999</v>
      </c>
    </row>
    <row r="986" spans="1:13">
      <c r="A986" s="1">
        <f>HYPERLINK("http://www.twitter.com/NathanBLawrence/status/845393841687576577", "845393841687576577")</f>
        <v/>
      </c>
      <c r="B986" s="2" t="n">
        <v>42818.91403935185</v>
      </c>
      <c r="C986" t="n">
        <v>0</v>
      </c>
      <c r="D986" t="n">
        <v>0</v>
      </c>
      <c r="E986" t="s">
        <v>992</v>
      </c>
      <c r="F986" t="s"/>
      <c r="G986" t="s"/>
      <c r="H986" t="s"/>
      <c r="I986" t="s"/>
      <c r="J986" t="n">
        <v>0</v>
      </c>
      <c r="K986" t="n">
        <v>0</v>
      </c>
      <c r="L986" t="n">
        <v>1</v>
      </c>
      <c r="M986" t="n">
        <v>0</v>
      </c>
    </row>
    <row r="987" spans="1:13">
      <c r="A987" s="1">
        <f>HYPERLINK("http://www.twitter.com/NathanBLawrence/status/845374843809861635", "845374843809861635")</f>
        <v/>
      </c>
      <c r="B987" s="2" t="n">
        <v>42818.86160879629</v>
      </c>
      <c r="C987" t="n">
        <v>0</v>
      </c>
      <c r="D987" t="n">
        <v>0</v>
      </c>
      <c r="E987" t="s">
        <v>993</v>
      </c>
      <c r="F987" t="s"/>
      <c r="G987" t="s"/>
      <c r="H987" t="s"/>
      <c r="I987" t="s"/>
      <c r="J987" t="n">
        <v>0.296</v>
      </c>
      <c r="K987" t="n">
        <v>0</v>
      </c>
      <c r="L987" t="n">
        <v>0.804</v>
      </c>
      <c r="M987" t="n">
        <v>0.196</v>
      </c>
    </row>
    <row r="988" spans="1:13">
      <c r="A988" s="1">
        <f>HYPERLINK("http://www.twitter.com/NathanBLawrence/status/845374128286781440", "845374128286781440")</f>
        <v/>
      </c>
      <c r="B988" s="2" t="n">
        <v>42818.8596412037</v>
      </c>
      <c r="C988" t="n">
        <v>0</v>
      </c>
      <c r="D988" t="n">
        <v>10</v>
      </c>
      <c r="E988" t="s">
        <v>994</v>
      </c>
      <c r="F988">
        <f>HYPERLINK("http://pbs.twimg.com/media/C7te85GXwAIl5PQ.jpg", "http://pbs.twimg.com/media/C7te85GXwAIl5PQ.jpg")</f>
        <v/>
      </c>
      <c r="G988" t="s"/>
      <c r="H988" t="s"/>
      <c r="I988" t="s"/>
      <c r="J988" t="n">
        <v>-0.2411</v>
      </c>
      <c r="K988" t="n">
        <v>0.102</v>
      </c>
      <c r="L988" t="n">
        <v>0.841</v>
      </c>
      <c r="M988" t="n">
        <v>0.057</v>
      </c>
    </row>
    <row r="989" spans="1:13">
      <c r="A989" s="1">
        <f>HYPERLINK("http://www.twitter.com/NathanBLawrence/status/845372798575005697", "845372798575005697")</f>
        <v/>
      </c>
      <c r="B989" s="2" t="n">
        <v>42818.85597222222</v>
      </c>
      <c r="C989" t="n">
        <v>0</v>
      </c>
      <c r="D989" t="n">
        <v>702</v>
      </c>
      <c r="E989" t="s">
        <v>995</v>
      </c>
      <c r="F989" t="s"/>
      <c r="G989" t="s"/>
      <c r="H989" t="s"/>
      <c r="I989" t="s"/>
      <c r="J989" t="n">
        <v>0.7783</v>
      </c>
      <c r="K989" t="n">
        <v>0</v>
      </c>
      <c r="L989" t="n">
        <v>0.719</v>
      </c>
      <c r="M989" t="n">
        <v>0.281</v>
      </c>
    </row>
    <row r="990" spans="1:13">
      <c r="A990" s="1">
        <f>HYPERLINK("http://www.twitter.com/NathanBLawrence/status/845372032812548096", "845372032812548096")</f>
        <v/>
      </c>
      <c r="B990" s="2" t="n">
        <v>42818.85385416666</v>
      </c>
      <c r="C990" t="n">
        <v>0</v>
      </c>
      <c r="D990" t="n">
        <v>565</v>
      </c>
      <c r="E990" t="s">
        <v>996</v>
      </c>
      <c r="F990">
        <f>HYPERLINK("http://pbs.twimg.com/media/C7pwFBuW4AI1Vme.jpg", "http://pbs.twimg.com/media/C7pwFBuW4AI1Vme.jpg")</f>
        <v/>
      </c>
      <c r="G990" t="s"/>
      <c r="H990" t="s"/>
      <c r="I990" t="s"/>
      <c r="J990" t="n">
        <v>0.2263</v>
      </c>
      <c r="K990" t="n">
        <v>0</v>
      </c>
      <c r="L990" t="n">
        <v>0.913</v>
      </c>
      <c r="M990" t="n">
        <v>0.08699999999999999</v>
      </c>
    </row>
    <row r="991" spans="1:13">
      <c r="A991" s="1">
        <f>HYPERLINK("http://www.twitter.com/NathanBLawrence/status/845371752641384448", "845371752641384448")</f>
        <v/>
      </c>
      <c r="B991" s="2" t="n">
        <v>42818.8530787037</v>
      </c>
      <c r="C991" t="n">
        <v>0</v>
      </c>
      <c r="D991" t="n">
        <v>13</v>
      </c>
      <c r="E991" t="s">
        <v>997</v>
      </c>
      <c r="F991" t="s"/>
      <c r="G991" t="s"/>
      <c r="H991" t="s"/>
      <c r="I991" t="s"/>
      <c r="J991" t="n">
        <v>0</v>
      </c>
      <c r="K991" t="n">
        <v>0</v>
      </c>
      <c r="L991" t="n">
        <v>1</v>
      </c>
      <c r="M991" t="n">
        <v>0</v>
      </c>
    </row>
    <row r="992" spans="1:13">
      <c r="A992" s="1">
        <f>HYPERLINK("http://www.twitter.com/NathanBLawrence/status/845371221139243008", "845371221139243008")</f>
        <v/>
      </c>
      <c r="B992" s="2" t="n">
        <v>42818.85162037037</v>
      </c>
      <c r="C992" t="n">
        <v>0</v>
      </c>
      <c r="D992" t="n">
        <v>687</v>
      </c>
      <c r="E992" t="s">
        <v>998</v>
      </c>
      <c r="F992" t="s"/>
      <c r="G992" t="s"/>
      <c r="H992" t="s"/>
      <c r="I992" t="s"/>
      <c r="J992" t="n">
        <v>-0.4767</v>
      </c>
      <c r="K992" t="n">
        <v>0.11</v>
      </c>
      <c r="L992" t="n">
        <v>0.89</v>
      </c>
      <c r="M992" t="n">
        <v>0</v>
      </c>
    </row>
    <row r="993" spans="1:13">
      <c r="A993" s="1">
        <f>HYPERLINK("http://www.twitter.com/NathanBLawrence/status/845369612170674176", "845369612170674176")</f>
        <v/>
      </c>
      <c r="B993" s="2" t="n">
        <v>42818.84717592593</v>
      </c>
      <c r="C993" t="n">
        <v>0</v>
      </c>
      <c r="D993" t="n">
        <v>1</v>
      </c>
      <c r="E993" t="s">
        <v>999</v>
      </c>
      <c r="F993" t="s"/>
      <c r="G993" t="s"/>
      <c r="H993" t="s"/>
      <c r="I993" t="s"/>
      <c r="J993" t="n">
        <v>0.7351</v>
      </c>
      <c r="K993" t="n">
        <v>0</v>
      </c>
      <c r="L993" t="n">
        <v>0.795</v>
      </c>
      <c r="M993" t="n">
        <v>0.205</v>
      </c>
    </row>
    <row r="994" spans="1:13">
      <c r="A994" s="1">
        <f>HYPERLINK("http://www.twitter.com/NathanBLawrence/status/845369130731655168", "845369130731655168")</f>
        <v/>
      </c>
      <c r="B994" s="2" t="n">
        <v>42818.84584490741</v>
      </c>
      <c r="C994" t="n">
        <v>1</v>
      </c>
      <c r="D994" t="n">
        <v>0</v>
      </c>
      <c r="E994" t="s">
        <v>1000</v>
      </c>
      <c r="F994" t="s"/>
      <c r="G994" t="s"/>
      <c r="H994" t="s"/>
      <c r="I994" t="s"/>
      <c r="J994" t="n">
        <v>0.4926</v>
      </c>
      <c r="K994" t="n">
        <v>0</v>
      </c>
      <c r="L994" t="n">
        <v>0.484</v>
      </c>
      <c r="M994" t="n">
        <v>0.516</v>
      </c>
    </row>
    <row r="995" spans="1:13">
      <c r="A995" s="1">
        <f>HYPERLINK("http://www.twitter.com/NathanBLawrence/status/845368672382259201", "845368672382259201")</f>
        <v/>
      </c>
      <c r="B995" s="2" t="n">
        <v>42818.84458333333</v>
      </c>
      <c r="C995" t="n">
        <v>1</v>
      </c>
      <c r="D995" t="n">
        <v>0</v>
      </c>
      <c r="E995" t="s">
        <v>1001</v>
      </c>
      <c r="F995" t="s"/>
      <c r="G995" t="s"/>
      <c r="H995" t="s"/>
      <c r="I995" t="s"/>
      <c r="J995" t="n">
        <v>0.3182</v>
      </c>
      <c r="K995" t="n">
        <v>0</v>
      </c>
      <c r="L995" t="n">
        <v>0.85</v>
      </c>
      <c r="M995" t="n">
        <v>0.15</v>
      </c>
    </row>
    <row r="996" spans="1:13">
      <c r="A996" s="1">
        <f>HYPERLINK("http://www.twitter.com/NathanBLawrence/status/845368324187934720", "845368324187934720")</f>
        <v/>
      </c>
      <c r="B996" s="2" t="n">
        <v>42818.84362268518</v>
      </c>
      <c r="C996" t="n">
        <v>0</v>
      </c>
      <c r="D996" t="n">
        <v>288</v>
      </c>
      <c r="E996" t="s">
        <v>1002</v>
      </c>
      <c r="F996" t="s"/>
      <c r="G996" t="s"/>
      <c r="H996" t="s"/>
      <c r="I996" t="s"/>
      <c r="J996" t="n">
        <v>-0.7824</v>
      </c>
      <c r="K996" t="n">
        <v>0.256</v>
      </c>
      <c r="L996" t="n">
        <v>0.744</v>
      </c>
      <c r="M996" t="n">
        <v>0</v>
      </c>
    </row>
    <row r="997" spans="1:13">
      <c r="A997" s="1">
        <f>HYPERLINK("http://www.twitter.com/NathanBLawrence/status/845368029731008512", "845368029731008512")</f>
        <v/>
      </c>
      <c r="B997" s="2" t="n">
        <v>42818.8428125</v>
      </c>
      <c r="C997" t="n">
        <v>0</v>
      </c>
      <c r="D997" t="n">
        <v>0</v>
      </c>
      <c r="E997" t="s">
        <v>1003</v>
      </c>
      <c r="F997" t="s"/>
      <c r="G997" t="s"/>
      <c r="H997" t="s"/>
      <c r="I997" t="s"/>
      <c r="J997" t="n">
        <v>-0.6124000000000001</v>
      </c>
      <c r="K997" t="n">
        <v>0.278</v>
      </c>
      <c r="L997" t="n">
        <v>0.605</v>
      </c>
      <c r="M997" t="n">
        <v>0.117</v>
      </c>
    </row>
    <row r="998" spans="1:13">
      <c r="A998" s="1">
        <f>HYPERLINK("http://www.twitter.com/NathanBLawrence/status/845367532450172932", "845367532450172932")</f>
        <v/>
      </c>
      <c r="B998" s="2" t="n">
        <v>42818.84143518518</v>
      </c>
      <c r="C998" t="n">
        <v>0</v>
      </c>
      <c r="D998" t="n">
        <v>0</v>
      </c>
      <c r="E998" t="s">
        <v>1004</v>
      </c>
      <c r="F998" t="s"/>
      <c r="G998" t="s"/>
      <c r="H998" t="s"/>
      <c r="I998" t="s"/>
      <c r="J998" t="n">
        <v>-0.3135</v>
      </c>
      <c r="K998" t="n">
        <v>0.195</v>
      </c>
      <c r="L998" t="n">
        <v>0.6909999999999999</v>
      </c>
      <c r="M998" t="n">
        <v>0.114</v>
      </c>
    </row>
    <row r="999" spans="1:13">
      <c r="A999" s="1">
        <f>HYPERLINK("http://www.twitter.com/NathanBLawrence/status/845366982455300097", "845366982455300097")</f>
        <v/>
      </c>
      <c r="B999" s="2" t="n">
        <v>42818.83991898148</v>
      </c>
      <c r="C999" t="n">
        <v>1</v>
      </c>
      <c r="D999" t="n">
        <v>0</v>
      </c>
      <c r="E999" t="s">
        <v>1005</v>
      </c>
      <c r="F999" t="s"/>
      <c r="G999" t="s"/>
      <c r="H999" t="s"/>
      <c r="I999" t="s"/>
      <c r="J999" t="n">
        <v>-0.4003</v>
      </c>
      <c r="K999" t="n">
        <v>0.396</v>
      </c>
      <c r="L999" t="n">
        <v>0.361</v>
      </c>
      <c r="M999" t="n">
        <v>0.243</v>
      </c>
    </row>
    <row r="1000" spans="1:13">
      <c r="A1000" s="1">
        <f>HYPERLINK("http://www.twitter.com/NathanBLawrence/status/845364204550983681", "845364204550983681")</f>
        <v/>
      </c>
      <c r="B1000" s="2" t="n">
        <v>42818.83225694444</v>
      </c>
      <c r="C1000" t="n">
        <v>0</v>
      </c>
      <c r="D1000" t="n">
        <v>11</v>
      </c>
      <c r="E1000" t="s">
        <v>1006</v>
      </c>
      <c r="F1000" t="s"/>
      <c r="G1000" t="s"/>
      <c r="H1000" t="s"/>
      <c r="I1000" t="s"/>
      <c r="J1000" t="n">
        <v>-0.7488</v>
      </c>
      <c r="K1000" t="n">
        <v>0.251</v>
      </c>
      <c r="L1000" t="n">
        <v>0.749</v>
      </c>
      <c r="M1000" t="n">
        <v>0</v>
      </c>
    </row>
    <row r="1001" spans="1:13">
      <c r="A1001" s="1">
        <f>HYPERLINK("http://www.twitter.com/NathanBLawrence/status/845342155006787584", "845342155006787584")</f>
        <v/>
      </c>
      <c r="B1001" s="2" t="n">
        <v>42818.77141203704</v>
      </c>
      <c r="C1001" t="n">
        <v>0</v>
      </c>
      <c r="D1001" t="n">
        <v>73</v>
      </c>
      <c r="E1001" t="s">
        <v>1007</v>
      </c>
      <c r="F1001" t="s"/>
      <c r="G1001" t="s"/>
      <c r="H1001" t="s"/>
      <c r="I1001" t="s"/>
      <c r="J1001" t="n">
        <v>-0.2003</v>
      </c>
      <c r="K1001" t="n">
        <v>0.209</v>
      </c>
      <c r="L1001" t="n">
        <v>0.656</v>
      </c>
      <c r="M1001" t="n">
        <v>0.135</v>
      </c>
    </row>
    <row r="1002" spans="1:13">
      <c r="A1002" s="1">
        <f>HYPERLINK("http://www.twitter.com/NathanBLawrence/status/845342030024839169", "845342030024839169")</f>
        <v/>
      </c>
      <c r="B1002" s="2" t="n">
        <v>42818.77106481481</v>
      </c>
      <c r="C1002" t="n">
        <v>0</v>
      </c>
      <c r="D1002" t="n">
        <v>1405</v>
      </c>
      <c r="E1002" t="s">
        <v>1008</v>
      </c>
      <c r="F1002" t="s"/>
      <c r="G1002" t="s"/>
      <c r="H1002" t="s"/>
      <c r="I1002" t="s"/>
      <c r="J1002" t="n">
        <v>0.4404</v>
      </c>
      <c r="K1002" t="n">
        <v>0</v>
      </c>
      <c r="L1002" t="n">
        <v>0.847</v>
      </c>
      <c r="M1002" t="n">
        <v>0.153</v>
      </c>
    </row>
    <row r="1003" spans="1:13">
      <c r="A1003" s="1">
        <f>HYPERLINK("http://www.twitter.com/NathanBLawrence/status/845194715213414400", "845194715213414400")</f>
        <v/>
      </c>
      <c r="B1003" s="2" t="n">
        <v>42818.36454861111</v>
      </c>
      <c r="C1003" t="n">
        <v>0</v>
      </c>
      <c r="D1003" t="n">
        <v>256</v>
      </c>
      <c r="E1003" t="s">
        <v>1009</v>
      </c>
      <c r="F1003">
        <f>HYPERLINK("http://pbs.twimg.com/media/C7qDoaRV4AAibat.jpg", "http://pbs.twimg.com/media/C7qDoaRV4AAibat.jpg")</f>
        <v/>
      </c>
      <c r="G1003" t="s"/>
      <c r="H1003" t="s"/>
      <c r="I1003" t="s"/>
      <c r="J1003" t="n">
        <v>-0.5411</v>
      </c>
      <c r="K1003" t="n">
        <v>0.172</v>
      </c>
      <c r="L1003" t="n">
        <v>0.77</v>
      </c>
      <c r="M1003" t="n">
        <v>0.059</v>
      </c>
    </row>
    <row r="1004" spans="1:13">
      <c r="A1004" s="1">
        <f>HYPERLINK("http://www.twitter.com/NathanBLawrence/status/845190446695366656", "845190446695366656")</f>
        <v/>
      </c>
      <c r="B1004" s="2" t="n">
        <v>42818.35277777778</v>
      </c>
      <c r="C1004" t="n">
        <v>2</v>
      </c>
      <c r="D1004" t="n">
        <v>1</v>
      </c>
      <c r="E1004" t="s">
        <v>1010</v>
      </c>
      <c r="F1004" t="s"/>
      <c r="G1004" t="s"/>
      <c r="H1004" t="s"/>
      <c r="I1004" t="s"/>
      <c r="J1004" t="n">
        <v>-0.3182</v>
      </c>
      <c r="K1004" t="n">
        <v>0.113</v>
      </c>
      <c r="L1004" t="n">
        <v>0.887</v>
      </c>
      <c r="M1004" t="n">
        <v>0</v>
      </c>
    </row>
    <row r="1005" spans="1:13">
      <c r="A1005" s="1">
        <f>HYPERLINK("http://www.twitter.com/NathanBLawrence/status/845180148781465600", "845180148781465600")</f>
        <v/>
      </c>
      <c r="B1005" s="2" t="n">
        <v>42818.32435185185</v>
      </c>
      <c r="C1005" t="n">
        <v>0</v>
      </c>
      <c r="D1005" t="n">
        <v>2</v>
      </c>
      <c r="E1005" t="s">
        <v>1011</v>
      </c>
      <c r="F1005" t="s"/>
      <c r="G1005" t="s"/>
      <c r="H1005" t="s"/>
      <c r="I1005" t="s"/>
      <c r="J1005" t="n">
        <v>0.2263</v>
      </c>
      <c r="K1005" t="n">
        <v>0</v>
      </c>
      <c r="L1005" t="n">
        <v>0.917</v>
      </c>
      <c r="M1005" t="n">
        <v>0.083</v>
      </c>
    </row>
    <row r="1006" spans="1:13">
      <c r="A1006" s="1">
        <f>HYPERLINK("http://www.twitter.com/NathanBLawrence/status/845061288636153856", "845061288636153856")</f>
        <v/>
      </c>
      <c r="B1006" s="2" t="n">
        <v>42817.99636574074</v>
      </c>
      <c r="C1006" t="n">
        <v>0</v>
      </c>
      <c r="D1006" t="n">
        <v>128</v>
      </c>
      <c r="E1006" t="s">
        <v>1012</v>
      </c>
      <c r="F1006">
        <f>HYPERLINK("http://pbs.twimg.com/media/C7oeMo9XgAEShFN.jpg", "http://pbs.twimg.com/media/C7oeMo9XgAEShFN.jpg")</f>
        <v/>
      </c>
      <c r="G1006" t="s"/>
      <c r="H1006" t="s"/>
      <c r="I1006" t="s"/>
      <c r="J1006" t="n">
        <v>0</v>
      </c>
      <c r="K1006" t="n">
        <v>0</v>
      </c>
      <c r="L1006" t="n">
        <v>1</v>
      </c>
      <c r="M1006" t="n">
        <v>0</v>
      </c>
    </row>
    <row r="1007" spans="1:13">
      <c r="A1007" s="1">
        <f>HYPERLINK("http://www.twitter.com/NathanBLawrence/status/845058732258181121", "845058732258181121")</f>
        <v/>
      </c>
      <c r="B1007" s="2" t="n">
        <v>42817.98930555556</v>
      </c>
      <c r="C1007" t="n">
        <v>2</v>
      </c>
      <c r="D1007" t="n">
        <v>0</v>
      </c>
      <c r="E1007" t="s">
        <v>1013</v>
      </c>
      <c r="F1007" t="s"/>
      <c r="G1007" t="s"/>
      <c r="H1007" t="s"/>
      <c r="I1007" t="s"/>
      <c r="J1007" t="n">
        <v>0</v>
      </c>
      <c r="K1007" t="n">
        <v>0</v>
      </c>
      <c r="L1007" t="n">
        <v>1</v>
      </c>
      <c r="M1007" t="n">
        <v>0</v>
      </c>
    </row>
    <row r="1008" spans="1:13">
      <c r="A1008" s="1">
        <f>HYPERLINK("http://www.twitter.com/NathanBLawrence/status/845058201271848961", "845058201271848961")</f>
        <v/>
      </c>
      <c r="B1008" s="2" t="n">
        <v>42817.98784722222</v>
      </c>
      <c r="C1008" t="n">
        <v>1</v>
      </c>
      <c r="D1008" t="n">
        <v>0</v>
      </c>
      <c r="E1008" t="s">
        <v>1014</v>
      </c>
      <c r="F1008" t="s"/>
      <c r="G1008" t="s"/>
      <c r="H1008" t="s"/>
      <c r="I1008" t="s"/>
      <c r="J1008" t="n">
        <v>0</v>
      </c>
      <c r="K1008" t="n">
        <v>0</v>
      </c>
      <c r="L1008" t="n">
        <v>1</v>
      </c>
      <c r="M1008" t="n">
        <v>0</v>
      </c>
    </row>
    <row r="1009" spans="1:13">
      <c r="A1009" s="1">
        <f>HYPERLINK("http://www.twitter.com/NathanBLawrence/status/845056559256424449", "845056559256424449")</f>
        <v/>
      </c>
      <c r="B1009" s="2" t="n">
        <v>42817.98331018518</v>
      </c>
      <c r="C1009" t="n">
        <v>0</v>
      </c>
      <c r="D1009" t="n">
        <v>42</v>
      </c>
      <c r="E1009" t="s">
        <v>1015</v>
      </c>
      <c r="F1009">
        <f>HYPERLINK("http://pbs.twimg.com/media/C7o4WVeU8AA9Q-R.jpg", "http://pbs.twimg.com/media/C7o4WVeU8AA9Q-R.jpg")</f>
        <v/>
      </c>
      <c r="G1009" t="s"/>
      <c r="H1009" t="s"/>
      <c r="I1009" t="s"/>
      <c r="J1009" t="n">
        <v>0</v>
      </c>
      <c r="K1009" t="n">
        <v>0</v>
      </c>
      <c r="L1009" t="n">
        <v>1</v>
      </c>
      <c r="M1009" t="n">
        <v>0</v>
      </c>
    </row>
    <row r="1010" spans="1:13">
      <c r="A1010" s="1">
        <f>HYPERLINK("http://www.twitter.com/NathanBLawrence/status/845056427605536768", "845056427605536768")</f>
        <v/>
      </c>
      <c r="B1010" s="2" t="n">
        <v>42817.98295138889</v>
      </c>
      <c r="C1010" t="n">
        <v>0</v>
      </c>
      <c r="D1010" t="n">
        <v>6</v>
      </c>
      <c r="E1010" t="s">
        <v>1016</v>
      </c>
      <c r="F1010">
        <f>HYPERLINK("http://pbs.twimg.com/media/C7o6EVJXkAArEhH.jpg", "http://pbs.twimg.com/media/C7o6EVJXkAArEhH.jpg")</f>
        <v/>
      </c>
      <c r="G1010" t="s"/>
      <c r="H1010" t="s"/>
      <c r="I1010" t="s"/>
      <c r="J1010" t="n">
        <v>0.25</v>
      </c>
      <c r="K1010" t="n">
        <v>0.097</v>
      </c>
      <c r="L1010" t="n">
        <v>0.763</v>
      </c>
      <c r="M1010" t="n">
        <v>0.14</v>
      </c>
    </row>
    <row r="1011" spans="1:13">
      <c r="A1011" s="1">
        <f>HYPERLINK("http://www.twitter.com/NathanBLawrence/status/845055858555977729", "845055858555977729")</f>
        <v/>
      </c>
      <c r="B1011" s="2" t="n">
        <v>42817.98137731481</v>
      </c>
      <c r="C1011" t="n">
        <v>0</v>
      </c>
      <c r="D1011" t="n">
        <v>834</v>
      </c>
      <c r="E1011" t="s">
        <v>1017</v>
      </c>
      <c r="F1011" t="s"/>
      <c r="G1011" t="s"/>
      <c r="H1011" t="s"/>
      <c r="I1011" t="s"/>
      <c r="J1011" t="n">
        <v>0.3612</v>
      </c>
      <c r="K1011" t="n">
        <v>0</v>
      </c>
      <c r="L1011" t="n">
        <v>0.865</v>
      </c>
      <c r="M1011" t="n">
        <v>0.135</v>
      </c>
    </row>
    <row r="1012" spans="1:13">
      <c r="A1012" s="1">
        <f>HYPERLINK("http://www.twitter.com/NathanBLawrence/status/845055748468027392", "845055748468027392")</f>
        <v/>
      </c>
      <c r="B1012" s="2" t="n">
        <v>42817.98107638889</v>
      </c>
      <c r="C1012" t="n">
        <v>0</v>
      </c>
      <c r="D1012" t="n">
        <v>108</v>
      </c>
      <c r="E1012" t="s">
        <v>1018</v>
      </c>
      <c r="F1012" t="s"/>
      <c r="G1012" t="s"/>
      <c r="H1012" t="s"/>
      <c r="I1012" t="s"/>
      <c r="J1012" t="n">
        <v>0.2263</v>
      </c>
      <c r="K1012" t="n">
        <v>0</v>
      </c>
      <c r="L1012" t="n">
        <v>0.913</v>
      </c>
      <c r="M1012" t="n">
        <v>0.08699999999999999</v>
      </c>
    </row>
    <row r="1013" spans="1:13">
      <c r="A1013" s="1">
        <f>HYPERLINK("http://www.twitter.com/NathanBLawrence/status/845046852521201669", "845046852521201669")</f>
        <v/>
      </c>
      <c r="B1013" s="2" t="n">
        <v>42817.95652777778</v>
      </c>
      <c r="C1013" t="n">
        <v>0</v>
      </c>
      <c r="D1013" t="n">
        <v>2097</v>
      </c>
      <c r="E1013" t="s">
        <v>1019</v>
      </c>
      <c r="F1013" t="s"/>
      <c r="G1013" t="s"/>
      <c r="H1013" t="s"/>
      <c r="I1013" t="s"/>
      <c r="J1013" t="n">
        <v>0</v>
      </c>
      <c r="K1013" t="n">
        <v>0</v>
      </c>
      <c r="L1013" t="n">
        <v>1</v>
      </c>
      <c r="M1013" t="n">
        <v>0</v>
      </c>
    </row>
    <row r="1014" spans="1:13">
      <c r="A1014" s="1">
        <f>HYPERLINK("http://www.twitter.com/NathanBLawrence/status/845046328799440896", "845046328799440896")</f>
        <v/>
      </c>
      <c r="B1014" s="2" t="n">
        <v>42817.95508101852</v>
      </c>
      <c r="C1014" t="n">
        <v>0</v>
      </c>
      <c r="D1014" t="n">
        <v>373</v>
      </c>
      <c r="E1014" t="s">
        <v>1020</v>
      </c>
      <c r="F1014">
        <f>HYPERLINK("http://pbs.twimg.com/media/C7oV-LkU8AAvFjp.jpg", "http://pbs.twimg.com/media/C7oV-LkU8AAvFjp.jpg")</f>
        <v/>
      </c>
      <c r="G1014" t="s"/>
      <c r="H1014" t="s"/>
      <c r="I1014" t="s"/>
      <c r="J1014" t="n">
        <v>0</v>
      </c>
      <c r="K1014" t="n">
        <v>0</v>
      </c>
      <c r="L1014" t="n">
        <v>1</v>
      </c>
      <c r="M1014" t="n">
        <v>0</v>
      </c>
    </row>
    <row r="1015" spans="1:13">
      <c r="A1015" s="1">
        <f>HYPERLINK("http://www.twitter.com/NathanBLawrence/status/845045260015337473", "845045260015337473")</f>
        <v/>
      </c>
      <c r="B1015" s="2" t="n">
        <v>42817.95212962963</v>
      </c>
      <c r="C1015" t="n">
        <v>0</v>
      </c>
      <c r="D1015" t="n">
        <v>311</v>
      </c>
      <c r="E1015" t="s">
        <v>1021</v>
      </c>
      <c r="F1015" t="s"/>
      <c r="G1015" t="s"/>
      <c r="H1015" t="s"/>
      <c r="I1015" t="s"/>
      <c r="J1015" t="n">
        <v>0.2382</v>
      </c>
      <c r="K1015" t="n">
        <v>0</v>
      </c>
      <c r="L1015" t="n">
        <v>0.902</v>
      </c>
      <c r="M1015" t="n">
        <v>0.098</v>
      </c>
    </row>
    <row r="1016" spans="1:13">
      <c r="A1016" s="1">
        <f>HYPERLINK("http://www.twitter.com/NathanBLawrence/status/845026719140642816", "845026719140642816")</f>
        <v/>
      </c>
      <c r="B1016" s="2" t="n">
        <v>42817.90097222223</v>
      </c>
      <c r="C1016" t="n">
        <v>0</v>
      </c>
      <c r="D1016" t="n">
        <v>2</v>
      </c>
      <c r="E1016" t="s">
        <v>1022</v>
      </c>
      <c r="F1016" t="s"/>
      <c r="G1016" t="s"/>
      <c r="H1016" t="s"/>
      <c r="I1016" t="s"/>
      <c r="J1016" t="n">
        <v>-0.1779</v>
      </c>
      <c r="K1016" t="n">
        <v>0.222</v>
      </c>
      <c r="L1016" t="n">
        <v>0.584</v>
      </c>
      <c r="M1016" t="n">
        <v>0.195</v>
      </c>
    </row>
    <row r="1017" spans="1:13">
      <c r="A1017" s="1">
        <f>HYPERLINK("http://www.twitter.com/NathanBLawrence/status/845025852232470528", "845025852232470528")</f>
        <v/>
      </c>
      <c r="B1017" s="2" t="n">
        <v>42817.89857638889</v>
      </c>
      <c r="C1017" t="n">
        <v>0</v>
      </c>
      <c r="D1017" t="n">
        <v>51</v>
      </c>
      <c r="E1017" t="s">
        <v>1023</v>
      </c>
      <c r="F1017" t="s"/>
      <c r="G1017" t="s"/>
      <c r="H1017" t="s"/>
      <c r="I1017" t="s"/>
      <c r="J1017" t="n">
        <v>0</v>
      </c>
      <c r="K1017" t="n">
        <v>0</v>
      </c>
      <c r="L1017" t="n">
        <v>1</v>
      </c>
      <c r="M1017" t="n">
        <v>0</v>
      </c>
    </row>
    <row r="1018" spans="1:13">
      <c r="A1018" s="1">
        <f>HYPERLINK("http://www.twitter.com/NathanBLawrence/status/845025063640420352", "845025063640420352")</f>
        <v/>
      </c>
      <c r="B1018" s="2" t="n">
        <v>42817.89640046296</v>
      </c>
      <c r="C1018" t="n">
        <v>0</v>
      </c>
      <c r="D1018" t="n">
        <v>367</v>
      </c>
      <c r="E1018" t="s">
        <v>1024</v>
      </c>
      <c r="F1018">
        <f>HYPERLINK("http://pbs.twimg.com/media/C7mpGhbXwAADuxg.jpg", "http://pbs.twimg.com/media/C7mpGhbXwAADuxg.jpg")</f>
        <v/>
      </c>
      <c r="G1018">
        <f>HYPERLINK("http://pbs.twimg.com/media/C7mpHDaWsAAGqlY.jpg", "http://pbs.twimg.com/media/C7mpHDaWsAAGqlY.jpg")</f>
        <v/>
      </c>
      <c r="H1018" t="s"/>
      <c r="I1018" t="s"/>
      <c r="J1018" t="n">
        <v>0</v>
      </c>
      <c r="K1018" t="n">
        <v>0</v>
      </c>
      <c r="L1018" t="n">
        <v>1</v>
      </c>
      <c r="M1018" t="n">
        <v>0</v>
      </c>
    </row>
    <row r="1019" spans="1:13">
      <c r="A1019" s="1">
        <f>HYPERLINK("http://www.twitter.com/NathanBLawrence/status/845023318348627968", "845023318348627968")</f>
        <v/>
      </c>
      <c r="B1019" s="2" t="n">
        <v>42817.89158564815</v>
      </c>
      <c r="C1019" t="n">
        <v>0</v>
      </c>
      <c r="D1019" t="n">
        <v>2</v>
      </c>
      <c r="E1019" t="s">
        <v>1025</v>
      </c>
      <c r="F1019">
        <f>HYPERLINK("http://pbs.twimg.com/media/C7oZCfzV4AEFlWH.jpg", "http://pbs.twimg.com/media/C7oZCfzV4AEFlWH.jpg")</f>
        <v/>
      </c>
      <c r="G1019" t="s"/>
      <c r="H1019" t="s"/>
      <c r="I1019" t="s"/>
      <c r="J1019" t="n">
        <v>0.5473</v>
      </c>
      <c r="K1019" t="n">
        <v>0</v>
      </c>
      <c r="L1019" t="n">
        <v>0.773</v>
      </c>
      <c r="M1019" t="n">
        <v>0.227</v>
      </c>
    </row>
    <row r="1020" spans="1:13">
      <c r="A1020" s="1">
        <f>HYPERLINK("http://www.twitter.com/NathanBLawrence/status/845008028164374529", "845008028164374529")</f>
        <v/>
      </c>
      <c r="B1020" s="2" t="n">
        <v>42817.84939814815</v>
      </c>
      <c r="C1020" t="n">
        <v>0</v>
      </c>
      <c r="D1020" t="n">
        <v>0</v>
      </c>
      <c r="E1020" t="s">
        <v>1026</v>
      </c>
      <c r="F1020" t="s"/>
      <c r="G1020" t="s"/>
      <c r="H1020" t="s"/>
      <c r="I1020" t="s"/>
      <c r="J1020" t="n">
        <v>0.4215</v>
      </c>
      <c r="K1020" t="n">
        <v>0</v>
      </c>
      <c r="L1020" t="n">
        <v>0.872</v>
      </c>
      <c r="M1020" t="n">
        <v>0.128</v>
      </c>
    </row>
    <row r="1021" spans="1:13">
      <c r="A1021" s="1">
        <f>HYPERLINK("http://www.twitter.com/NathanBLawrence/status/845007218378506240", "845007218378506240")</f>
        <v/>
      </c>
      <c r="B1021" s="2" t="n">
        <v>42817.84715277778</v>
      </c>
      <c r="C1021" t="n">
        <v>0</v>
      </c>
      <c r="D1021" t="n">
        <v>193</v>
      </c>
      <c r="E1021" t="s">
        <v>1027</v>
      </c>
      <c r="F1021">
        <f>HYPERLINK("http://pbs.twimg.com/media/C7oPzqiXwAAPhnL.jpg", "http://pbs.twimg.com/media/C7oPzqiXwAAPhnL.jpg")</f>
        <v/>
      </c>
      <c r="G1021" t="s"/>
      <c r="H1021" t="s"/>
      <c r="I1021" t="s"/>
      <c r="J1021" t="n">
        <v>-0.2732</v>
      </c>
      <c r="K1021" t="n">
        <v>0.276</v>
      </c>
      <c r="L1021" t="n">
        <v>0.494</v>
      </c>
      <c r="M1021" t="n">
        <v>0.23</v>
      </c>
    </row>
    <row r="1022" spans="1:13">
      <c r="A1022" s="1">
        <f>HYPERLINK("http://www.twitter.com/NathanBLawrence/status/845000453939216385", "845000453939216385")</f>
        <v/>
      </c>
      <c r="B1022" s="2" t="n">
        <v>42817.82849537037</v>
      </c>
      <c r="C1022" t="n">
        <v>0</v>
      </c>
      <c r="D1022" t="n">
        <v>8</v>
      </c>
      <c r="E1022" t="s">
        <v>1028</v>
      </c>
      <c r="F1022" t="s"/>
      <c r="G1022" t="s"/>
      <c r="H1022" t="s"/>
      <c r="I1022" t="s"/>
      <c r="J1022" t="n">
        <v>0.4404</v>
      </c>
      <c r="K1022" t="n">
        <v>0</v>
      </c>
      <c r="L1022" t="n">
        <v>0.868</v>
      </c>
      <c r="M1022" t="n">
        <v>0.132</v>
      </c>
    </row>
    <row r="1023" spans="1:13">
      <c r="A1023" s="1">
        <f>HYPERLINK("http://www.twitter.com/NathanBLawrence/status/844997059442851841", "844997059442851841")</f>
        <v/>
      </c>
      <c r="B1023" s="2" t="n">
        <v>42817.81912037037</v>
      </c>
      <c r="C1023" t="n">
        <v>1</v>
      </c>
      <c r="D1023" t="n">
        <v>0</v>
      </c>
      <c r="E1023" t="s">
        <v>1029</v>
      </c>
      <c r="F1023" t="s"/>
      <c r="G1023" t="s"/>
      <c r="H1023" t="s"/>
      <c r="I1023" t="s"/>
      <c r="J1023" t="n">
        <v>0.1386</v>
      </c>
      <c r="K1023" t="n">
        <v>0.118</v>
      </c>
      <c r="L1023" t="n">
        <v>0.735</v>
      </c>
      <c r="M1023" t="n">
        <v>0.147</v>
      </c>
    </row>
    <row r="1024" spans="1:13">
      <c r="A1024" s="1">
        <f>HYPERLINK("http://www.twitter.com/NathanBLawrence/status/844995524726083584", "844995524726083584")</f>
        <v/>
      </c>
      <c r="B1024" s="2" t="n">
        <v>42817.81489583333</v>
      </c>
      <c r="C1024" t="n">
        <v>1</v>
      </c>
      <c r="D1024" t="n">
        <v>0</v>
      </c>
      <c r="E1024" t="s">
        <v>1030</v>
      </c>
      <c r="F1024" t="s"/>
      <c r="G1024" t="s"/>
      <c r="H1024" t="s"/>
      <c r="I1024" t="s"/>
      <c r="J1024" t="n">
        <v>-0.4497</v>
      </c>
      <c r="K1024" t="n">
        <v>0.156</v>
      </c>
      <c r="L1024" t="n">
        <v>0.844</v>
      </c>
      <c r="M1024" t="n">
        <v>0</v>
      </c>
    </row>
    <row r="1025" spans="1:13">
      <c r="A1025" s="1">
        <f>HYPERLINK("http://www.twitter.com/NathanBLawrence/status/844994217579593728", "844994217579593728")</f>
        <v/>
      </c>
      <c r="B1025" s="2" t="n">
        <v>42817.81128472222</v>
      </c>
      <c r="C1025" t="n">
        <v>2</v>
      </c>
      <c r="D1025" t="n">
        <v>0</v>
      </c>
      <c r="E1025" t="s">
        <v>1031</v>
      </c>
      <c r="F1025" t="s"/>
      <c r="G1025" t="s"/>
      <c r="H1025" t="s"/>
      <c r="I1025" t="s"/>
      <c r="J1025" t="n">
        <v>0.1506</v>
      </c>
      <c r="K1025" t="n">
        <v>0.093</v>
      </c>
      <c r="L1025" t="n">
        <v>0.789</v>
      </c>
      <c r="M1025" t="n">
        <v>0.118</v>
      </c>
    </row>
    <row r="1026" spans="1:13">
      <c r="A1026" s="1">
        <f>HYPERLINK("http://www.twitter.com/NathanBLawrence/status/844991410382233601", "844991410382233601")</f>
        <v/>
      </c>
      <c r="B1026" s="2" t="n">
        <v>42817.80354166667</v>
      </c>
      <c r="C1026" t="n">
        <v>1</v>
      </c>
      <c r="D1026" t="n">
        <v>0</v>
      </c>
      <c r="E1026" t="s">
        <v>1032</v>
      </c>
      <c r="F1026" t="s"/>
      <c r="G1026" t="s"/>
      <c r="H1026" t="s"/>
      <c r="I1026" t="s"/>
      <c r="J1026" t="n">
        <v>0.5423</v>
      </c>
      <c r="K1026" t="n">
        <v>0.111</v>
      </c>
      <c r="L1026" t="n">
        <v>0.622</v>
      </c>
      <c r="M1026" t="n">
        <v>0.267</v>
      </c>
    </row>
    <row r="1027" spans="1:13">
      <c r="A1027" s="1">
        <f>HYPERLINK("http://www.twitter.com/NathanBLawrence/status/844991035033997312", "844991035033997312")</f>
        <v/>
      </c>
      <c r="B1027" s="2" t="n">
        <v>42817.8025</v>
      </c>
      <c r="C1027" t="n">
        <v>1</v>
      </c>
      <c r="D1027" t="n">
        <v>1</v>
      </c>
      <c r="E1027" t="s">
        <v>1033</v>
      </c>
      <c r="F1027" t="s"/>
      <c r="G1027" t="s"/>
      <c r="H1027" t="s"/>
      <c r="I1027" t="s"/>
      <c r="J1027" t="n">
        <v>-0.3089</v>
      </c>
      <c r="K1027" t="n">
        <v>0.124</v>
      </c>
      <c r="L1027" t="n">
        <v>0.876</v>
      </c>
      <c r="M1027" t="n">
        <v>0</v>
      </c>
    </row>
    <row r="1028" spans="1:13">
      <c r="A1028" s="1">
        <f>HYPERLINK("http://www.twitter.com/NathanBLawrence/status/844989845860745218", "844989845860745218")</f>
        <v/>
      </c>
      <c r="B1028" s="2" t="n">
        <v>42817.79922453704</v>
      </c>
      <c r="C1028" t="n">
        <v>0</v>
      </c>
      <c r="D1028" t="n">
        <v>1732</v>
      </c>
      <c r="E1028" t="s">
        <v>1034</v>
      </c>
      <c r="F1028" t="s"/>
      <c r="G1028" t="s"/>
      <c r="H1028" t="s"/>
      <c r="I1028" t="s"/>
      <c r="J1028" t="n">
        <v>0.8658</v>
      </c>
      <c r="K1028" t="n">
        <v>0</v>
      </c>
      <c r="L1028" t="n">
        <v>0.662</v>
      </c>
      <c r="M1028" t="n">
        <v>0.338</v>
      </c>
    </row>
    <row r="1029" spans="1:13">
      <c r="A1029" s="1">
        <f>HYPERLINK("http://www.twitter.com/NathanBLawrence/status/844989663144300544", "844989663144300544")</f>
        <v/>
      </c>
      <c r="B1029" s="2" t="n">
        <v>42817.79871527778</v>
      </c>
      <c r="C1029" t="n">
        <v>0</v>
      </c>
      <c r="D1029" t="n">
        <v>0</v>
      </c>
      <c r="E1029" t="s">
        <v>1035</v>
      </c>
      <c r="F1029" t="s"/>
      <c r="G1029" t="s"/>
      <c r="H1029" t="s"/>
      <c r="I1029" t="s"/>
      <c r="J1029" t="n">
        <v>0.3825</v>
      </c>
      <c r="K1029" t="n">
        <v>0.112</v>
      </c>
      <c r="L1029" t="n">
        <v>0.6919999999999999</v>
      </c>
      <c r="M1029" t="n">
        <v>0.197</v>
      </c>
    </row>
    <row r="1030" spans="1:13">
      <c r="A1030" s="1">
        <f>HYPERLINK("http://www.twitter.com/NathanBLawrence/status/844986341553311744", "844986341553311744")</f>
        <v/>
      </c>
      <c r="B1030" s="2" t="n">
        <v>42817.78954861111</v>
      </c>
      <c r="C1030" t="n">
        <v>2</v>
      </c>
      <c r="D1030" t="n">
        <v>0</v>
      </c>
      <c r="E1030" t="s">
        <v>1036</v>
      </c>
      <c r="F1030" t="s"/>
      <c r="G1030" t="s"/>
      <c r="H1030" t="s"/>
      <c r="I1030" t="s"/>
      <c r="J1030" t="n">
        <v>-0.5106000000000001</v>
      </c>
      <c r="K1030" t="n">
        <v>0.189</v>
      </c>
      <c r="L1030" t="n">
        <v>0.727</v>
      </c>
      <c r="M1030" t="n">
        <v>0.08400000000000001</v>
      </c>
    </row>
    <row r="1031" spans="1:13">
      <c r="A1031" s="1">
        <f>HYPERLINK("http://www.twitter.com/NathanBLawrence/status/844985096419586049", "844985096419586049")</f>
        <v/>
      </c>
      <c r="B1031" s="2" t="n">
        <v>42817.78611111111</v>
      </c>
      <c r="C1031" t="n">
        <v>1</v>
      </c>
      <c r="D1031" t="n">
        <v>0</v>
      </c>
      <c r="E1031" t="s">
        <v>1037</v>
      </c>
      <c r="F1031" t="s"/>
      <c r="G1031" t="s"/>
      <c r="H1031" t="s"/>
      <c r="I1031" t="s"/>
      <c r="J1031" t="n">
        <v>-0.128</v>
      </c>
      <c r="K1031" t="n">
        <v>0.219</v>
      </c>
      <c r="L1031" t="n">
        <v>0.596</v>
      </c>
      <c r="M1031" t="n">
        <v>0.185</v>
      </c>
    </row>
    <row r="1032" spans="1:13">
      <c r="A1032" s="1">
        <f>HYPERLINK("http://www.twitter.com/NathanBLawrence/status/844984543933333504", "844984543933333504")</f>
        <v/>
      </c>
      <c r="B1032" s="2" t="n">
        <v>42817.78458333333</v>
      </c>
      <c r="C1032" t="n">
        <v>1</v>
      </c>
      <c r="D1032" t="n">
        <v>0</v>
      </c>
      <c r="E1032" t="s">
        <v>1038</v>
      </c>
      <c r="F1032" t="s"/>
      <c r="G1032" t="s"/>
      <c r="H1032" t="s"/>
      <c r="I1032" t="s"/>
      <c r="J1032" t="n">
        <v>0</v>
      </c>
      <c r="K1032" t="n">
        <v>0</v>
      </c>
      <c r="L1032" t="n">
        <v>1</v>
      </c>
      <c r="M1032" t="n">
        <v>0</v>
      </c>
    </row>
    <row r="1033" spans="1:13">
      <c r="A1033" s="1">
        <f>HYPERLINK("http://www.twitter.com/NathanBLawrence/status/844983816880054272", "844983816880054272")</f>
        <v/>
      </c>
      <c r="B1033" s="2" t="n">
        <v>42817.78258101852</v>
      </c>
      <c r="C1033" t="n">
        <v>1</v>
      </c>
      <c r="D1033" t="n">
        <v>0</v>
      </c>
      <c r="E1033" t="s">
        <v>1039</v>
      </c>
      <c r="F1033" t="s"/>
      <c r="G1033" t="s"/>
      <c r="H1033" t="s"/>
      <c r="I1033" t="s"/>
      <c r="J1033" t="n">
        <v>0.4215</v>
      </c>
      <c r="K1033" t="n">
        <v>0.115</v>
      </c>
      <c r="L1033" t="n">
        <v>0.667</v>
      </c>
      <c r="M1033" t="n">
        <v>0.219</v>
      </c>
    </row>
    <row r="1034" spans="1:13">
      <c r="A1034" s="1">
        <f>HYPERLINK("http://www.twitter.com/NathanBLawrence/status/844983465137360896", "844983465137360896")</f>
        <v/>
      </c>
      <c r="B1034" s="2" t="n">
        <v>42817.78160879629</v>
      </c>
      <c r="C1034" t="n">
        <v>1</v>
      </c>
      <c r="D1034" t="n">
        <v>1</v>
      </c>
      <c r="E1034" t="s">
        <v>1040</v>
      </c>
      <c r="F1034" t="s"/>
      <c r="G1034" t="s"/>
      <c r="H1034" t="s"/>
      <c r="I1034" t="s"/>
      <c r="J1034" t="n">
        <v>-0.4767</v>
      </c>
      <c r="K1034" t="n">
        <v>0.181</v>
      </c>
      <c r="L1034" t="n">
        <v>0.819</v>
      </c>
      <c r="M1034" t="n">
        <v>0</v>
      </c>
    </row>
    <row r="1035" spans="1:13">
      <c r="A1035" s="1">
        <f>HYPERLINK("http://www.twitter.com/NathanBLawrence/status/844982719532716034", "844982719532716034")</f>
        <v/>
      </c>
      <c r="B1035" s="2" t="n">
        <v>42817.77956018518</v>
      </c>
      <c r="C1035" t="n">
        <v>1</v>
      </c>
      <c r="D1035" t="n">
        <v>1</v>
      </c>
      <c r="E1035" t="s">
        <v>1041</v>
      </c>
      <c r="F1035" t="s"/>
      <c r="G1035" t="s"/>
      <c r="H1035" t="s"/>
      <c r="I1035" t="s"/>
      <c r="J1035" t="n">
        <v>0.9042</v>
      </c>
      <c r="K1035" t="n">
        <v>0.067</v>
      </c>
      <c r="L1035" t="n">
        <v>0.521</v>
      </c>
      <c r="M1035" t="n">
        <v>0.411</v>
      </c>
    </row>
    <row r="1036" spans="1:13">
      <c r="A1036" s="1">
        <f>HYPERLINK("http://www.twitter.com/NathanBLawrence/status/844982035731169281", "844982035731169281")</f>
        <v/>
      </c>
      <c r="B1036" s="2" t="n">
        <v>42817.77766203704</v>
      </c>
      <c r="C1036" t="n">
        <v>2</v>
      </c>
      <c r="D1036" t="n">
        <v>0</v>
      </c>
      <c r="E1036" t="s">
        <v>1042</v>
      </c>
      <c r="F1036" t="s"/>
      <c r="G1036" t="s"/>
      <c r="H1036" t="s"/>
      <c r="I1036" t="s"/>
      <c r="J1036" t="n">
        <v>0.0387</v>
      </c>
      <c r="K1036" t="n">
        <v>0.092</v>
      </c>
      <c r="L1036" t="n">
        <v>0.8070000000000001</v>
      </c>
      <c r="M1036" t="n">
        <v>0.101</v>
      </c>
    </row>
    <row r="1037" spans="1:13">
      <c r="A1037" s="1">
        <f>HYPERLINK("http://www.twitter.com/NathanBLawrence/status/844978830129418247", "844978830129418247")</f>
        <v/>
      </c>
      <c r="B1037" s="2" t="n">
        <v>42817.76881944444</v>
      </c>
      <c r="C1037" t="n">
        <v>0</v>
      </c>
      <c r="D1037" t="n">
        <v>1</v>
      </c>
      <c r="E1037" t="s">
        <v>1043</v>
      </c>
      <c r="F1037">
        <f>HYPERLINK("http://pbs.twimg.com/media/C7n3W3jVYAAUj6P.jpg", "http://pbs.twimg.com/media/C7n3W3jVYAAUj6P.jpg")</f>
        <v/>
      </c>
      <c r="G1037" t="s"/>
      <c r="H1037" t="s"/>
      <c r="I1037" t="s"/>
      <c r="J1037" t="n">
        <v>0</v>
      </c>
      <c r="K1037" t="n">
        <v>0</v>
      </c>
      <c r="L1037" t="n">
        <v>1</v>
      </c>
      <c r="M1037" t="n">
        <v>0</v>
      </c>
    </row>
    <row r="1038" spans="1:13">
      <c r="A1038" s="1">
        <f>HYPERLINK("http://www.twitter.com/NathanBLawrence/status/844977442594983938", "844977442594983938")</f>
        <v/>
      </c>
      <c r="B1038" s="2" t="n">
        <v>42817.76498842592</v>
      </c>
      <c r="C1038" t="n">
        <v>2</v>
      </c>
      <c r="D1038" t="n">
        <v>1</v>
      </c>
      <c r="E1038" t="s">
        <v>1044</v>
      </c>
      <c r="F1038" t="s"/>
      <c r="G1038" t="s"/>
      <c r="H1038" t="s"/>
      <c r="I1038" t="s"/>
      <c r="J1038" t="n">
        <v>-0.5994</v>
      </c>
      <c r="K1038" t="n">
        <v>0.328</v>
      </c>
      <c r="L1038" t="n">
        <v>0.672</v>
      </c>
      <c r="M1038" t="n">
        <v>0</v>
      </c>
    </row>
    <row r="1039" spans="1:13">
      <c r="A1039" s="1">
        <f>HYPERLINK("http://www.twitter.com/NathanBLawrence/status/844946204446412800", "844946204446412800")</f>
        <v/>
      </c>
      <c r="B1039" s="2" t="n">
        <v>42817.6787962963</v>
      </c>
      <c r="C1039" t="n">
        <v>0</v>
      </c>
      <c r="D1039" t="n">
        <v>48</v>
      </c>
      <c r="E1039" t="s">
        <v>1045</v>
      </c>
      <c r="F1039">
        <f>HYPERLINK("http://pbs.twimg.com/media/C7mL1tIVAAAVLAU.jpg", "http://pbs.twimg.com/media/C7mL1tIVAAAVLAU.jpg")</f>
        <v/>
      </c>
      <c r="G1039" t="s"/>
      <c r="H1039" t="s"/>
      <c r="I1039" t="s"/>
      <c r="J1039" t="n">
        <v>0</v>
      </c>
      <c r="K1039" t="n">
        <v>0</v>
      </c>
      <c r="L1039" t="n">
        <v>1</v>
      </c>
      <c r="M1039" t="n">
        <v>0</v>
      </c>
    </row>
    <row r="1040" spans="1:13">
      <c r="A1040" s="1">
        <f>HYPERLINK("http://www.twitter.com/NathanBLawrence/status/844944549646602241", "844944549646602241")</f>
        <v/>
      </c>
      <c r="B1040" s="2" t="n">
        <v>42817.67422453704</v>
      </c>
      <c r="C1040" t="n">
        <v>0</v>
      </c>
      <c r="D1040" t="n">
        <v>109</v>
      </c>
      <c r="E1040" t="s">
        <v>1046</v>
      </c>
      <c r="F1040">
        <f>HYPERLINK("http://pbs.twimg.com/media/C7l30rVUwAAUKqf.jpg", "http://pbs.twimg.com/media/C7l30rVUwAAUKqf.jpg")</f>
        <v/>
      </c>
      <c r="G1040" t="s"/>
      <c r="H1040" t="s"/>
      <c r="I1040" t="s"/>
      <c r="J1040" t="n">
        <v>-0.9403</v>
      </c>
      <c r="K1040" t="n">
        <v>0.419</v>
      </c>
      <c r="L1040" t="n">
        <v>0.581</v>
      </c>
      <c r="M1040" t="n">
        <v>0</v>
      </c>
    </row>
    <row r="1041" spans="1:13">
      <c r="A1041" s="1">
        <f>HYPERLINK("http://www.twitter.com/NathanBLawrence/status/844934459866693634", "844934459866693634")</f>
        <v/>
      </c>
      <c r="B1041" s="2" t="n">
        <v>42817.64638888889</v>
      </c>
      <c r="C1041" t="n">
        <v>2</v>
      </c>
      <c r="D1041" t="n">
        <v>0</v>
      </c>
      <c r="E1041" t="s">
        <v>1047</v>
      </c>
      <c r="F1041" t="s"/>
      <c r="G1041" t="s"/>
      <c r="H1041" t="s"/>
      <c r="I1041" t="s"/>
      <c r="J1041" t="n">
        <v>0</v>
      </c>
      <c r="K1041" t="n">
        <v>0</v>
      </c>
      <c r="L1041" t="n">
        <v>1</v>
      </c>
      <c r="M1041" t="n">
        <v>0</v>
      </c>
    </row>
    <row r="1042" spans="1:13">
      <c r="A1042" s="1">
        <f>HYPERLINK("http://www.twitter.com/NathanBLawrence/status/844726059941707776", "844726059941707776")</f>
        <v/>
      </c>
      <c r="B1042" s="2" t="n">
        <v>42817.07130787037</v>
      </c>
      <c r="C1042" t="n">
        <v>0</v>
      </c>
      <c r="D1042" t="n">
        <v>158</v>
      </c>
      <c r="E1042" t="s">
        <v>1048</v>
      </c>
      <c r="F1042">
        <f>HYPERLINK("http://pbs.twimg.com/media/C7kJW9IW4AAmrkH.jpg", "http://pbs.twimg.com/media/C7kJW9IW4AAmrkH.jpg")</f>
        <v/>
      </c>
      <c r="G1042">
        <f>HYPERLINK("http://pbs.twimg.com/media/C7kJW9JW0AEkdX-.jpg", "http://pbs.twimg.com/media/C7kJW9JW0AEkdX-.jpg")</f>
        <v/>
      </c>
      <c r="H1042">
        <f>HYPERLINK("http://pbs.twimg.com/media/C7kJW9MW4AY7QAg.jpg", "http://pbs.twimg.com/media/C7kJW9MW4AY7QAg.jpg")</f>
        <v/>
      </c>
      <c r="I1042" t="s"/>
      <c r="J1042" t="n">
        <v>-0.8074</v>
      </c>
      <c r="K1042" t="n">
        <v>0.354</v>
      </c>
      <c r="L1042" t="n">
        <v>0.436</v>
      </c>
      <c r="M1042" t="n">
        <v>0.21</v>
      </c>
    </row>
    <row r="1043" spans="1:13">
      <c r="A1043" s="1">
        <f>HYPERLINK("http://www.twitter.com/NathanBLawrence/status/844724757006368768", "844724757006368768")</f>
        <v/>
      </c>
      <c r="B1043" s="2" t="n">
        <v>42817.06770833334</v>
      </c>
      <c r="C1043" t="n">
        <v>0</v>
      </c>
      <c r="D1043" t="n">
        <v>210</v>
      </c>
      <c r="E1043" t="s">
        <v>1049</v>
      </c>
      <c r="F1043" t="s"/>
      <c r="G1043" t="s"/>
      <c r="H1043" t="s"/>
      <c r="I1043" t="s"/>
      <c r="J1043" t="n">
        <v>0</v>
      </c>
      <c r="K1043" t="n">
        <v>0</v>
      </c>
      <c r="L1043" t="n">
        <v>1</v>
      </c>
      <c r="M1043" t="n">
        <v>0</v>
      </c>
    </row>
    <row r="1044" spans="1:13">
      <c r="A1044" s="1">
        <f>HYPERLINK("http://www.twitter.com/NathanBLawrence/status/844722873638027264", "844722873638027264")</f>
        <v/>
      </c>
      <c r="B1044" s="2" t="n">
        <v>42817.06251157408</v>
      </c>
      <c r="C1044" t="n">
        <v>0</v>
      </c>
      <c r="D1044" t="n">
        <v>2997</v>
      </c>
      <c r="E1044" t="s">
        <v>1050</v>
      </c>
      <c r="F1044">
        <f>HYPERLINK("http://pbs.twimg.com/media/C7j2NKxVAAAEGxt.jpg", "http://pbs.twimg.com/media/C7j2NKxVAAAEGxt.jpg")</f>
        <v/>
      </c>
      <c r="G1044" t="s"/>
      <c r="H1044" t="s"/>
      <c r="I1044" t="s"/>
      <c r="J1044" t="n">
        <v>0</v>
      </c>
      <c r="K1044" t="n">
        <v>0</v>
      </c>
      <c r="L1044" t="n">
        <v>1</v>
      </c>
      <c r="M1044" t="n">
        <v>0</v>
      </c>
    </row>
    <row r="1045" spans="1:13">
      <c r="A1045" s="1">
        <f>HYPERLINK("http://www.twitter.com/NathanBLawrence/status/844716636645011456", "844716636645011456")</f>
        <v/>
      </c>
      <c r="B1045" s="2" t="n">
        <v>42817.04530092593</v>
      </c>
      <c r="C1045" t="n">
        <v>0</v>
      </c>
      <c r="D1045" t="n">
        <v>18</v>
      </c>
      <c r="E1045" t="s">
        <v>1051</v>
      </c>
      <c r="F1045" t="s"/>
      <c r="G1045" t="s"/>
      <c r="H1045" t="s"/>
      <c r="I1045" t="s"/>
      <c r="J1045" t="n">
        <v>0</v>
      </c>
      <c r="K1045" t="n">
        <v>0</v>
      </c>
      <c r="L1045" t="n">
        <v>1</v>
      </c>
      <c r="M1045" t="n">
        <v>0</v>
      </c>
    </row>
    <row r="1046" spans="1:13">
      <c r="A1046" s="1">
        <f>HYPERLINK("http://www.twitter.com/NathanBLawrence/status/844707754933673985", "844707754933673985")</f>
        <v/>
      </c>
      <c r="B1046" s="2" t="n">
        <v>42817.02079861111</v>
      </c>
      <c r="C1046" t="n">
        <v>0</v>
      </c>
      <c r="D1046" t="n">
        <v>662</v>
      </c>
      <c r="E1046" t="s">
        <v>1052</v>
      </c>
      <c r="F1046" t="s"/>
      <c r="G1046" t="s"/>
      <c r="H1046" t="s"/>
      <c r="I1046" t="s"/>
      <c r="J1046" t="n">
        <v>-0.1027</v>
      </c>
      <c r="K1046" t="n">
        <v>0.06900000000000001</v>
      </c>
      <c r="L1046" t="n">
        <v>0.931</v>
      </c>
      <c r="M1046" t="n">
        <v>0</v>
      </c>
    </row>
    <row r="1047" spans="1:13">
      <c r="A1047" s="1">
        <f>HYPERLINK("http://www.twitter.com/NathanBLawrence/status/844700786533814273", "844700786533814273")</f>
        <v/>
      </c>
      <c r="B1047" s="2" t="n">
        <v>42817.0015625</v>
      </c>
      <c r="C1047" t="n">
        <v>0</v>
      </c>
      <c r="D1047" t="n">
        <v>1821</v>
      </c>
      <c r="E1047" t="s">
        <v>1053</v>
      </c>
      <c r="F1047">
        <f>HYPERLINK("http://pbs.twimg.com/media/C7jumg-WkAUKG_o.jpg", "http://pbs.twimg.com/media/C7jumg-WkAUKG_o.jpg")</f>
        <v/>
      </c>
      <c r="G1047" t="s"/>
      <c r="H1047" t="s"/>
      <c r="I1047" t="s"/>
      <c r="J1047" t="n">
        <v>-0.4101</v>
      </c>
      <c r="K1047" t="n">
        <v>0.281</v>
      </c>
      <c r="L1047" t="n">
        <v>0.719</v>
      </c>
      <c r="M1047" t="n">
        <v>0</v>
      </c>
    </row>
    <row r="1048" spans="1:13">
      <c r="A1048" s="1">
        <f>HYPERLINK("http://www.twitter.com/NathanBLawrence/status/844637821256261632", "844637821256261632")</f>
        <v/>
      </c>
      <c r="B1048" s="2" t="n">
        <v>42816.8278125</v>
      </c>
      <c r="C1048" t="n">
        <v>0</v>
      </c>
      <c r="D1048" t="n">
        <v>282</v>
      </c>
      <c r="E1048" t="s">
        <v>1054</v>
      </c>
      <c r="F1048">
        <f>HYPERLINK("http://pbs.twimg.com/media/C7ioKiNXwAcy4dv.jpg", "http://pbs.twimg.com/media/C7ioKiNXwAcy4dv.jpg")</f>
        <v/>
      </c>
      <c r="G1048" t="s"/>
      <c r="H1048" t="s"/>
      <c r="I1048" t="s"/>
      <c r="J1048" t="n">
        <v>0</v>
      </c>
      <c r="K1048" t="n">
        <v>0</v>
      </c>
      <c r="L1048" t="n">
        <v>1</v>
      </c>
      <c r="M1048" t="n">
        <v>0</v>
      </c>
    </row>
    <row r="1049" spans="1:13">
      <c r="A1049" s="1">
        <f>HYPERLINK("http://www.twitter.com/NathanBLawrence/status/844613281641906184", "844613281641906184")</f>
        <v/>
      </c>
      <c r="B1049" s="2" t="n">
        <v>42816.76010416666</v>
      </c>
      <c r="C1049" t="n">
        <v>0</v>
      </c>
      <c r="D1049" t="n">
        <v>1446</v>
      </c>
      <c r="E1049" t="s">
        <v>1055</v>
      </c>
      <c r="F1049" t="s"/>
      <c r="G1049" t="s"/>
      <c r="H1049" t="s"/>
      <c r="I1049" t="s"/>
      <c r="J1049" t="n">
        <v>0.4753</v>
      </c>
      <c r="K1049" t="n">
        <v>0</v>
      </c>
      <c r="L1049" t="n">
        <v>0.846</v>
      </c>
      <c r="M1049" t="n">
        <v>0.154</v>
      </c>
    </row>
    <row r="1050" spans="1:13">
      <c r="A1050" s="1">
        <f>HYPERLINK("http://www.twitter.com/NathanBLawrence/status/844612702676959238", "844612702676959238")</f>
        <v/>
      </c>
      <c r="B1050" s="2" t="n">
        <v>42816.75850694445</v>
      </c>
      <c r="C1050" t="n">
        <v>0</v>
      </c>
      <c r="D1050" t="n">
        <v>175</v>
      </c>
      <c r="E1050" t="s">
        <v>1056</v>
      </c>
      <c r="F1050">
        <f>HYPERLINK("http://pbs.twimg.com/media/C7ig-FUW4AEI-rs.jpg", "http://pbs.twimg.com/media/C7ig-FUW4AEI-rs.jpg")</f>
        <v/>
      </c>
      <c r="G1050" t="s"/>
      <c r="H1050" t="s"/>
      <c r="I1050" t="s"/>
      <c r="J1050" t="n">
        <v>-0.3612</v>
      </c>
      <c r="K1050" t="n">
        <v>0.152</v>
      </c>
      <c r="L1050" t="n">
        <v>0.848</v>
      </c>
      <c r="M1050" t="n">
        <v>0</v>
      </c>
    </row>
    <row r="1051" spans="1:13">
      <c r="A1051" s="1">
        <f>HYPERLINK("http://www.twitter.com/NathanBLawrence/status/844608826817101828", "844608826817101828")</f>
        <v/>
      </c>
      <c r="B1051" s="2" t="n">
        <v>42816.7478125</v>
      </c>
      <c r="C1051" t="n">
        <v>0</v>
      </c>
      <c r="D1051" t="n">
        <v>593</v>
      </c>
      <c r="E1051" t="s">
        <v>1057</v>
      </c>
      <c r="F1051" t="s"/>
      <c r="G1051" t="s"/>
      <c r="H1051" t="s"/>
      <c r="I1051" t="s"/>
      <c r="J1051" t="n">
        <v>-0.7213000000000001</v>
      </c>
      <c r="K1051" t="n">
        <v>0.219</v>
      </c>
      <c r="L1051" t="n">
        <v>0.781</v>
      </c>
      <c r="M1051" t="n">
        <v>0</v>
      </c>
    </row>
    <row r="1052" spans="1:13">
      <c r="A1052" s="1">
        <f>HYPERLINK("http://www.twitter.com/NathanBLawrence/status/844608672101793793", "844608672101793793")</f>
        <v/>
      </c>
      <c r="B1052" s="2" t="n">
        <v>42816.74738425926</v>
      </c>
      <c r="C1052" t="n">
        <v>0</v>
      </c>
      <c r="D1052" t="n">
        <v>177</v>
      </c>
      <c r="E1052" t="s">
        <v>1058</v>
      </c>
      <c r="F1052" t="s"/>
      <c r="G1052" t="s"/>
      <c r="H1052" t="s"/>
      <c r="I1052" t="s"/>
      <c r="J1052" t="n">
        <v>-0.34</v>
      </c>
      <c r="K1052" t="n">
        <v>0.112</v>
      </c>
      <c r="L1052" t="n">
        <v>0.888</v>
      </c>
      <c r="M1052" t="n">
        <v>0</v>
      </c>
    </row>
    <row r="1053" spans="1:13">
      <c r="A1053" s="1">
        <f>HYPERLINK("http://www.twitter.com/NathanBLawrence/status/844608443969359874", "844608443969359874")</f>
        <v/>
      </c>
      <c r="B1053" s="2" t="n">
        <v>42816.74674768518</v>
      </c>
      <c r="C1053" t="n">
        <v>0</v>
      </c>
      <c r="D1053" t="n">
        <v>198</v>
      </c>
      <c r="E1053" t="s">
        <v>1059</v>
      </c>
      <c r="F1053" t="s"/>
      <c r="G1053" t="s"/>
      <c r="H1053" t="s"/>
      <c r="I1053" t="s"/>
      <c r="J1053" t="n">
        <v>-0.875</v>
      </c>
      <c r="K1053" t="n">
        <v>0.385</v>
      </c>
      <c r="L1053" t="n">
        <v>0.615</v>
      </c>
      <c r="M1053" t="n">
        <v>0</v>
      </c>
    </row>
    <row r="1054" spans="1:13">
      <c r="A1054" s="1">
        <f>HYPERLINK("http://www.twitter.com/NathanBLawrence/status/844579443020627968", "844579443020627968")</f>
        <v/>
      </c>
      <c r="B1054" s="2" t="n">
        <v>42816.66672453703</v>
      </c>
      <c r="C1054" t="n">
        <v>0</v>
      </c>
      <c r="D1054" t="n">
        <v>0</v>
      </c>
      <c r="E1054" t="s">
        <v>1060</v>
      </c>
      <c r="F1054" t="s"/>
      <c r="G1054" t="s"/>
      <c r="H1054" t="s"/>
      <c r="I1054" t="s"/>
      <c r="J1054" t="n">
        <v>0</v>
      </c>
      <c r="K1054" t="n">
        <v>0</v>
      </c>
      <c r="L1054" t="n">
        <v>1</v>
      </c>
      <c r="M1054" t="n">
        <v>0</v>
      </c>
    </row>
    <row r="1055" spans="1:13">
      <c r="A1055" s="1">
        <f>HYPERLINK("http://www.twitter.com/NathanBLawrence/status/844575414953660419", "844575414953660419")</f>
        <v/>
      </c>
      <c r="B1055" s="2" t="n">
        <v>42816.65561342592</v>
      </c>
      <c r="C1055" t="n">
        <v>0</v>
      </c>
      <c r="D1055" t="n">
        <v>5217</v>
      </c>
      <c r="E1055" t="s">
        <v>1061</v>
      </c>
      <c r="F1055" t="s"/>
      <c r="G1055" t="s"/>
      <c r="H1055" t="s"/>
      <c r="I1055" t="s"/>
      <c r="J1055" t="n">
        <v>0.4019</v>
      </c>
      <c r="K1055" t="n">
        <v>0</v>
      </c>
      <c r="L1055" t="n">
        <v>0.909</v>
      </c>
      <c r="M1055" t="n">
        <v>0.091</v>
      </c>
    </row>
    <row r="1056" spans="1:13">
      <c r="A1056" s="1">
        <f>HYPERLINK("http://www.twitter.com/NathanBLawrence/status/844556180353638402", "844556180353638402")</f>
        <v/>
      </c>
      <c r="B1056" s="2" t="n">
        <v>42816.60253472222</v>
      </c>
      <c r="C1056" t="n">
        <v>0</v>
      </c>
      <c r="D1056" t="n">
        <v>25</v>
      </c>
      <c r="E1056" t="s">
        <v>1062</v>
      </c>
      <c r="F1056" t="s"/>
      <c r="G1056" t="s"/>
      <c r="H1056" t="s"/>
      <c r="I1056" t="s"/>
      <c r="J1056" t="n">
        <v>-0.6705</v>
      </c>
      <c r="K1056" t="n">
        <v>0.244</v>
      </c>
      <c r="L1056" t="n">
        <v>0.756</v>
      </c>
      <c r="M1056" t="n">
        <v>0</v>
      </c>
    </row>
    <row r="1057" spans="1:13">
      <c r="A1057" s="1">
        <f>HYPERLINK("http://www.twitter.com/NathanBLawrence/status/844537801379065858", "844537801379065858")</f>
        <v/>
      </c>
      <c r="B1057" s="2" t="n">
        <v>42816.55181712963</v>
      </c>
      <c r="C1057" t="n">
        <v>0</v>
      </c>
      <c r="D1057" t="n">
        <v>1290</v>
      </c>
      <c r="E1057" t="s">
        <v>1063</v>
      </c>
      <c r="F1057">
        <f>HYPERLINK("http://pbs.twimg.com/media/C7gOsU2X0AASvJz.jpg", "http://pbs.twimg.com/media/C7gOsU2X0AASvJz.jpg")</f>
        <v/>
      </c>
      <c r="G1057" t="s"/>
      <c r="H1057" t="s"/>
      <c r="I1057" t="s"/>
      <c r="J1057" t="n">
        <v>0.296</v>
      </c>
      <c r="K1057" t="n">
        <v>0</v>
      </c>
      <c r="L1057" t="n">
        <v>0.804</v>
      </c>
      <c r="M1057" t="n">
        <v>0.196</v>
      </c>
    </row>
    <row r="1058" spans="1:13">
      <c r="A1058" s="1">
        <f>HYPERLINK("http://www.twitter.com/NathanBLawrence/status/844530866193944576", "844530866193944576")</f>
        <v/>
      </c>
      <c r="B1058" s="2" t="n">
        <v>42816.53267361111</v>
      </c>
      <c r="C1058" t="n">
        <v>0</v>
      </c>
      <c r="D1058" t="n">
        <v>1581</v>
      </c>
      <c r="E1058" t="s">
        <v>1064</v>
      </c>
      <c r="F1058" t="s"/>
      <c r="G1058" t="s"/>
      <c r="H1058" t="s"/>
      <c r="I1058" t="s"/>
      <c r="J1058" t="n">
        <v>0.0516</v>
      </c>
      <c r="K1058" t="n">
        <v>0.083</v>
      </c>
      <c r="L1058" t="n">
        <v>0.827</v>
      </c>
      <c r="M1058" t="n">
        <v>0.09</v>
      </c>
    </row>
    <row r="1059" spans="1:13">
      <c r="A1059" s="1">
        <f>HYPERLINK("http://www.twitter.com/NathanBLawrence/status/844530770857381892", "844530770857381892")</f>
        <v/>
      </c>
      <c r="B1059" s="2" t="n">
        <v>42816.53241898148</v>
      </c>
      <c r="C1059" t="n">
        <v>0</v>
      </c>
      <c r="D1059" t="n">
        <v>1304</v>
      </c>
      <c r="E1059" t="s">
        <v>1065</v>
      </c>
      <c r="F1059" t="s"/>
      <c r="G1059" t="s"/>
      <c r="H1059" t="s"/>
      <c r="I1059" t="s"/>
      <c r="J1059" t="n">
        <v>-0.1531</v>
      </c>
      <c r="K1059" t="n">
        <v>0.062</v>
      </c>
      <c r="L1059" t="n">
        <v>0.9379999999999999</v>
      </c>
      <c r="M1059" t="n">
        <v>0</v>
      </c>
    </row>
    <row r="1060" spans="1:13">
      <c r="A1060" s="1">
        <f>HYPERLINK("http://www.twitter.com/NathanBLawrence/status/844530099068309505", "844530099068309505")</f>
        <v/>
      </c>
      <c r="B1060" s="2" t="n">
        <v>42816.53055555555</v>
      </c>
      <c r="C1060" t="n">
        <v>0</v>
      </c>
      <c r="D1060" t="n">
        <v>429</v>
      </c>
      <c r="E1060" t="s">
        <v>1066</v>
      </c>
      <c r="F1060">
        <f>HYPERLINK("http://pbs.twimg.com/media/C7hHCKEXUAAKFTH.jpg", "http://pbs.twimg.com/media/C7hHCKEXUAAKFTH.jpg")</f>
        <v/>
      </c>
      <c r="G1060" t="s"/>
      <c r="H1060" t="s"/>
      <c r="I1060" t="s"/>
      <c r="J1060" t="n">
        <v>-0.296</v>
      </c>
      <c r="K1060" t="n">
        <v>0.115</v>
      </c>
      <c r="L1060" t="n">
        <v>0.885</v>
      </c>
      <c r="M1060" t="n">
        <v>0</v>
      </c>
    </row>
    <row r="1061" spans="1:13">
      <c r="A1061" s="1">
        <f>HYPERLINK("http://www.twitter.com/NathanBLawrence/status/844527109703974912", "844527109703974912")</f>
        <v/>
      </c>
      <c r="B1061" s="2" t="n">
        <v>42816.52231481481</v>
      </c>
      <c r="C1061" t="n">
        <v>0</v>
      </c>
      <c r="D1061" t="n">
        <v>340</v>
      </c>
      <c r="E1061" t="s">
        <v>1067</v>
      </c>
      <c r="F1061">
        <f>HYPERLINK("https://video.twimg.com/ext_tw_video/844304377947062274/pu/vid/240x240/TiszEVZ0XrJfEY14.mp4", "https://video.twimg.com/ext_tw_video/844304377947062274/pu/vid/240x240/TiszEVZ0XrJfEY14.mp4")</f>
        <v/>
      </c>
      <c r="G1061" t="s"/>
      <c r="H1061" t="s"/>
      <c r="I1061" t="s"/>
      <c r="J1061" t="n">
        <v>0.7667</v>
      </c>
      <c r="K1061" t="n">
        <v>0</v>
      </c>
      <c r="L1061" t="n">
        <v>0.679</v>
      </c>
      <c r="M1061" t="n">
        <v>0.321</v>
      </c>
    </row>
    <row r="1062" spans="1:13">
      <c r="A1062" s="1">
        <f>HYPERLINK("http://www.twitter.com/NathanBLawrence/status/844525948863172608", "844525948863172608")</f>
        <v/>
      </c>
      <c r="B1062" s="2" t="n">
        <v>42816.5191087963</v>
      </c>
      <c r="C1062" t="n">
        <v>0</v>
      </c>
      <c r="D1062" t="n">
        <v>709</v>
      </c>
      <c r="E1062" t="s">
        <v>1068</v>
      </c>
      <c r="F1062" t="s"/>
      <c r="G1062" t="s"/>
      <c r="H1062" t="s"/>
      <c r="I1062" t="s"/>
      <c r="J1062" t="n">
        <v>0</v>
      </c>
      <c r="K1062" t="n">
        <v>0</v>
      </c>
      <c r="L1062" t="n">
        <v>1</v>
      </c>
      <c r="M1062" t="n">
        <v>0</v>
      </c>
    </row>
    <row r="1063" spans="1:13">
      <c r="A1063" s="1">
        <f>HYPERLINK("http://www.twitter.com/NathanBLawrence/status/844524922047283200", "844524922047283200")</f>
        <v/>
      </c>
      <c r="B1063" s="2" t="n">
        <v>42816.51627314815</v>
      </c>
      <c r="C1063" t="n">
        <v>0</v>
      </c>
      <c r="D1063" t="n">
        <v>1</v>
      </c>
      <c r="E1063" t="s">
        <v>1069</v>
      </c>
      <c r="F1063" t="s"/>
      <c r="G1063" t="s"/>
      <c r="H1063" t="s"/>
      <c r="I1063" t="s"/>
      <c r="J1063" t="n">
        <v>-0.6731</v>
      </c>
      <c r="K1063" t="n">
        <v>0.29</v>
      </c>
      <c r="L1063" t="n">
        <v>0.602</v>
      </c>
      <c r="M1063" t="n">
        <v>0.108</v>
      </c>
    </row>
    <row r="1064" spans="1:13">
      <c r="A1064" s="1">
        <f>HYPERLINK("http://www.twitter.com/NathanBLawrence/status/844524316217757697", "844524316217757697")</f>
        <v/>
      </c>
      <c r="B1064" s="2" t="n">
        <v>42816.51460648148</v>
      </c>
      <c r="C1064" t="n">
        <v>0</v>
      </c>
      <c r="D1064" t="n">
        <v>9031</v>
      </c>
      <c r="E1064" t="s">
        <v>1070</v>
      </c>
      <c r="F1064" t="s"/>
      <c r="G1064" t="s"/>
      <c r="H1064" t="s"/>
      <c r="I1064" t="s"/>
      <c r="J1064" t="n">
        <v>-0.5266999999999999</v>
      </c>
      <c r="K1064" t="n">
        <v>0.185</v>
      </c>
      <c r="L1064" t="n">
        <v>0.8149999999999999</v>
      </c>
      <c r="M1064" t="n">
        <v>0</v>
      </c>
    </row>
    <row r="1065" spans="1:13">
      <c r="A1065" s="1">
        <f>HYPERLINK("http://www.twitter.com/NathanBLawrence/status/844321729954631681", "844321729954631681")</f>
        <v/>
      </c>
      <c r="B1065" s="2" t="n">
        <v>42815.95556712963</v>
      </c>
      <c r="C1065" t="n">
        <v>0</v>
      </c>
      <c r="D1065" t="n">
        <v>296</v>
      </c>
      <c r="E1065" t="s">
        <v>1071</v>
      </c>
      <c r="F1065">
        <f>HYPERLINK("http://pbs.twimg.com/media/C7dWqthVMAEvi93.jpg", "http://pbs.twimg.com/media/C7dWqthVMAEvi93.jpg")</f>
        <v/>
      </c>
      <c r="G1065" t="s"/>
      <c r="H1065" t="s"/>
      <c r="I1065" t="s"/>
      <c r="J1065" t="n">
        <v>-0.4019</v>
      </c>
      <c r="K1065" t="n">
        <v>0.231</v>
      </c>
      <c r="L1065" t="n">
        <v>0.769</v>
      </c>
      <c r="M1065" t="n">
        <v>0</v>
      </c>
    </row>
    <row r="1066" spans="1:13">
      <c r="A1066" s="1">
        <f>HYPERLINK("http://www.twitter.com/NathanBLawrence/status/844320667877228544", "844320667877228544")</f>
        <v/>
      </c>
      <c r="B1066" s="2" t="n">
        <v>42815.95263888889</v>
      </c>
      <c r="C1066" t="n">
        <v>0</v>
      </c>
      <c r="D1066" t="n">
        <v>446</v>
      </c>
      <c r="E1066" t="s">
        <v>1072</v>
      </c>
      <c r="F1066" t="s"/>
      <c r="G1066" t="s"/>
      <c r="H1066" t="s"/>
      <c r="I1066" t="s"/>
      <c r="J1066" t="n">
        <v>-0.6669</v>
      </c>
      <c r="K1066" t="n">
        <v>0.307</v>
      </c>
      <c r="L1066" t="n">
        <v>0.513</v>
      </c>
      <c r="M1066" t="n">
        <v>0.18</v>
      </c>
    </row>
    <row r="1067" spans="1:13">
      <c r="A1067" s="1">
        <f>HYPERLINK("http://www.twitter.com/NathanBLawrence/status/844214905872048130", "844214905872048130")</f>
        <v/>
      </c>
      <c r="B1067" s="2" t="n">
        <v>42815.66078703704</v>
      </c>
      <c r="C1067" t="n">
        <v>0</v>
      </c>
      <c r="D1067" t="n">
        <v>176</v>
      </c>
      <c r="E1067" t="s">
        <v>1073</v>
      </c>
      <c r="F1067" t="s"/>
      <c r="G1067" t="s"/>
      <c r="H1067" t="s"/>
      <c r="I1067" t="s"/>
      <c r="J1067" t="n">
        <v>0</v>
      </c>
      <c r="K1067" t="n">
        <v>0</v>
      </c>
      <c r="L1067" t="n">
        <v>1</v>
      </c>
      <c r="M1067" t="n">
        <v>0</v>
      </c>
    </row>
    <row r="1068" spans="1:13">
      <c r="A1068" s="1">
        <f>HYPERLINK("http://www.twitter.com/NathanBLawrence/status/844163843727249408", "844163843727249408")</f>
        <v/>
      </c>
      <c r="B1068" s="2" t="n">
        <v>42815.51988425926</v>
      </c>
      <c r="C1068" t="n">
        <v>0</v>
      </c>
      <c r="D1068" t="n">
        <v>0</v>
      </c>
      <c r="E1068" t="s">
        <v>1074</v>
      </c>
      <c r="F1068" t="s"/>
      <c r="G1068" t="s"/>
      <c r="H1068" t="s"/>
      <c r="I1068" t="s"/>
      <c r="J1068" t="n">
        <v>-0.8411999999999999</v>
      </c>
      <c r="K1068" t="n">
        <v>0.267</v>
      </c>
      <c r="L1068" t="n">
        <v>0.733</v>
      </c>
      <c r="M1068" t="n">
        <v>0</v>
      </c>
    </row>
    <row r="1069" spans="1:13">
      <c r="A1069" s="1">
        <f>HYPERLINK("http://www.twitter.com/NathanBLawrence/status/844162825497071616", "844162825497071616")</f>
        <v/>
      </c>
      <c r="B1069" s="2" t="n">
        <v>42815.51708333333</v>
      </c>
      <c r="C1069" t="n">
        <v>1</v>
      </c>
      <c r="D1069" t="n">
        <v>0</v>
      </c>
      <c r="E1069" t="s">
        <v>1075</v>
      </c>
      <c r="F1069" t="s"/>
      <c r="G1069" t="s"/>
      <c r="H1069" t="s"/>
      <c r="I1069" t="s"/>
      <c r="J1069" t="n">
        <v>-0.902</v>
      </c>
      <c r="K1069" t="n">
        <v>0.359</v>
      </c>
      <c r="L1069" t="n">
        <v>0.641</v>
      </c>
      <c r="M1069" t="n">
        <v>0</v>
      </c>
    </row>
    <row r="1070" spans="1:13">
      <c r="A1070" s="1">
        <f>HYPERLINK("http://www.twitter.com/NathanBLawrence/status/844109385580339200", "844109385580339200")</f>
        <v/>
      </c>
      <c r="B1070" s="2" t="n">
        <v>42815.36960648148</v>
      </c>
      <c r="C1070" t="n">
        <v>0</v>
      </c>
      <c r="D1070" t="n">
        <v>1554</v>
      </c>
      <c r="E1070" t="s">
        <v>1076</v>
      </c>
      <c r="F1070" t="s"/>
      <c r="G1070" t="s"/>
      <c r="H1070" t="s"/>
      <c r="I1070" t="s"/>
      <c r="J1070" t="n">
        <v>-0.6249</v>
      </c>
      <c r="K1070" t="n">
        <v>0.188</v>
      </c>
      <c r="L1070" t="n">
        <v>0.8120000000000001</v>
      </c>
      <c r="M1070" t="n">
        <v>0</v>
      </c>
    </row>
    <row r="1071" spans="1:13">
      <c r="A1071" s="1">
        <f>HYPERLINK("http://www.twitter.com/NathanBLawrence/status/844105826025558016", "844105826025558016")</f>
        <v/>
      </c>
      <c r="B1071" s="2" t="n">
        <v>42815.35979166667</v>
      </c>
      <c r="C1071" t="n">
        <v>0</v>
      </c>
      <c r="D1071" t="n">
        <v>906</v>
      </c>
      <c r="E1071" t="s">
        <v>1077</v>
      </c>
      <c r="F1071" t="s"/>
      <c r="G1071" t="s"/>
      <c r="H1071" t="s"/>
      <c r="I1071" t="s"/>
      <c r="J1071" t="n">
        <v>0</v>
      </c>
      <c r="K1071" t="n">
        <v>0</v>
      </c>
      <c r="L1071" t="n">
        <v>1</v>
      </c>
      <c r="M1071" t="n">
        <v>0</v>
      </c>
    </row>
    <row r="1072" spans="1:13">
      <c r="A1072" s="1">
        <f>HYPERLINK("http://www.twitter.com/NathanBLawrence/status/843925272349032449", "843925272349032449")</f>
        <v/>
      </c>
      <c r="B1072" s="2" t="n">
        <v>42814.86155092593</v>
      </c>
      <c r="C1072" t="n">
        <v>0</v>
      </c>
      <c r="D1072" t="n">
        <v>0</v>
      </c>
      <c r="E1072" t="s">
        <v>1078</v>
      </c>
      <c r="F1072" t="s"/>
      <c r="G1072" t="s"/>
      <c r="H1072" t="s"/>
      <c r="I1072" t="s"/>
      <c r="J1072" t="n">
        <v>-0.3442</v>
      </c>
      <c r="K1072" t="n">
        <v>0.221</v>
      </c>
      <c r="L1072" t="n">
        <v>0.645</v>
      </c>
      <c r="M1072" t="n">
        <v>0.134</v>
      </c>
    </row>
    <row r="1073" spans="1:13">
      <c r="A1073" s="1">
        <f>HYPERLINK("http://www.twitter.com/NathanBLawrence/status/843909632494133254", "843909632494133254")</f>
        <v/>
      </c>
      <c r="B1073" s="2" t="n">
        <v>42814.81840277778</v>
      </c>
      <c r="C1073" t="n">
        <v>0</v>
      </c>
      <c r="D1073" t="n">
        <v>616</v>
      </c>
      <c r="E1073" t="s">
        <v>1079</v>
      </c>
      <c r="F1073" t="s"/>
      <c r="G1073" t="s"/>
      <c r="H1073" t="s"/>
      <c r="I1073" t="s"/>
      <c r="J1073" t="n">
        <v>-0.6124000000000001</v>
      </c>
      <c r="K1073" t="n">
        <v>0.269</v>
      </c>
      <c r="L1073" t="n">
        <v>0.615</v>
      </c>
      <c r="M1073" t="n">
        <v>0.115</v>
      </c>
    </row>
    <row r="1074" spans="1:13">
      <c r="A1074" s="1">
        <f>HYPERLINK("http://www.twitter.com/NathanBLawrence/status/843908573440696320", "843908573440696320")</f>
        <v/>
      </c>
      <c r="B1074" s="2" t="n">
        <v>42814.81547453703</v>
      </c>
      <c r="C1074" t="n">
        <v>1</v>
      </c>
      <c r="D1074" t="n">
        <v>0</v>
      </c>
      <c r="E1074" t="s">
        <v>1080</v>
      </c>
      <c r="F1074" t="s"/>
      <c r="G1074" t="s"/>
      <c r="H1074" t="s"/>
      <c r="I1074" t="s"/>
      <c r="J1074" t="n">
        <v>-0.5266999999999999</v>
      </c>
      <c r="K1074" t="n">
        <v>0.152</v>
      </c>
      <c r="L1074" t="n">
        <v>0.848</v>
      </c>
      <c r="M1074" t="n">
        <v>0</v>
      </c>
    </row>
    <row r="1075" spans="1:13">
      <c r="A1075" s="1">
        <f>HYPERLINK("http://www.twitter.com/NathanBLawrence/status/843906197858271237", "843906197858271237")</f>
        <v/>
      </c>
      <c r="B1075" s="2" t="n">
        <v>42814.80892361111</v>
      </c>
      <c r="C1075" t="n">
        <v>0</v>
      </c>
      <c r="D1075" t="n">
        <v>0</v>
      </c>
      <c r="E1075" t="s">
        <v>1081</v>
      </c>
      <c r="F1075" t="s"/>
      <c r="G1075" t="s"/>
      <c r="H1075" t="s"/>
      <c r="I1075" t="s"/>
      <c r="J1075" t="n">
        <v>0.5893</v>
      </c>
      <c r="K1075" t="n">
        <v>0</v>
      </c>
      <c r="L1075" t="n">
        <v>0.44</v>
      </c>
      <c r="M1075" t="n">
        <v>0.5600000000000001</v>
      </c>
    </row>
    <row r="1076" spans="1:13">
      <c r="A1076" s="1">
        <f>HYPERLINK("http://www.twitter.com/NathanBLawrence/status/843877386710126592", "843877386710126592")</f>
        <v/>
      </c>
      <c r="B1076" s="2" t="n">
        <v>42814.7294212963</v>
      </c>
      <c r="C1076" t="n">
        <v>0</v>
      </c>
      <c r="D1076" t="n">
        <v>12452</v>
      </c>
      <c r="E1076" t="s">
        <v>1082</v>
      </c>
      <c r="F1076">
        <f>HYPERLINK("https://video.twimg.com/ext_tw_video/843862353162641408/pu/vid/628x360/TDihYobZF7eUardy.mp4", "https://video.twimg.com/ext_tw_video/843862353162641408/pu/vid/628x360/TDihYobZF7eUardy.mp4")</f>
        <v/>
      </c>
      <c r="G1076" t="s"/>
      <c r="H1076" t="s"/>
      <c r="I1076" t="s"/>
      <c r="J1076" t="n">
        <v>-0.34</v>
      </c>
      <c r="K1076" t="n">
        <v>0.107</v>
      </c>
      <c r="L1076" t="n">
        <v>0.893</v>
      </c>
      <c r="M1076" t="n">
        <v>0</v>
      </c>
    </row>
    <row r="1077" spans="1:13">
      <c r="A1077" s="1">
        <f>HYPERLINK("http://www.twitter.com/NathanBLawrence/status/843873495864000513", "843873495864000513")</f>
        <v/>
      </c>
      <c r="B1077" s="2" t="n">
        <v>42814.71868055555</v>
      </c>
      <c r="C1077" t="n">
        <v>0</v>
      </c>
      <c r="D1077" t="n">
        <v>197</v>
      </c>
      <c r="E1077" t="s">
        <v>1083</v>
      </c>
      <c r="F1077" t="s"/>
      <c r="G1077" t="s"/>
      <c r="H1077" t="s"/>
      <c r="I1077" t="s"/>
      <c r="J1077" t="n">
        <v>0.3612</v>
      </c>
      <c r="K1077" t="n">
        <v>0.109</v>
      </c>
      <c r="L1077" t="n">
        <v>0.711</v>
      </c>
      <c r="M1077" t="n">
        <v>0.18</v>
      </c>
    </row>
    <row r="1078" spans="1:13">
      <c r="A1078" s="1">
        <f>HYPERLINK("http://www.twitter.com/NathanBLawrence/status/843785974115188737", "843785974115188737")</f>
        <v/>
      </c>
      <c r="B1078" s="2" t="n">
        <v>42814.47716435185</v>
      </c>
      <c r="C1078" t="n">
        <v>3</v>
      </c>
      <c r="D1078" t="n">
        <v>3</v>
      </c>
      <c r="E1078" t="s">
        <v>1084</v>
      </c>
      <c r="F1078">
        <f>HYPERLINK("http://pbs.twimg.com/media/C7W63DlV4AExVyn.jpg", "http://pbs.twimg.com/media/C7W63DlV4AExVyn.jpg")</f>
        <v/>
      </c>
      <c r="G1078" t="s"/>
      <c r="H1078" t="s"/>
      <c r="I1078" t="s"/>
      <c r="J1078" t="n">
        <v>0</v>
      </c>
      <c r="K1078" t="n">
        <v>0</v>
      </c>
      <c r="L1078" t="n">
        <v>1</v>
      </c>
      <c r="M1078" t="n">
        <v>0</v>
      </c>
    </row>
    <row r="1079" spans="1:13">
      <c r="A1079" s="1">
        <f>HYPERLINK("http://www.twitter.com/NathanBLawrence/status/843625693921640448", "843625693921640448")</f>
        <v/>
      </c>
      <c r="B1079" s="2" t="n">
        <v>42814.03487268519</v>
      </c>
      <c r="C1079" t="n">
        <v>2</v>
      </c>
      <c r="D1079" t="n">
        <v>1</v>
      </c>
      <c r="E1079" t="s">
        <v>1085</v>
      </c>
      <c r="F1079" t="s"/>
      <c r="G1079" t="s"/>
      <c r="H1079" t="s"/>
      <c r="I1079" t="s"/>
      <c r="J1079" t="n">
        <v>-0.367</v>
      </c>
      <c r="K1079" t="n">
        <v>0.223</v>
      </c>
      <c r="L1079" t="n">
        <v>0.666</v>
      </c>
      <c r="M1079" t="n">
        <v>0.111</v>
      </c>
    </row>
    <row r="1080" spans="1:13">
      <c r="A1080" s="1">
        <f>HYPERLINK("http://www.twitter.com/NathanBLawrence/status/843605494765932544", "843605494765932544")</f>
        <v/>
      </c>
      <c r="B1080" s="2" t="n">
        <v>42813.97914351852</v>
      </c>
      <c r="C1080" t="n">
        <v>0</v>
      </c>
      <c r="D1080" t="n">
        <v>0</v>
      </c>
      <c r="E1080" t="s">
        <v>1086</v>
      </c>
      <c r="F1080" t="s"/>
      <c r="G1080" t="s"/>
      <c r="H1080" t="s"/>
      <c r="I1080" t="s"/>
      <c r="J1080" t="n">
        <v>-0.7096</v>
      </c>
      <c r="K1080" t="n">
        <v>0.307</v>
      </c>
      <c r="L1080" t="n">
        <v>0.613</v>
      </c>
      <c r="M1080" t="n">
        <v>0.08</v>
      </c>
    </row>
    <row r="1081" spans="1:13">
      <c r="A1081" s="1">
        <f>HYPERLINK("http://www.twitter.com/NathanBLawrence/status/843602378817503239", "843602378817503239")</f>
        <v/>
      </c>
      <c r="B1081" s="2" t="n">
        <v>42813.97054398148</v>
      </c>
      <c r="C1081" t="n">
        <v>0</v>
      </c>
      <c r="D1081" t="n">
        <v>0</v>
      </c>
      <c r="E1081" t="s">
        <v>1087</v>
      </c>
      <c r="F1081" t="s"/>
      <c r="G1081" t="s"/>
      <c r="H1081" t="s"/>
      <c r="I1081" t="s"/>
      <c r="J1081" t="n">
        <v>-0.8225</v>
      </c>
      <c r="K1081" t="n">
        <v>0.322</v>
      </c>
      <c r="L1081" t="n">
        <v>0.678</v>
      </c>
      <c r="M1081" t="n">
        <v>0</v>
      </c>
    </row>
    <row r="1082" spans="1:13">
      <c r="A1082" s="1">
        <f>HYPERLINK("http://www.twitter.com/NathanBLawrence/status/843601974612414464", "843601974612414464")</f>
        <v/>
      </c>
      <c r="B1082" s="2" t="n">
        <v>42813.96942129629</v>
      </c>
      <c r="C1082" t="n">
        <v>0</v>
      </c>
      <c r="D1082" t="n">
        <v>0</v>
      </c>
      <c r="E1082" t="s">
        <v>1088</v>
      </c>
      <c r="F1082" t="s"/>
      <c r="G1082" t="s"/>
      <c r="H1082" t="s"/>
      <c r="I1082" t="s"/>
      <c r="J1082" t="n">
        <v>0.6597</v>
      </c>
      <c r="K1082" t="n">
        <v>0</v>
      </c>
      <c r="L1082" t="n">
        <v>0.748</v>
      </c>
      <c r="M1082" t="n">
        <v>0.252</v>
      </c>
    </row>
    <row r="1083" spans="1:13">
      <c r="A1083" s="1">
        <f>HYPERLINK("http://www.twitter.com/NathanBLawrence/status/843583402293051394", "843583402293051394")</f>
        <v/>
      </c>
      <c r="B1083" s="2" t="n">
        <v>42813.9181712963</v>
      </c>
      <c r="C1083" t="n">
        <v>1</v>
      </c>
      <c r="D1083" t="n">
        <v>0</v>
      </c>
      <c r="E1083" t="s">
        <v>1089</v>
      </c>
      <c r="F1083" t="s"/>
      <c r="G1083" t="s"/>
      <c r="H1083" t="s"/>
      <c r="I1083" t="s"/>
      <c r="J1083" t="n">
        <v>0</v>
      </c>
      <c r="K1083" t="n">
        <v>0</v>
      </c>
      <c r="L1083" t="n">
        <v>1</v>
      </c>
      <c r="M1083" t="n">
        <v>0</v>
      </c>
    </row>
    <row r="1084" spans="1:13">
      <c r="A1084" s="1">
        <f>HYPERLINK("http://www.twitter.com/NathanBLawrence/status/843583041939357698", "843583041939357698")</f>
        <v/>
      </c>
      <c r="B1084" s="2" t="n">
        <v>42813.91717592593</v>
      </c>
      <c r="C1084" t="n">
        <v>0</v>
      </c>
      <c r="D1084" t="n">
        <v>219</v>
      </c>
      <c r="E1084" t="s">
        <v>1090</v>
      </c>
      <c r="F1084">
        <f>HYPERLINK("http://pbs.twimg.com/media/C7TZzQXX0AABBW3.jpg", "http://pbs.twimg.com/media/C7TZzQXX0AABBW3.jpg")</f>
        <v/>
      </c>
      <c r="G1084" t="s"/>
      <c r="H1084" t="s"/>
      <c r="I1084" t="s"/>
      <c r="J1084" t="n">
        <v>0</v>
      </c>
      <c r="K1084" t="n">
        <v>0</v>
      </c>
      <c r="L1084" t="n">
        <v>1</v>
      </c>
      <c r="M1084" t="n">
        <v>0</v>
      </c>
    </row>
    <row r="1085" spans="1:13">
      <c r="A1085" s="1">
        <f>HYPERLINK("http://www.twitter.com/NathanBLawrence/status/843582003173822464", "843582003173822464")</f>
        <v/>
      </c>
      <c r="B1085" s="2" t="n">
        <v>42813.91431712963</v>
      </c>
      <c r="C1085" t="n">
        <v>0</v>
      </c>
      <c r="D1085" t="n">
        <v>0</v>
      </c>
      <c r="E1085" t="s">
        <v>1091</v>
      </c>
      <c r="F1085" t="s"/>
      <c r="G1085" t="s"/>
      <c r="H1085" t="s"/>
      <c r="I1085" t="s"/>
      <c r="J1085" t="n">
        <v>0</v>
      </c>
      <c r="K1085" t="n">
        <v>0.132</v>
      </c>
      <c r="L1085" t="n">
        <v>0.735</v>
      </c>
      <c r="M1085" t="n">
        <v>0.132</v>
      </c>
    </row>
    <row r="1086" spans="1:13">
      <c r="A1086" s="1">
        <f>HYPERLINK("http://www.twitter.com/NathanBLawrence/status/843442710128345088", "843442710128345088")</f>
        <v/>
      </c>
      <c r="B1086" s="2" t="n">
        <v>42813.52994212963</v>
      </c>
      <c r="C1086" t="n">
        <v>0</v>
      </c>
      <c r="D1086" t="n">
        <v>3420</v>
      </c>
      <c r="E1086" t="s">
        <v>1092</v>
      </c>
      <c r="F1086">
        <f>HYPERLINK("http://pbs.twimg.com/media/C7QOgRKU0AAnRCQ.jpg", "http://pbs.twimg.com/media/C7QOgRKU0AAnRCQ.jpg")</f>
        <v/>
      </c>
      <c r="G1086" t="s"/>
      <c r="H1086" t="s"/>
      <c r="I1086" t="s"/>
      <c r="J1086" t="n">
        <v>-0.09</v>
      </c>
      <c r="K1086" t="n">
        <v>0.06</v>
      </c>
      <c r="L1086" t="n">
        <v>0.9399999999999999</v>
      </c>
      <c r="M1086" t="n">
        <v>0</v>
      </c>
    </row>
    <row r="1087" spans="1:13">
      <c r="A1087" s="1">
        <f>HYPERLINK("http://www.twitter.com/NathanBLawrence/status/843442163413336065", "843442163413336065")</f>
        <v/>
      </c>
      <c r="B1087" s="2" t="n">
        <v>42813.52842592593</v>
      </c>
      <c r="C1087" t="n">
        <v>0</v>
      </c>
      <c r="D1087" t="n">
        <v>336</v>
      </c>
      <c r="E1087" t="s">
        <v>1093</v>
      </c>
      <c r="F1087" t="s"/>
      <c r="G1087" t="s"/>
      <c r="H1087" t="s"/>
      <c r="I1087" t="s"/>
      <c r="J1087" t="n">
        <v>-0.4767</v>
      </c>
      <c r="K1087" t="n">
        <v>0.129</v>
      </c>
      <c r="L1087" t="n">
        <v>0.871</v>
      </c>
      <c r="M1087" t="n">
        <v>0</v>
      </c>
    </row>
    <row r="1088" spans="1:13">
      <c r="A1088" s="1">
        <f>HYPERLINK("http://www.twitter.com/NathanBLawrence/status/843291807966543873", "843291807966543873")</f>
        <v/>
      </c>
      <c r="B1088" s="2" t="n">
        <v>42813.1135300926</v>
      </c>
      <c r="C1088" t="n">
        <v>0</v>
      </c>
      <c r="D1088" t="n">
        <v>2</v>
      </c>
      <c r="E1088" t="s">
        <v>1094</v>
      </c>
      <c r="F1088">
        <f>HYPERLINK("http://pbs.twimg.com/media/C7PkaynU4AAdDlA.jpg", "http://pbs.twimg.com/media/C7PkaynU4AAdDlA.jpg")</f>
        <v/>
      </c>
      <c r="G1088" t="s"/>
      <c r="H1088" t="s"/>
      <c r="I1088" t="s"/>
      <c r="J1088" t="n">
        <v>0</v>
      </c>
      <c r="K1088" t="n">
        <v>0</v>
      </c>
      <c r="L1088" t="n">
        <v>1</v>
      </c>
      <c r="M1088" t="n">
        <v>0</v>
      </c>
    </row>
    <row r="1089" spans="1:13">
      <c r="A1089" s="1">
        <f>HYPERLINK("http://www.twitter.com/NathanBLawrence/status/843269691397292033", "843269691397292033")</f>
        <v/>
      </c>
      <c r="B1089" s="2" t="n">
        <v>42813.0525</v>
      </c>
      <c r="C1089" t="n">
        <v>0</v>
      </c>
      <c r="D1089" t="n">
        <v>45</v>
      </c>
      <c r="E1089" t="s">
        <v>1095</v>
      </c>
      <c r="F1089">
        <f>HYPERLINK("http://pbs.twimg.com/media/C5wfL4IWUAEVp9v.jpg", "http://pbs.twimg.com/media/C5wfL4IWUAEVp9v.jpg")</f>
        <v/>
      </c>
      <c r="G1089">
        <f>HYPERLINK("http://pbs.twimg.com/media/C5wfMZcWYAAZDHu.jpg", "http://pbs.twimg.com/media/C5wfMZcWYAAZDHu.jpg")</f>
        <v/>
      </c>
      <c r="H1089">
        <f>HYPERLINK("http://pbs.twimg.com/media/C5wfM1-WQAAq780.jpg", "http://pbs.twimg.com/media/C5wfM1-WQAAq780.jpg")</f>
        <v/>
      </c>
      <c r="I1089">
        <f>HYPERLINK("http://pbs.twimg.com/media/C5wfNCOWMAEeQjf.jpg", "http://pbs.twimg.com/media/C5wfNCOWMAEeQjf.jpg")</f>
        <v/>
      </c>
      <c r="J1089" t="n">
        <v>0</v>
      </c>
      <c r="K1089" t="n">
        <v>0</v>
      </c>
      <c r="L1089" t="n">
        <v>1</v>
      </c>
      <c r="M1089" t="n">
        <v>0</v>
      </c>
    </row>
    <row r="1090" spans="1:13">
      <c r="A1090" s="1">
        <f>HYPERLINK("http://www.twitter.com/NathanBLawrence/status/843168126955114500", "843168126955114500")</f>
        <v/>
      </c>
      <c r="B1090" s="2" t="n">
        <v>42812.7722337963</v>
      </c>
      <c r="C1090" t="n">
        <v>0</v>
      </c>
      <c r="D1090" t="n">
        <v>4</v>
      </c>
      <c r="E1090" t="s">
        <v>1096</v>
      </c>
      <c r="F1090">
        <f>HYPERLINK("http://pbs.twimg.com/media/C7GSUcbXQAAre8t.jpg", "http://pbs.twimg.com/media/C7GSUcbXQAAre8t.jpg")</f>
        <v/>
      </c>
      <c r="G1090" t="s"/>
      <c r="H1090" t="s"/>
      <c r="I1090" t="s"/>
      <c r="J1090" t="n">
        <v>0</v>
      </c>
      <c r="K1090" t="n">
        <v>0</v>
      </c>
      <c r="L1090" t="n">
        <v>1</v>
      </c>
      <c r="M1090" t="n">
        <v>0</v>
      </c>
    </row>
    <row r="1091" spans="1:13">
      <c r="A1091" s="1">
        <f>HYPERLINK("http://www.twitter.com/NathanBLawrence/status/843167645604237314", "843167645604237314")</f>
        <v/>
      </c>
      <c r="B1091" s="2" t="n">
        <v>42812.77090277777</v>
      </c>
      <c r="C1091" t="n">
        <v>0</v>
      </c>
      <c r="D1091" t="n">
        <v>0</v>
      </c>
      <c r="E1091" t="s">
        <v>1097</v>
      </c>
      <c r="F1091" t="s"/>
      <c r="G1091" t="s"/>
      <c r="H1091" t="s"/>
      <c r="I1091" t="s"/>
      <c r="J1091" t="n">
        <v>0</v>
      </c>
      <c r="K1091" t="n">
        <v>0</v>
      </c>
      <c r="L1091" t="n">
        <v>1</v>
      </c>
      <c r="M1091" t="n">
        <v>0</v>
      </c>
    </row>
    <row r="1092" spans="1:13">
      <c r="A1092" s="1">
        <f>HYPERLINK("http://www.twitter.com/NathanBLawrence/status/843067494130745346", "843067494130745346")</f>
        <v/>
      </c>
      <c r="B1092" s="2" t="n">
        <v>42812.49453703704</v>
      </c>
      <c r="C1092" t="n">
        <v>0</v>
      </c>
      <c r="D1092" t="n">
        <v>489</v>
      </c>
      <c r="E1092" t="s">
        <v>1098</v>
      </c>
      <c r="F1092" t="s"/>
      <c r="G1092" t="s"/>
      <c r="H1092" t="s"/>
      <c r="I1092" t="s"/>
      <c r="J1092" t="n">
        <v>-0.6486</v>
      </c>
      <c r="K1092" t="n">
        <v>0.249</v>
      </c>
      <c r="L1092" t="n">
        <v>0.751</v>
      </c>
      <c r="M1092" t="n">
        <v>0</v>
      </c>
    </row>
    <row r="1093" spans="1:13">
      <c r="A1093" s="1">
        <f>HYPERLINK("http://www.twitter.com/NathanBLawrence/status/842802362108514306", "842802362108514306")</f>
        <v/>
      </c>
      <c r="B1093" s="2" t="n">
        <v>42811.76291666667</v>
      </c>
      <c r="C1093" t="n">
        <v>0</v>
      </c>
      <c r="D1093" t="n">
        <v>1</v>
      </c>
      <c r="E1093" t="s">
        <v>1099</v>
      </c>
      <c r="F1093" t="s"/>
      <c r="G1093" t="s"/>
      <c r="H1093" t="s"/>
      <c r="I1093" t="s"/>
      <c r="J1093" t="n">
        <v>-0.2732</v>
      </c>
      <c r="K1093" t="n">
        <v>0.116</v>
      </c>
      <c r="L1093" t="n">
        <v>0.884</v>
      </c>
      <c r="M1093" t="n">
        <v>0</v>
      </c>
    </row>
    <row r="1094" spans="1:13">
      <c r="A1094" s="1">
        <f>HYPERLINK("http://www.twitter.com/NathanBLawrence/status/842786239661199364", "842786239661199364")</f>
        <v/>
      </c>
      <c r="B1094" s="2" t="n">
        <v>42811.71842592592</v>
      </c>
      <c r="C1094" t="n">
        <v>0</v>
      </c>
      <c r="D1094" t="n">
        <v>0</v>
      </c>
      <c r="E1094" t="s">
        <v>1100</v>
      </c>
      <c r="F1094" t="s"/>
      <c r="G1094" t="s"/>
      <c r="H1094" t="s"/>
      <c r="I1094" t="s"/>
      <c r="J1094" t="n">
        <v>0.872</v>
      </c>
      <c r="K1094" t="n">
        <v>0.056</v>
      </c>
      <c r="L1094" t="n">
        <v>0.605</v>
      </c>
      <c r="M1094" t="n">
        <v>0.339</v>
      </c>
    </row>
    <row r="1095" spans="1:13">
      <c r="A1095" s="1">
        <f>HYPERLINK("http://www.twitter.com/NathanBLawrence/status/842780152413274113", "842780152413274113")</f>
        <v/>
      </c>
      <c r="B1095" s="2" t="n">
        <v>42811.70163194444</v>
      </c>
      <c r="C1095" t="n">
        <v>0</v>
      </c>
      <c r="D1095" t="n">
        <v>14</v>
      </c>
      <c r="E1095" t="s">
        <v>1101</v>
      </c>
      <c r="F1095" t="s"/>
      <c r="G1095" t="s"/>
      <c r="H1095" t="s"/>
      <c r="I1095" t="s"/>
      <c r="J1095" t="n">
        <v>0.7603</v>
      </c>
      <c r="K1095" t="n">
        <v>0</v>
      </c>
      <c r="L1095" t="n">
        <v>0.771</v>
      </c>
      <c r="M1095" t="n">
        <v>0.229</v>
      </c>
    </row>
    <row r="1096" spans="1:13">
      <c r="A1096" s="1">
        <f>HYPERLINK("http://www.twitter.com/NathanBLawrence/status/842774465088028673", "842774465088028673")</f>
        <v/>
      </c>
      <c r="B1096" s="2" t="n">
        <v>42811.6859375</v>
      </c>
      <c r="C1096" t="n">
        <v>0</v>
      </c>
      <c r="D1096" t="n">
        <v>2</v>
      </c>
      <c r="E1096" t="s">
        <v>1102</v>
      </c>
      <c r="F1096" t="s"/>
      <c r="G1096" t="s"/>
      <c r="H1096" t="s"/>
      <c r="I1096" t="s"/>
      <c r="J1096" t="n">
        <v>-0.3191</v>
      </c>
      <c r="K1096" t="n">
        <v>0.3</v>
      </c>
      <c r="L1096" t="n">
        <v>0.507</v>
      </c>
      <c r="M1096" t="n">
        <v>0.193</v>
      </c>
    </row>
    <row r="1097" spans="1:13">
      <c r="A1097" s="1">
        <f>HYPERLINK("http://www.twitter.com/NathanBLawrence/status/842768973502599169", "842768973502599169")</f>
        <v/>
      </c>
      <c r="B1097" s="2" t="n">
        <v>42811.67077546296</v>
      </c>
      <c r="C1097" t="n">
        <v>0</v>
      </c>
      <c r="D1097" t="n">
        <v>1</v>
      </c>
      <c r="E1097" t="s">
        <v>1103</v>
      </c>
      <c r="F1097">
        <f>HYPERLINK("http://pbs.twimg.com/media/C7IdvEQU8AA7R5F.jpg", "http://pbs.twimg.com/media/C7IdvEQU8AA7R5F.jpg")</f>
        <v/>
      </c>
      <c r="G1097" t="s"/>
      <c r="H1097" t="s"/>
      <c r="I1097" t="s"/>
      <c r="J1097" t="n">
        <v>0</v>
      </c>
      <c r="K1097" t="n">
        <v>0</v>
      </c>
      <c r="L1097" t="n">
        <v>1</v>
      </c>
      <c r="M1097" t="n">
        <v>0</v>
      </c>
    </row>
    <row r="1098" spans="1:13">
      <c r="A1098" s="1">
        <f>HYPERLINK("http://www.twitter.com/NathanBLawrence/status/842755469374619649", "842755469374619649")</f>
        <v/>
      </c>
      <c r="B1098" s="2" t="n">
        <v>42811.63351851852</v>
      </c>
      <c r="C1098" t="n">
        <v>0</v>
      </c>
      <c r="D1098" t="n">
        <v>14118</v>
      </c>
      <c r="E1098" t="s">
        <v>1104</v>
      </c>
      <c r="F1098" t="s"/>
      <c r="G1098" t="s"/>
      <c r="H1098" t="s"/>
      <c r="I1098" t="s"/>
      <c r="J1098" t="n">
        <v>-0.6124000000000001</v>
      </c>
      <c r="K1098" t="n">
        <v>0.326</v>
      </c>
      <c r="L1098" t="n">
        <v>0.543</v>
      </c>
      <c r="M1098" t="n">
        <v>0.132</v>
      </c>
    </row>
    <row r="1099" spans="1:13">
      <c r="A1099" s="1">
        <f>HYPERLINK("http://www.twitter.com/NathanBLawrence/status/842740156130058241", "842740156130058241")</f>
        <v/>
      </c>
      <c r="B1099" s="2" t="n">
        <v>42811.59126157407</v>
      </c>
      <c r="C1099" t="n">
        <v>1</v>
      </c>
      <c r="D1099" t="n">
        <v>0</v>
      </c>
      <c r="E1099" t="s">
        <v>1105</v>
      </c>
      <c r="F1099" t="s"/>
      <c r="G1099" t="s"/>
      <c r="H1099" t="s"/>
      <c r="I1099" t="s"/>
      <c r="J1099" t="n">
        <v>0</v>
      </c>
      <c r="K1099" t="n">
        <v>0</v>
      </c>
      <c r="L1099" t="n">
        <v>1</v>
      </c>
      <c r="M1099" t="n">
        <v>0</v>
      </c>
    </row>
    <row r="1100" spans="1:13">
      <c r="A1100" s="1">
        <f>HYPERLINK("http://www.twitter.com/NathanBLawrence/status/842736592720740352", "842736592720740352")</f>
        <v/>
      </c>
      <c r="B1100" s="2" t="n">
        <v>42811.58142361111</v>
      </c>
      <c r="C1100" t="n">
        <v>0</v>
      </c>
      <c r="D1100" t="n">
        <v>0</v>
      </c>
      <c r="E1100" t="s">
        <v>1106</v>
      </c>
      <c r="F1100" t="s"/>
      <c r="G1100" t="s"/>
      <c r="H1100" t="s"/>
      <c r="I1100" t="s"/>
      <c r="J1100" t="n">
        <v>0.5893</v>
      </c>
      <c r="K1100" t="n">
        <v>0</v>
      </c>
      <c r="L1100" t="n">
        <v>0.207</v>
      </c>
      <c r="M1100" t="n">
        <v>0.793</v>
      </c>
    </row>
    <row r="1101" spans="1:13">
      <c r="A1101" s="1">
        <f>HYPERLINK("http://www.twitter.com/NathanBLawrence/status/842736359295111168", "842736359295111168")</f>
        <v/>
      </c>
      <c r="B1101" s="2" t="n">
        <v>42811.58077546296</v>
      </c>
      <c r="C1101" t="n">
        <v>0</v>
      </c>
      <c r="D1101" t="n">
        <v>0</v>
      </c>
      <c r="E1101" t="s">
        <v>1107</v>
      </c>
      <c r="F1101" t="s"/>
      <c r="G1101" t="s"/>
      <c r="H1101" t="s"/>
      <c r="I1101" t="s"/>
      <c r="J1101" t="n">
        <v>0</v>
      </c>
      <c r="K1101" t="n">
        <v>0</v>
      </c>
      <c r="L1101" t="n">
        <v>1</v>
      </c>
      <c r="M1101" t="n">
        <v>0</v>
      </c>
    </row>
    <row r="1102" spans="1:13">
      <c r="A1102" s="1">
        <f>HYPERLINK("http://www.twitter.com/NathanBLawrence/status/842736177140711425", "842736177140711425")</f>
        <v/>
      </c>
      <c r="B1102" s="2" t="n">
        <v>42811.58027777778</v>
      </c>
      <c r="C1102" t="n">
        <v>0</v>
      </c>
      <c r="D1102" t="n">
        <v>0</v>
      </c>
      <c r="E1102" t="s">
        <v>1108</v>
      </c>
      <c r="F1102" t="s"/>
      <c r="G1102" t="s"/>
      <c r="H1102" t="s"/>
      <c r="I1102" t="s"/>
      <c r="J1102" t="n">
        <v>0.6976</v>
      </c>
      <c r="K1102" t="n">
        <v>0.067</v>
      </c>
      <c r="L1102" t="n">
        <v>0.647</v>
      </c>
      <c r="M1102" t="n">
        <v>0.286</v>
      </c>
    </row>
    <row r="1103" spans="1:13">
      <c r="A1103" s="1">
        <f>HYPERLINK("http://www.twitter.com/NathanBLawrence/status/842735483511869440", "842735483511869440")</f>
        <v/>
      </c>
      <c r="B1103" s="2" t="n">
        <v>42811.57836805555</v>
      </c>
      <c r="C1103" t="n">
        <v>0</v>
      </c>
      <c r="D1103" t="n">
        <v>0</v>
      </c>
      <c r="E1103" t="s">
        <v>1109</v>
      </c>
      <c r="F1103" t="s"/>
      <c r="G1103" t="s"/>
      <c r="H1103" t="s"/>
      <c r="I1103" t="s"/>
      <c r="J1103" t="n">
        <v>-0.3089</v>
      </c>
      <c r="K1103" t="n">
        <v>0.184</v>
      </c>
      <c r="L1103" t="n">
        <v>0.8159999999999999</v>
      </c>
      <c r="M1103" t="n">
        <v>0</v>
      </c>
    </row>
    <row r="1104" spans="1:13">
      <c r="A1104" s="1">
        <f>HYPERLINK("http://www.twitter.com/NathanBLawrence/status/842735112894713856", "842735112894713856")</f>
        <v/>
      </c>
      <c r="B1104" s="2" t="n">
        <v>42811.57733796296</v>
      </c>
      <c r="C1104" t="n">
        <v>0</v>
      </c>
      <c r="D1104" t="n">
        <v>0</v>
      </c>
      <c r="E1104" t="s">
        <v>1110</v>
      </c>
      <c r="F1104" t="s"/>
      <c r="G1104" t="s"/>
      <c r="H1104" t="s"/>
      <c r="I1104" t="s"/>
      <c r="J1104" t="n">
        <v>0</v>
      </c>
      <c r="K1104" t="n">
        <v>0</v>
      </c>
      <c r="L1104" t="n">
        <v>1</v>
      </c>
      <c r="M1104" t="n">
        <v>0</v>
      </c>
    </row>
    <row r="1105" spans="1:13">
      <c r="A1105" s="1">
        <f>HYPERLINK("http://www.twitter.com/NathanBLawrence/status/842734438064832513", "842734438064832513")</f>
        <v/>
      </c>
      <c r="B1105" s="2" t="n">
        <v>42811.57547453704</v>
      </c>
      <c r="C1105" t="n">
        <v>0</v>
      </c>
      <c r="D1105" t="n">
        <v>0</v>
      </c>
      <c r="E1105" t="s">
        <v>1111</v>
      </c>
      <c r="F1105" t="s"/>
      <c r="G1105" t="s"/>
      <c r="H1105" t="s"/>
      <c r="I1105" t="s"/>
      <c r="J1105" t="n">
        <v>-0.4939</v>
      </c>
      <c r="K1105" t="n">
        <v>0.213</v>
      </c>
      <c r="L1105" t="n">
        <v>0.628</v>
      </c>
      <c r="M1105" t="n">
        <v>0.159</v>
      </c>
    </row>
    <row r="1106" spans="1:13">
      <c r="A1106" s="1">
        <f>HYPERLINK("http://www.twitter.com/NathanBLawrence/status/842733960211976195", "842733960211976195")</f>
        <v/>
      </c>
      <c r="B1106" s="2" t="n">
        <v>42811.57416666667</v>
      </c>
      <c r="C1106" t="n">
        <v>0</v>
      </c>
      <c r="D1106" t="n">
        <v>0</v>
      </c>
      <c r="E1106" t="s">
        <v>1112</v>
      </c>
      <c r="F1106" t="s"/>
      <c r="G1106" t="s"/>
      <c r="H1106" t="s"/>
      <c r="I1106" t="s"/>
      <c r="J1106" t="n">
        <v>0</v>
      </c>
      <c r="K1106" t="n">
        <v>0</v>
      </c>
      <c r="L1106" t="n">
        <v>1</v>
      </c>
      <c r="M1106" t="n">
        <v>0</v>
      </c>
    </row>
    <row r="1107" spans="1:13">
      <c r="A1107" s="1">
        <f>HYPERLINK("http://www.twitter.com/NathanBLawrence/status/842733455272230917", "842733455272230917")</f>
        <v/>
      </c>
      <c r="B1107" s="2" t="n">
        <v>42811.5727662037</v>
      </c>
      <c r="C1107" t="n">
        <v>0</v>
      </c>
      <c r="D1107" t="n">
        <v>0</v>
      </c>
      <c r="E1107" t="s">
        <v>1113</v>
      </c>
      <c r="F1107" t="s"/>
      <c r="G1107" t="s"/>
      <c r="H1107" t="s"/>
      <c r="I1107" t="s"/>
      <c r="J1107" t="n">
        <v>-0.4588</v>
      </c>
      <c r="K1107" t="n">
        <v>0.174</v>
      </c>
      <c r="L1107" t="n">
        <v>0.826</v>
      </c>
      <c r="M1107" t="n">
        <v>0</v>
      </c>
    </row>
    <row r="1108" spans="1:13">
      <c r="A1108" s="1">
        <f>HYPERLINK("http://www.twitter.com/NathanBLawrence/status/842658397434626048", "842658397434626048")</f>
        <v/>
      </c>
      <c r="B1108" s="2" t="n">
        <v>42811.36564814814</v>
      </c>
      <c r="C1108" t="n">
        <v>0</v>
      </c>
      <c r="D1108" t="n">
        <v>61</v>
      </c>
      <c r="E1108" t="s">
        <v>1114</v>
      </c>
      <c r="F1108" t="s"/>
      <c r="G1108" t="s"/>
      <c r="H1108" t="s"/>
      <c r="I1108" t="s"/>
      <c r="J1108" t="n">
        <v>0.7605</v>
      </c>
      <c r="K1108" t="n">
        <v>0.115</v>
      </c>
      <c r="L1108" t="n">
        <v>0.58</v>
      </c>
      <c r="M1108" t="n">
        <v>0.305</v>
      </c>
    </row>
    <row r="1109" spans="1:13">
      <c r="A1109" s="1">
        <f>HYPERLINK("http://www.twitter.com/NathanBLawrence/status/842592772649574400", "842592772649574400")</f>
        <v/>
      </c>
      <c r="B1109" s="2" t="n">
        <v>42811.18456018518</v>
      </c>
      <c r="C1109" t="n">
        <v>0</v>
      </c>
      <c r="D1109" t="n">
        <v>0</v>
      </c>
      <c r="E1109" t="s">
        <v>1115</v>
      </c>
      <c r="F1109" t="s"/>
      <c r="G1109" t="s"/>
      <c r="H1109" t="s"/>
      <c r="I1109" t="s"/>
      <c r="J1109" t="n">
        <v>0.5157</v>
      </c>
      <c r="K1109" t="n">
        <v>0</v>
      </c>
      <c r="L1109" t="n">
        <v>0.857</v>
      </c>
      <c r="M1109" t="n">
        <v>0.143</v>
      </c>
    </row>
    <row r="1110" spans="1:13">
      <c r="A1110" s="1">
        <f>HYPERLINK("http://www.twitter.com/NathanBLawrence/status/842546034412863488", "842546034412863488")</f>
        <v/>
      </c>
      <c r="B1110" s="2" t="n">
        <v>42811.05559027778</v>
      </c>
      <c r="C1110" t="n">
        <v>2</v>
      </c>
      <c r="D1110" t="n">
        <v>0</v>
      </c>
      <c r="E1110" t="s">
        <v>1116</v>
      </c>
      <c r="F1110" t="s"/>
      <c r="G1110" t="s"/>
      <c r="H1110" t="s"/>
      <c r="I1110" t="s"/>
      <c r="J1110" t="n">
        <v>0.3612</v>
      </c>
      <c r="K1110" t="n">
        <v>0</v>
      </c>
      <c r="L1110" t="n">
        <v>0.667</v>
      </c>
      <c r="M1110" t="n">
        <v>0.333</v>
      </c>
    </row>
    <row r="1111" spans="1:13">
      <c r="A1111" s="1">
        <f>HYPERLINK("http://www.twitter.com/NathanBLawrence/status/842543321213997057", "842543321213997057")</f>
        <v/>
      </c>
      <c r="B1111" s="2" t="n">
        <v>42811.04810185185</v>
      </c>
      <c r="C1111" t="n">
        <v>0</v>
      </c>
      <c r="D1111" t="n">
        <v>1006</v>
      </c>
      <c r="E1111" t="s">
        <v>1117</v>
      </c>
      <c r="F1111" t="s"/>
      <c r="G1111" t="s"/>
      <c r="H1111" t="s"/>
      <c r="I1111" t="s"/>
      <c r="J1111" t="n">
        <v>0.3954</v>
      </c>
      <c r="K1111" t="n">
        <v>0.103</v>
      </c>
      <c r="L1111" t="n">
        <v>0.701</v>
      </c>
      <c r="M1111" t="n">
        <v>0.196</v>
      </c>
    </row>
    <row r="1112" spans="1:13">
      <c r="A1112" s="1">
        <f>HYPERLINK("http://www.twitter.com/NathanBLawrence/status/842495359322636288", "842495359322636288")</f>
        <v/>
      </c>
      <c r="B1112" s="2" t="n">
        <v>42810.91575231482</v>
      </c>
      <c r="C1112" t="n">
        <v>2</v>
      </c>
      <c r="D1112" t="n">
        <v>0</v>
      </c>
      <c r="E1112" t="s">
        <v>1118</v>
      </c>
      <c r="F1112" t="s"/>
      <c r="G1112" t="s"/>
      <c r="H1112" t="s"/>
      <c r="I1112" t="s"/>
      <c r="J1112" t="n">
        <v>0.6239</v>
      </c>
      <c r="K1112" t="n">
        <v>0</v>
      </c>
      <c r="L1112" t="n">
        <v>0.746</v>
      </c>
      <c r="M1112" t="n">
        <v>0.254</v>
      </c>
    </row>
    <row r="1113" spans="1:13">
      <c r="A1113" s="1">
        <f>HYPERLINK("http://www.twitter.com/NathanBLawrence/status/842486155748827143", "842486155748827143")</f>
        <v/>
      </c>
      <c r="B1113" s="2" t="n">
        <v>42810.89034722222</v>
      </c>
      <c r="C1113" t="n">
        <v>11</v>
      </c>
      <c r="D1113" t="n">
        <v>0</v>
      </c>
      <c r="E1113" t="s">
        <v>1119</v>
      </c>
      <c r="F1113" t="s"/>
      <c r="G1113" t="s"/>
      <c r="H1113" t="s"/>
      <c r="I1113" t="s"/>
      <c r="J1113" t="n">
        <v>-0.3034</v>
      </c>
      <c r="K1113" t="n">
        <v>0.168</v>
      </c>
      <c r="L1113" t="n">
        <v>0.758</v>
      </c>
      <c r="M1113" t="n">
        <v>0.074</v>
      </c>
    </row>
    <row r="1114" spans="1:13">
      <c r="A1114" s="1">
        <f>HYPERLINK("http://www.twitter.com/NathanBLawrence/status/842485464657547265", "842485464657547265")</f>
        <v/>
      </c>
      <c r="B1114" s="2" t="n">
        <v>42810.88844907407</v>
      </c>
      <c r="C1114" t="n">
        <v>3</v>
      </c>
      <c r="D1114" t="n">
        <v>0</v>
      </c>
      <c r="E1114" t="s">
        <v>1120</v>
      </c>
      <c r="F1114" t="s"/>
      <c r="G1114" t="s"/>
      <c r="H1114" t="s"/>
      <c r="I1114" t="s"/>
      <c r="J1114" t="n">
        <v>0</v>
      </c>
      <c r="K1114" t="n">
        <v>0</v>
      </c>
      <c r="L1114" t="n">
        <v>1</v>
      </c>
      <c r="M1114" t="n">
        <v>0</v>
      </c>
    </row>
    <row r="1115" spans="1:13">
      <c r="A1115" s="1">
        <f>HYPERLINK("http://www.twitter.com/NathanBLawrence/status/842479518086565889", "842479518086565889")</f>
        <v/>
      </c>
      <c r="B1115" s="2" t="n">
        <v>42810.87203703704</v>
      </c>
      <c r="C1115" t="n">
        <v>0</v>
      </c>
      <c r="D1115" t="n">
        <v>4866</v>
      </c>
      <c r="E1115" t="s">
        <v>1121</v>
      </c>
      <c r="F1115">
        <f>HYPERLINK("http://pbs.twimg.com/media/C7D_CxDWkAMpMgC.jpg", "http://pbs.twimg.com/media/C7D_CxDWkAMpMgC.jpg")</f>
        <v/>
      </c>
      <c r="G1115" t="s"/>
      <c r="H1115" t="s"/>
      <c r="I1115" t="s"/>
      <c r="J1115" t="n">
        <v>0.5266999999999999</v>
      </c>
      <c r="K1115" t="n">
        <v>0</v>
      </c>
      <c r="L1115" t="n">
        <v>0.595</v>
      </c>
      <c r="M1115" t="n">
        <v>0.405</v>
      </c>
    </row>
    <row r="1116" spans="1:13">
      <c r="A1116" s="1">
        <f>HYPERLINK("http://www.twitter.com/NathanBLawrence/status/842479130067320834", "842479130067320834")</f>
        <v/>
      </c>
      <c r="B1116" s="2" t="n">
        <v>42810.87096064815</v>
      </c>
      <c r="C1116" t="n">
        <v>0</v>
      </c>
      <c r="D1116" t="n">
        <v>345</v>
      </c>
      <c r="E1116" t="s">
        <v>1122</v>
      </c>
      <c r="F1116">
        <f>HYPERLINK("http://pbs.twimg.com/media/C7D9zY5U8AAzOeI.jpg", "http://pbs.twimg.com/media/C7D9zY5U8AAzOeI.jpg")</f>
        <v/>
      </c>
      <c r="G1116" t="s"/>
      <c r="H1116" t="s"/>
      <c r="I1116" t="s"/>
      <c r="J1116" t="n">
        <v>0.3818</v>
      </c>
      <c r="K1116" t="n">
        <v>0.096</v>
      </c>
      <c r="L1116" t="n">
        <v>0.705</v>
      </c>
      <c r="M1116" t="n">
        <v>0.199</v>
      </c>
    </row>
    <row r="1117" spans="1:13">
      <c r="A1117" s="1">
        <f>HYPERLINK("http://www.twitter.com/NathanBLawrence/status/842472479671111681", "842472479671111681")</f>
        <v/>
      </c>
      <c r="B1117" s="2" t="n">
        <v>42810.85261574074</v>
      </c>
      <c r="C1117" t="n">
        <v>0</v>
      </c>
      <c r="D1117" t="n">
        <v>0</v>
      </c>
      <c r="E1117" t="s">
        <v>1123</v>
      </c>
      <c r="F1117" t="s"/>
      <c r="G1117" t="s"/>
      <c r="H1117" t="s"/>
      <c r="I1117" t="s"/>
      <c r="J1117" t="n">
        <v>0.6249</v>
      </c>
      <c r="K1117" t="n">
        <v>0</v>
      </c>
      <c r="L1117" t="n">
        <v>0.661</v>
      </c>
      <c r="M1117" t="n">
        <v>0.339</v>
      </c>
    </row>
    <row r="1118" spans="1:13">
      <c r="A1118" s="1">
        <f>HYPERLINK("http://www.twitter.com/NathanBLawrence/status/842470104109617154", "842470104109617154")</f>
        <v/>
      </c>
      <c r="B1118" s="2" t="n">
        <v>42810.84605324074</v>
      </c>
      <c r="C1118" t="n">
        <v>0</v>
      </c>
      <c r="D1118" t="n">
        <v>0</v>
      </c>
      <c r="E1118" t="s">
        <v>1124</v>
      </c>
      <c r="F1118" t="s"/>
      <c r="G1118" t="s"/>
      <c r="H1118" t="s"/>
      <c r="I1118" t="s"/>
      <c r="J1118" t="n">
        <v>0</v>
      </c>
      <c r="K1118" t="n">
        <v>0</v>
      </c>
      <c r="L1118" t="n">
        <v>1</v>
      </c>
      <c r="M1118" t="n">
        <v>0</v>
      </c>
    </row>
    <row r="1119" spans="1:13">
      <c r="A1119" s="1">
        <f>HYPERLINK("http://www.twitter.com/NathanBLawrence/status/842431988158083072", "842431988158083072")</f>
        <v/>
      </c>
      <c r="B1119" s="2" t="n">
        <v>42810.74087962963</v>
      </c>
      <c r="C1119" t="n">
        <v>0</v>
      </c>
      <c r="D1119" t="n">
        <v>189</v>
      </c>
      <c r="E1119" t="s">
        <v>1125</v>
      </c>
      <c r="F1119" t="s"/>
      <c r="G1119" t="s"/>
      <c r="H1119" t="s"/>
      <c r="I1119" t="s"/>
      <c r="J1119" t="n">
        <v>-0.5707</v>
      </c>
      <c r="K1119" t="n">
        <v>0.169</v>
      </c>
      <c r="L1119" t="n">
        <v>0.831</v>
      </c>
      <c r="M1119" t="n">
        <v>0</v>
      </c>
    </row>
    <row r="1120" spans="1:13">
      <c r="A1120" s="1">
        <f>HYPERLINK("http://www.twitter.com/NathanBLawrence/status/842427175324250112", "842427175324250112")</f>
        <v/>
      </c>
      <c r="B1120" s="2" t="n">
        <v>42810.72759259259</v>
      </c>
      <c r="C1120" t="n">
        <v>0</v>
      </c>
      <c r="D1120" t="n">
        <v>1444</v>
      </c>
      <c r="E1120" t="s">
        <v>1126</v>
      </c>
      <c r="F1120">
        <f>HYPERLINK("http://pbs.twimg.com/media/C7DZ20HXEAE9ugs.jpg", "http://pbs.twimg.com/media/C7DZ20HXEAE9ugs.jpg")</f>
        <v/>
      </c>
      <c r="G1120" t="s"/>
      <c r="H1120" t="s"/>
      <c r="I1120" t="s"/>
      <c r="J1120" t="n">
        <v>0.4767</v>
      </c>
      <c r="K1120" t="n">
        <v>0</v>
      </c>
      <c r="L1120" t="n">
        <v>0.83</v>
      </c>
      <c r="M1120" t="n">
        <v>0.17</v>
      </c>
    </row>
    <row r="1121" spans="1:13">
      <c r="A1121" s="1">
        <f>HYPERLINK("http://www.twitter.com/NathanBLawrence/status/842418887140495361", "842418887140495361")</f>
        <v/>
      </c>
      <c r="B1121" s="2" t="n">
        <v>42810.70472222222</v>
      </c>
      <c r="C1121" t="n">
        <v>0</v>
      </c>
      <c r="D1121" t="n">
        <v>286</v>
      </c>
      <c r="E1121" t="s">
        <v>1127</v>
      </c>
      <c r="F1121" t="s"/>
      <c r="G1121" t="s"/>
      <c r="H1121" t="s"/>
      <c r="I1121" t="s"/>
      <c r="J1121" t="n">
        <v>-0.5994</v>
      </c>
      <c r="K1121" t="n">
        <v>0.205</v>
      </c>
      <c r="L1121" t="n">
        <v>0.795</v>
      </c>
      <c r="M1121" t="n">
        <v>0</v>
      </c>
    </row>
    <row r="1122" spans="1:13">
      <c r="A1122" s="1">
        <f>HYPERLINK("http://www.twitter.com/NathanBLawrence/status/842414402473213952", "842414402473213952")</f>
        <v/>
      </c>
      <c r="B1122" s="2" t="n">
        <v>42810.69234953704</v>
      </c>
      <c r="C1122" t="n">
        <v>1</v>
      </c>
      <c r="D1122" t="n">
        <v>0</v>
      </c>
      <c r="E1122" t="s">
        <v>1128</v>
      </c>
      <c r="F1122" t="s"/>
      <c r="G1122" t="s"/>
      <c r="H1122" t="s"/>
      <c r="I1122" t="s"/>
      <c r="J1122" t="n">
        <v>-0.7345</v>
      </c>
      <c r="K1122" t="n">
        <v>0.331</v>
      </c>
      <c r="L1122" t="n">
        <v>0.577</v>
      </c>
      <c r="M1122" t="n">
        <v>0.092</v>
      </c>
    </row>
    <row r="1123" spans="1:13">
      <c r="A1123" s="1">
        <f>HYPERLINK("http://www.twitter.com/NathanBLawrence/status/842408883326996480", "842408883326996480")</f>
        <v/>
      </c>
      <c r="B1123" s="2" t="n">
        <v>42810.67711805556</v>
      </c>
      <c r="C1123" t="n">
        <v>1</v>
      </c>
      <c r="D1123" t="n">
        <v>0</v>
      </c>
      <c r="E1123" t="s">
        <v>1129</v>
      </c>
      <c r="F1123" t="s"/>
      <c r="G1123" t="s"/>
      <c r="H1123" t="s"/>
      <c r="I1123" t="s"/>
      <c r="J1123" t="n">
        <v>0</v>
      </c>
      <c r="K1123" t="n">
        <v>0</v>
      </c>
      <c r="L1123" t="n">
        <v>1</v>
      </c>
      <c r="M1123" t="n">
        <v>0</v>
      </c>
    </row>
    <row r="1124" spans="1:13">
      <c r="A1124" s="1">
        <f>HYPERLINK("http://www.twitter.com/NathanBLawrence/status/842408098560065536", "842408098560065536")</f>
        <v/>
      </c>
      <c r="B1124" s="2" t="n">
        <v>42810.6749537037</v>
      </c>
      <c r="C1124" t="n">
        <v>1</v>
      </c>
      <c r="D1124" t="n">
        <v>1</v>
      </c>
      <c r="E1124" t="s">
        <v>1130</v>
      </c>
      <c r="F1124" t="s"/>
      <c r="G1124" t="s"/>
      <c r="H1124" t="s"/>
      <c r="I1124" t="s"/>
      <c r="J1124" t="n">
        <v>-0.8999</v>
      </c>
      <c r="K1124" t="n">
        <v>0.425</v>
      </c>
      <c r="L1124" t="n">
        <v>0.526</v>
      </c>
      <c r="M1124" t="n">
        <v>0.049</v>
      </c>
    </row>
    <row r="1125" spans="1:13">
      <c r="A1125" s="1">
        <f>HYPERLINK("http://www.twitter.com/NathanBLawrence/status/842395574653620226", "842395574653620226")</f>
        <v/>
      </c>
      <c r="B1125" s="2" t="n">
        <v>42810.64039351852</v>
      </c>
      <c r="C1125" t="n">
        <v>0</v>
      </c>
      <c r="D1125" t="n">
        <v>22</v>
      </c>
      <c r="E1125" t="s">
        <v>1131</v>
      </c>
      <c r="F1125" t="s"/>
      <c r="G1125" t="s"/>
      <c r="H1125" t="s"/>
      <c r="I1125" t="s"/>
      <c r="J1125" t="n">
        <v>-0.8074</v>
      </c>
      <c r="K1125" t="n">
        <v>0.343</v>
      </c>
      <c r="L1125" t="n">
        <v>0.657</v>
      </c>
      <c r="M1125" t="n">
        <v>0</v>
      </c>
    </row>
    <row r="1126" spans="1:13">
      <c r="A1126" s="1">
        <f>HYPERLINK("http://www.twitter.com/NathanBLawrence/status/842393245795647488", "842393245795647488")</f>
        <v/>
      </c>
      <c r="B1126" s="2" t="n">
        <v>42810.63396990741</v>
      </c>
      <c r="C1126" t="n">
        <v>0</v>
      </c>
      <c r="D1126" t="n">
        <v>40</v>
      </c>
      <c r="E1126" t="s">
        <v>1132</v>
      </c>
      <c r="F1126" t="s"/>
      <c r="G1126" t="s"/>
      <c r="H1126" t="s"/>
      <c r="I1126" t="s"/>
      <c r="J1126" t="n">
        <v>-0.4019</v>
      </c>
      <c r="K1126" t="n">
        <v>0.252</v>
      </c>
      <c r="L1126" t="n">
        <v>0.748</v>
      </c>
      <c r="M1126" t="n">
        <v>0</v>
      </c>
    </row>
    <row r="1127" spans="1:13">
      <c r="A1127" s="1">
        <f>HYPERLINK("http://www.twitter.com/NathanBLawrence/status/842391901097590784", "842391901097590784")</f>
        <v/>
      </c>
      <c r="B1127" s="2" t="n">
        <v>42810.63025462963</v>
      </c>
      <c r="C1127" t="n">
        <v>0</v>
      </c>
      <c r="D1127" t="n">
        <v>163</v>
      </c>
      <c r="E1127" t="s">
        <v>1133</v>
      </c>
      <c r="F1127">
        <f>HYPERLINK("http://pbs.twimg.com/media/C7DF9qOU0AEdC6r.jpg", "http://pbs.twimg.com/media/C7DF9qOU0AEdC6r.jpg")</f>
        <v/>
      </c>
      <c r="G1127" t="s"/>
      <c r="H1127" t="s"/>
      <c r="I1127" t="s"/>
      <c r="J1127" t="n">
        <v>0</v>
      </c>
      <c r="K1127" t="n">
        <v>0</v>
      </c>
      <c r="L1127" t="n">
        <v>1</v>
      </c>
      <c r="M1127" t="n">
        <v>0</v>
      </c>
    </row>
    <row r="1128" spans="1:13">
      <c r="A1128" s="1">
        <f>HYPERLINK("http://www.twitter.com/NathanBLawrence/status/842389582318567425", "842389582318567425")</f>
        <v/>
      </c>
      <c r="B1128" s="2" t="n">
        <v>42810.62385416667</v>
      </c>
      <c r="C1128" t="n">
        <v>0</v>
      </c>
      <c r="D1128" t="n">
        <v>710</v>
      </c>
      <c r="E1128" t="s">
        <v>1134</v>
      </c>
      <c r="F1128">
        <f>HYPERLINK("http://pbs.twimg.com/media/C7C-OZ-XAAEUk5F.jpg", "http://pbs.twimg.com/media/C7C-OZ-XAAEUk5F.jpg")</f>
        <v/>
      </c>
      <c r="G1128" t="s"/>
      <c r="H1128" t="s"/>
      <c r="I1128" t="s"/>
      <c r="J1128" t="n">
        <v>0.836</v>
      </c>
      <c r="K1128" t="n">
        <v>0</v>
      </c>
      <c r="L1128" t="n">
        <v>0.656</v>
      </c>
      <c r="M1128" t="n">
        <v>0.344</v>
      </c>
    </row>
    <row r="1129" spans="1:13">
      <c r="A1129" s="1">
        <f>HYPERLINK("http://www.twitter.com/NathanBLawrence/status/842386305992544257", "842386305992544257")</f>
        <v/>
      </c>
      <c r="B1129" s="2" t="n">
        <v>42810.61481481481</v>
      </c>
      <c r="C1129" t="n">
        <v>0</v>
      </c>
      <c r="D1129" t="n">
        <v>16</v>
      </c>
      <c r="E1129" t="s">
        <v>1135</v>
      </c>
      <c r="F1129" t="s"/>
      <c r="G1129" t="s"/>
      <c r="H1129" t="s"/>
      <c r="I1129" t="s"/>
      <c r="J1129" t="n">
        <v>0.8481</v>
      </c>
      <c r="K1129" t="n">
        <v>0.102</v>
      </c>
      <c r="L1129" t="n">
        <v>0.526</v>
      </c>
      <c r="M1129" t="n">
        <v>0.372</v>
      </c>
    </row>
    <row r="1130" spans="1:13">
      <c r="A1130" s="1">
        <f>HYPERLINK("http://www.twitter.com/NathanBLawrence/status/842235419135754242", "842235419135754242")</f>
        <v/>
      </c>
      <c r="B1130" s="2" t="n">
        <v>42810.19844907407</v>
      </c>
      <c r="C1130" t="n">
        <v>0</v>
      </c>
      <c r="D1130" t="n">
        <v>531</v>
      </c>
      <c r="E1130" t="s">
        <v>1136</v>
      </c>
      <c r="F1130" t="s"/>
      <c r="G1130" t="s"/>
      <c r="H1130" t="s"/>
      <c r="I1130" t="s"/>
      <c r="J1130" t="n">
        <v>-0.2263</v>
      </c>
      <c r="K1130" t="n">
        <v>0.168</v>
      </c>
      <c r="L1130" t="n">
        <v>0.733</v>
      </c>
      <c r="M1130" t="n">
        <v>0.099</v>
      </c>
    </row>
    <row r="1131" spans="1:13">
      <c r="A1131" s="1">
        <f>HYPERLINK("http://www.twitter.com/NathanBLawrence/status/842232340332056576", "842232340332056576")</f>
        <v/>
      </c>
      <c r="B1131" s="2" t="n">
        <v>42810.1899537037</v>
      </c>
      <c r="C1131" t="n">
        <v>0</v>
      </c>
      <c r="D1131" t="n">
        <v>1345</v>
      </c>
      <c r="E1131" t="s">
        <v>1137</v>
      </c>
      <c r="F1131" t="s"/>
      <c r="G1131" t="s"/>
      <c r="H1131" t="s"/>
      <c r="I1131" t="s"/>
      <c r="J1131" t="n">
        <v>-0.3182</v>
      </c>
      <c r="K1131" t="n">
        <v>0.175</v>
      </c>
      <c r="L1131" t="n">
        <v>0.739</v>
      </c>
      <c r="M1131" t="n">
        <v>0.08599999999999999</v>
      </c>
    </row>
    <row r="1132" spans="1:13">
      <c r="A1132" s="1">
        <f>HYPERLINK("http://www.twitter.com/NathanBLawrence/status/842231804279066624", "842231804279066624")</f>
        <v/>
      </c>
      <c r="B1132" s="2" t="n">
        <v>42810.18847222222</v>
      </c>
      <c r="C1132" t="n">
        <v>0</v>
      </c>
      <c r="D1132" t="n">
        <v>0</v>
      </c>
      <c r="E1132" t="s">
        <v>1138</v>
      </c>
      <c r="F1132" t="s"/>
      <c r="G1132" t="s"/>
      <c r="H1132" t="s"/>
      <c r="I1132" t="s"/>
      <c r="J1132" t="n">
        <v>0.3595</v>
      </c>
      <c r="K1132" t="n">
        <v>0.149</v>
      </c>
      <c r="L1132" t="n">
        <v>0.588</v>
      </c>
      <c r="M1132" t="n">
        <v>0.262</v>
      </c>
    </row>
    <row r="1133" spans="1:13">
      <c r="A1133" s="1">
        <f>HYPERLINK("http://www.twitter.com/NathanBLawrence/status/842212276019048449", "842212276019048449")</f>
        <v/>
      </c>
      <c r="B1133" s="2" t="n">
        <v>42810.13458333333</v>
      </c>
      <c r="C1133" t="n">
        <v>28</v>
      </c>
      <c r="D1133" t="n">
        <v>4</v>
      </c>
      <c r="E1133" t="s">
        <v>1139</v>
      </c>
      <c r="F1133">
        <f>HYPERLINK("http://pbs.twimg.com/media/C7AjmCmWkAAGIBI.jpg", "http://pbs.twimg.com/media/C7AjmCmWkAAGIBI.jpg")</f>
        <v/>
      </c>
      <c r="G1133" t="s"/>
      <c r="H1133" t="s"/>
      <c r="I1133" t="s"/>
      <c r="J1133" t="n">
        <v>0</v>
      </c>
      <c r="K1133" t="n">
        <v>0</v>
      </c>
      <c r="L1133" t="n">
        <v>1</v>
      </c>
      <c r="M1133" t="n">
        <v>0</v>
      </c>
    </row>
    <row r="1134" spans="1:13">
      <c r="A1134" s="1">
        <f>HYPERLINK("http://www.twitter.com/NathanBLawrence/status/842180204189614080", "842180204189614080")</f>
        <v/>
      </c>
      <c r="B1134" s="2" t="n">
        <v>42810.04608796296</v>
      </c>
      <c r="C1134" t="n">
        <v>0</v>
      </c>
      <c r="D1134" t="n">
        <v>1761</v>
      </c>
      <c r="E1134" t="s">
        <v>1140</v>
      </c>
      <c r="F1134" t="s"/>
      <c r="G1134" t="s"/>
      <c r="H1134" t="s"/>
      <c r="I1134" t="s"/>
      <c r="J1134" t="n">
        <v>-0.8858</v>
      </c>
      <c r="K1134" t="n">
        <v>0.331</v>
      </c>
      <c r="L1134" t="n">
        <v>0.669</v>
      </c>
      <c r="M1134" t="n">
        <v>0</v>
      </c>
    </row>
    <row r="1135" spans="1:13">
      <c r="A1135" s="1">
        <f>HYPERLINK("http://www.twitter.com/NathanBLawrence/status/842097877174255616", "842097877174255616")</f>
        <v/>
      </c>
      <c r="B1135" s="2" t="n">
        <v>42809.81890046296</v>
      </c>
      <c r="C1135" t="n">
        <v>0</v>
      </c>
      <c r="D1135" t="n">
        <v>0</v>
      </c>
      <c r="E1135" t="s">
        <v>1141</v>
      </c>
      <c r="F1135" t="s"/>
      <c r="G1135" t="s"/>
      <c r="H1135" t="s"/>
      <c r="I1135" t="s"/>
      <c r="J1135" t="n">
        <v>0.4574</v>
      </c>
      <c r="K1135" t="n">
        <v>0</v>
      </c>
      <c r="L1135" t="n">
        <v>0.401</v>
      </c>
      <c r="M1135" t="n">
        <v>0.599</v>
      </c>
    </row>
    <row r="1136" spans="1:13">
      <c r="A1136" s="1">
        <f>HYPERLINK("http://www.twitter.com/NathanBLawrence/status/842093549709627392", "842093549709627392")</f>
        <v/>
      </c>
      <c r="B1136" s="2" t="n">
        <v>42809.80696759259</v>
      </c>
      <c r="C1136" t="n">
        <v>0</v>
      </c>
      <c r="D1136" t="n">
        <v>3881</v>
      </c>
      <c r="E1136" t="s">
        <v>1142</v>
      </c>
      <c r="F1136" t="s"/>
      <c r="G1136" t="s"/>
      <c r="H1136" t="s"/>
      <c r="I1136" t="s"/>
      <c r="J1136" t="n">
        <v>0</v>
      </c>
      <c r="K1136" t="n">
        <v>0</v>
      </c>
      <c r="L1136" t="n">
        <v>1</v>
      </c>
      <c r="M1136" t="n">
        <v>0</v>
      </c>
    </row>
    <row r="1137" spans="1:13">
      <c r="A1137" s="1">
        <f>HYPERLINK("http://www.twitter.com/NathanBLawrence/status/842089910190391298", "842089910190391298")</f>
        <v/>
      </c>
      <c r="B1137" s="2" t="n">
        <v>42809.7969212963</v>
      </c>
      <c r="C1137" t="n">
        <v>0</v>
      </c>
      <c r="D1137" t="n">
        <v>513</v>
      </c>
      <c r="E1137" t="s">
        <v>1143</v>
      </c>
      <c r="F1137">
        <f>HYPERLINK("http://pbs.twimg.com/media/C6-uAyzWgAEG3x9.jpg", "http://pbs.twimg.com/media/C6-uAyzWgAEG3x9.jpg")</f>
        <v/>
      </c>
      <c r="G1137" t="s"/>
      <c r="H1137" t="s"/>
      <c r="I1137" t="s"/>
      <c r="J1137" t="n">
        <v>-0.4404</v>
      </c>
      <c r="K1137" t="n">
        <v>0.195</v>
      </c>
      <c r="L1137" t="n">
        <v>0.805</v>
      </c>
      <c r="M1137" t="n">
        <v>0</v>
      </c>
    </row>
    <row r="1138" spans="1:13">
      <c r="A1138" s="1">
        <f>HYPERLINK("http://www.twitter.com/NathanBLawrence/status/842065636658429952", "842065636658429952")</f>
        <v/>
      </c>
      <c r="B1138" s="2" t="n">
        <v>42809.72994212963</v>
      </c>
      <c r="C1138" t="n">
        <v>0</v>
      </c>
      <c r="D1138" t="n">
        <v>9</v>
      </c>
      <c r="E1138" t="s">
        <v>1144</v>
      </c>
      <c r="F1138">
        <f>HYPERLINK("http://pbs.twimg.com/media/C6-doV1UwAAOkdC.jpg", "http://pbs.twimg.com/media/C6-doV1UwAAOkdC.jpg")</f>
        <v/>
      </c>
      <c r="G1138" t="s"/>
      <c r="H1138" t="s"/>
      <c r="I1138" t="s"/>
      <c r="J1138" t="n">
        <v>0</v>
      </c>
      <c r="K1138" t="n">
        <v>0</v>
      </c>
      <c r="L1138" t="n">
        <v>1</v>
      </c>
      <c r="M1138" t="n">
        <v>0</v>
      </c>
    </row>
    <row r="1139" spans="1:13">
      <c r="A1139" s="1">
        <f>HYPERLINK("http://www.twitter.com/NathanBLawrence/status/842049940008390656", "842049940008390656")</f>
        <v/>
      </c>
      <c r="B1139" s="2" t="n">
        <v>42809.68662037037</v>
      </c>
      <c r="C1139" t="n">
        <v>0</v>
      </c>
      <c r="D1139" t="n">
        <v>2</v>
      </c>
      <c r="E1139" t="s">
        <v>1145</v>
      </c>
      <c r="F1139">
        <f>HYPERLINK("http://pbs.twimg.com/media/C6-NfotU4AEMPw3.jpg", "http://pbs.twimg.com/media/C6-NfotU4AEMPw3.jpg")</f>
        <v/>
      </c>
      <c r="G1139" t="s"/>
      <c r="H1139" t="s"/>
      <c r="I1139" t="s"/>
      <c r="J1139" t="n">
        <v>0</v>
      </c>
      <c r="K1139" t="n">
        <v>0</v>
      </c>
      <c r="L1139" t="n">
        <v>1</v>
      </c>
      <c r="M1139" t="n">
        <v>0</v>
      </c>
    </row>
    <row r="1140" spans="1:13">
      <c r="A1140" s="1">
        <f>HYPERLINK("http://www.twitter.com/NathanBLawrence/status/842049918650974209", "842049918650974209")</f>
        <v/>
      </c>
      <c r="B1140" s="2" t="n">
        <v>42809.6865625</v>
      </c>
      <c r="C1140" t="n">
        <v>2</v>
      </c>
      <c r="D1140" t="n">
        <v>0</v>
      </c>
      <c r="E1140" t="s">
        <v>1146</v>
      </c>
      <c r="F1140" t="s"/>
      <c r="G1140" t="s"/>
      <c r="H1140" t="s"/>
      <c r="I1140" t="s"/>
      <c r="J1140" t="n">
        <v>0.8977000000000001</v>
      </c>
      <c r="K1140" t="n">
        <v>0</v>
      </c>
      <c r="L1140" t="n">
        <v>0.315</v>
      </c>
      <c r="M1140" t="n">
        <v>0.6850000000000001</v>
      </c>
    </row>
    <row r="1141" spans="1:13">
      <c r="A1141" s="1">
        <f>HYPERLINK("http://www.twitter.com/NathanBLawrence/status/842046876555870209", "842046876555870209")</f>
        <v/>
      </c>
      <c r="B1141" s="2" t="n">
        <v>42809.6781712963</v>
      </c>
      <c r="C1141" t="n">
        <v>0</v>
      </c>
      <c r="D1141" t="n">
        <v>27</v>
      </c>
      <c r="E1141" t="s">
        <v>1147</v>
      </c>
      <c r="F1141">
        <f>HYPERLINK("http://pbs.twimg.com/media/C6-C08pXEAA0Zas.jpg", "http://pbs.twimg.com/media/C6-C08pXEAA0Zas.jpg")</f>
        <v/>
      </c>
      <c r="G1141" t="s"/>
      <c r="H1141" t="s"/>
      <c r="I1141" t="s"/>
      <c r="J1141" t="n">
        <v>0</v>
      </c>
      <c r="K1141" t="n">
        <v>0</v>
      </c>
      <c r="L1141" t="n">
        <v>1</v>
      </c>
      <c r="M1141" t="n">
        <v>0</v>
      </c>
    </row>
    <row r="1142" spans="1:13">
      <c r="A1142" s="1">
        <f>HYPERLINK("http://www.twitter.com/NathanBLawrence/status/842045131083644929", "842045131083644929")</f>
        <v/>
      </c>
      <c r="B1142" s="2" t="n">
        <v>42809.67335648148</v>
      </c>
      <c r="C1142" t="n">
        <v>0</v>
      </c>
      <c r="D1142" t="n">
        <v>0</v>
      </c>
      <c r="E1142" t="s">
        <v>1148</v>
      </c>
      <c r="F1142" t="s"/>
      <c r="G1142" t="s"/>
      <c r="H1142" t="s"/>
      <c r="I1142" t="s"/>
      <c r="J1142" t="n">
        <v>0</v>
      </c>
      <c r="K1142" t="n">
        <v>0</v>
      </c>
      <c r="L1142" t="n">
        <v>1</v>
      </c>
      <c r="M1142" t="n">
        <v>0</v>
      </c>
    </row>
    <row r="1143" spans="1:13">
      <c r="A1143" s="1">
        <f>HYPERLINK("http://www.twitter.com/NathanBLawrence/status/842044669211095040", "842044669211095040")</f>
        <v/>
      </c>
      <c r="B1143" s="2" t="n">
        <v>42809.67208333333</v>
      </c>
      <c r="C1143" t="n">
        <v>0</v>
      </c>
      <c r="D1143" t="n">
        <v>0</v>
      </c>
      <c r="E1143" t="s">
        <v>1149</v>
      </c>
      <c r="F1143" t="s"/>
      <c r="G1143" t="s"/>
      <c r="H1143" t="s"/>
      <c r="I1143" t="s"/>
      <c r="J1143" t="n">
        <v>-0.6597</v>
      </c>
      <c r="K1143" t="n">
        <v>0.524</v>
      </c>
      <c r="L1143" t="n">
        <v>0.476</v>
      </c>
      <c r="M1143" t="n">
        <v>0</v>
      </c>
    </row>
    <row r="1144" spans="1:13">
      <c r="A1144" s="1">
        <f>HYPERLINK("http://www.twitter.com/NathanBLawrence/status/842044244613316608", "842044244613316608")</f>
        <v/>
      </c>
      <c r="B1144" s="2" t="n">
        <v>42809.67090277778</v>
      </c>
      <c r="C1144" t="n">
        <v>0</v>
      </c>
      <c r="D1144" t="n">
        <v>14</v>
      </c>
      <c r="E1144" t="s">
        <v>1150</v>
      </c>
      <c r="F1144" t="s"/>
      <c r="G1144" t="s"/>
      <c r="H1144" t="s"/>
      <c r="I1144" t="s"/>
      <c r="J1144" t="n">
        <v>-0.0772</v>
      </c>
      <c r="K1144" t="n">
        <v>0.167</v>
      </c>
      <c r="L1144" t="n">
        <v>0.717</v>
      </c>
      <c r="M1144" t="n">
        <v>0.116</v>
      </c>
    </row>
    <row r="1145" spans="1:13">
      <c r="A1145" s="1">
        <f>HYPERLINK("http://www.twitter.com/NathanBLawrence/status/842038989221699585", "842038989221699585")</f>
        <v/>
      </c>
      <c r="B1145" s="2" t="n">
        <v>42809.65641203704</v>
      </c>
      <c r="C1145" t="n">
        <v>0</v>
      </c>
      <c r="D1145" t="n">
        <v>73</v>
      </c>
      <c r="E1145" t="s">
        <v>1151</v>
      </c>
      <c r="F1145" t="s"/>
      <c r="G1145" t="s"/>
      <c r="H1145" t="s"/>
      <c r="I1145" t="s"/>
      <c r="J1145" t="n">
        <v>0.2698</v>
      </c>
      <c r="K1145" t="n">
        <v>0.094</v>
      </c>
      <c r="L1145" t="n">
        <v>0.763</v>
      </c>
      <c r="M1145" t="n">
        <v>0.143</v>
      </c>
    </row>
    <row r="1146" spans="1:13">
      <c r="A1146" s="1">
        <f>HYPERLINK("http://www.twitter.com/NathanBLawrence/status/842037248933691392", "842037248933691392")</f>
        <v/>
      </c>
      <c r="B1146" s="2" t="n">
        <v>42809.6516087963</v>
      </c>
      <c r="C1146" t="n">
        <v>0</v>
      </c>
      <c r="D1146" t="n">
        <v>427</v>
      </c>
      <c r="E1146" t="s">
        <v>1152</v>
      </c>
      <c r="F1146">
        <f>HYPERLINK("http://pbs.twimg.com/media/C69tQQkXEAAmB5R.jpg", "http://pbs.twimg.com/media/C69tQQkXEAAmB5R.jpg")</f>
        <v/>
      </c>
      <c r="G1146" t="s"/>
      <c r="H1146" t="s"/>
      <c r="I1146" t="s"/>
      <c r="J1146" t="n">
        <v>0</v>
      </c>
      <c r="K1146" t="n">
        <v>0</v>
      </c>
      <c r="L1146" t="n">
        <v>1</v>
      </c>
      <c r="M1146" t="n">
        <v>0</v>
      </c>
    </row>
    <row r="1147" spans="1:13">
      <c r="A1147" s="1">
        <f>HYPERLINK("http://www.twitter.com/NathanBLawrence/status/842036656991547392", "842036656991547392")</f>
        <v/>
      </c>
      <c r="B1147" s="2" t="n">
        <v>42809.64996527778</v>
      </c>
      <c r="C1147" t="n">
        <v>0</v>
      </c>
      <c r="D1147" t="n">
        <v>402</v>
      </c>
      <c r="E1147" t="s">
        <v>1153</v>
      </c>
      <c r="F1147">
        <f>HYPERLINK("http://pbs.twimg.com/media/C65zhR_U8AAh3sv.jpg", "http://pbs.twimg.com/media/C65zhR_U8AAh3sv.jpg")</f>
        <v/>
      </c>
      <c r="G1147" t="s"/>
      <c r="H1147" t="s"/>
      <c r="I1147" t="s"/>
      <c r="J1147" t="n">
        <v>0</v>
      </c>
      <c r="K1147" t="n">
        <v>0</v>
      </c>
      <c r="L1147" t="n">
        <v>1</v>
      </c>
      <c r="M1147" t="n">
        <v>0</v>
      </c>
    </row>
    <row r="1148" spans="1:13">
      <c r="A1148" s="1">
        <f>HYPERLINK("http://www.twitter.com/NathanBLawrence/status/841998387968913408", "841998387968913408")</f>
        <v/>
      </c>
      <c r="B1148" s="2" t="n">
        <v>42809.54436342593</v>
      </c>
      <c r="C1148" t="n">
        <v>0</v>
      </c>
      <c r="D1148" t="n">
        <v>34</v>
      </c>
      <c r="E1148" t="s">
        <v>1154</v>
      </c>
      <c r="F1148">
        <f>HYPERLINK("http://pbs.twimg.com/media/C686Iq5WkAEuS3-.jpg", "http://pbs.twimg.com/media/C686Iq5WkAEuS3-.jpg")</f>
        <v/>
      </c>
      <c r="G1148" t="s"/>
      <c r="H1148" t="s"/>
      <c r="I1148" t="s"/>
      <c r="J1148" t="n">
        <v>0</v>
      </c>
      <c r="K1148" t="n">
        <v>0</v>
      </c>
      <c r="L1148" t="n">
        <v>1</v>
      </c>
      <c r="M1148" t="n">
        <v>0</v>
      </c>
    </row>
    <row r="1149" spans="1:13">
      <c r="A1149" s="1">
        <f>HYPERLINK("http://www.twitter.com/NathanBLawrence/status/841860692244340737", "841860692244340737")</f>
        <v/>
      </c>
      <c r="B1149" s="2" t="n">
        <v>42809.16439814815</v>
      </c>
      <c r="C1149" t="n">
        <v>0</v>
      </c>
      <c r="D1149" t="n">
        <v>11</v>
      </c>
      <c r="E1149" t="s">
        <v>1155</v>
      </c>
      <c r="F1149" t="s"/>
      <c r="G1149" t="s"/>
      <c r="H1149" t="s"/>
      <c r="I1149" t="s"/>
      <c r="J1149" t="n">
        <v>0</v>
      </c>
      <c r="K1149" t="n">
        <v>0</v>
      </c>
      <c r="L1149" t="n">
        <v>1</v>
      </c>
      <c r="M1149" t="n">
        <v>0</v>
      </c>
    </row>
    <row r="1150" spans="1:13">
      <c r="A1150" s="1">
        <f>HYPERLINK("http://www.twitter.com/NathanBLawrence/status/841853912072228866", "841853912072228866")</f>
        <v/>
      </c>
      <c r="B1150" s="2" t="n">
        <v>42809.14569444444</v>
      </c>
      <c r="C1150" t="n">
        <v>0</v>
      </c>
      <c r="D1150" t="n">
        <v>147</v>
      </c>
      <c r="E1150" t="s">
        <v>1156</v>
      </c>
      <c r="F1150" t="s"/>
      <c r="G1150" t="s"/>
      <c r="H1150" t="s"/>
      <c r="I1150" t="s"/>
      <c r="J1150" t="n">
        <v>0</v>
      </c>
      <c r="K1150" t="n">
        <v>0</v>
      </c>
      <c r="L1150" t="n">
        <v>1</v>
      </c>
      <c r="M1150" t="n">
        <v>0</v>
      </c>
    </row>
    <row r="1151" spans="1:13">
      <c r="A1151" s="1">
        <f>HYPERLINK("http://www.twitter.com/NathanBLawrence/status/841853427785334785", "841853427785334785")</f>
        <v/>
      </c>
      <c r="B1151" s="2" t="n">
        <v>42809.14435185185</v>
      </c>
      <c r="C1151" t="n">
        <v>0</v>
      </c>
      <c r="D1151" t="n">
        <v>0</v>
      </c>
      <c r="E1151" t="s">
        <v>1157</v>
      </c>
      <c r="F1151" t="s"/>
      <c r="G1151" t="s"/>
      <c r="H1151" t="s"/>
      <c r="I1151" t="s"/>
      <c r="J1151" t="n">
        <v>-0.6486</v>
      </c>
      <c r="K1151" t="n">
        <v>0.299</v>
      </c>
      <c r="L1151" t="n">
        <v>0.581</v>
      </c>
      <c r="M1151" t="n">
        <v>0.12</v>
      </c>
    </row>
    <row r="1152" spans="1:13">
      <c r="A1152" s="1">
        <f>HYPERLINK("http://www.twitter.com/NathanBLawrence/status/841852153467699200", "841852153467699200")</f>
        <v/>
      </c>
      <c r="B1152" s="2" t="n">
        <v>42809.14083333333</v>
      </c>
      <c r="C1152" t="n">
        <v>0</v>
      </c>
      <c r="D1152" t="n">
        <v>3485</v>
      </c>
      <c r="E1152" t="s">
        <v>1158</v>
      </c>
      <c r="F1152" t="s"/>
      <c r="G1152" t="s"/>
      <c r="H1152" t="s"/>
      <c r="I1152" t="s"/>
      <c r="J1152" t="n">
        <v>0.3703</v>
      </c>
      <c r="K1152" t="n">
        <v>0</v>
      </c>
      <c r="L1152" t="n">
        <v>0.827</v>
      </c>
      <c r="M1152" t="n">
        <v>0.173</v>
      </c>
    </row>
    <row r="1153" spans="1:13">
      <c r="A1153" s="1">
        <f>HYPERLINK("http://www.twitter.com/NathanBLawrence/status/841835364650225664", "841835364650225664")</f>
        <v/>
      </c>
      <c r="B1153" s="2" t="n">
        <v>42809.09451388889</v>
      </c>
      <c r="C1153" t="n">
        <v>0</v>
      </c>
      <c r="D1153" t="n">
        <v>2946</v>
      </c>
      <c r="E1153" t="s">
        <v>1159</v>
      </c>
      <c r="F1153" t="s"/>
      <c r="G1153" t="s"/>
      <c r="H1153" t="s"/>
      <c r="I1153" t="s"/>
      <c r="J1153" t="n">
        <v>0</v>
      </c>
      <c r="K1153" t="n">
        <v>0</v>
      </c>
      <c r="L1153" t="n">
        <v>1</v>
      </c>
      <c r="M1153" t="n">
        <v>0</v>
      </c>
    </row>
    <row r="1154" spans="1:13">
      <c r="A1154" s="1">
        <f>HYPERLINK("http://www.twitter.com/NathanBLawrence/status/841827665363517442", "841827665363517442")</f>
        <v/>
      </c>
      <c r="B1154" s="2" t="n">
        <v>42809.07326388889</v>
      </c>
      <c r="C1154" t="n">
        <v>1</v>
      </c>
      <c r="D1154" t="n">
        <v>0</v>
      </c>
      <c r="E1154" t="s">
        <v>1160</v>
      </c>
      <c r="F1154" t="s"/>
      <c r="G1154" t="s"/>
      <c r="H1154" t="s"/>
      <c r="I1154" t="s"/>
      <c r="J1154" t="n">
        <v>0.4404</v>
      </c>
      <c r="K1154" t="n">
        <v>0</v>
      </c>
      <c r="L1154" t="n">
        <v>0.775</v>
      </c>
      <c r="M1154" t="n">
        <v>0.225</v>
      </c>
    </row>
    <row r="1155" spans="1:13">
      <c r="A1155" s="1">
        <f>HYPERLINK("http://www.twitter.com/NathanBLawrence/status/841827326740557824", "841827326740557824")</f>
        <v/>
      </c>
      <c r="B1155" s="2" t="n">
        <v>42809.07232638889</v>
      </c>
      <c r="C1155" t="n">
        <v>81</v>
      </c>
      <c r="D1155" t="n">
        <v>5</v>
      </c>
      <c r="E1155" t="s">
        <v>1161</v>
      </c>
      <c r="F1155" t="s"/>
      <c r="G1155" t="s"/>
      <c r="H1155" t="s"/>
      <c r="I1155" t="s"/>
      <c r="J1155" t="n">
        <v>0.629</v>
      </c>
      <c r="K1155" t="n">
        <v>0.105</v>
      </c>
      <c r="L1155" t="n">
        <v>0.654</v>
      </c>
      <c r="M1155" t="n">
        <v>0.241</v>
      </c>
    </row>
    <row r="1156" spans="1:13">
      <c r="A1156" s="1">
        <f>HYPERLINK("http://www.twitter.com/NathanBLawrence/status/841825549592997888", "841825549592997888")</f>
        <v/>
      </c>
      <c r="B1156" s="2" t="n">
        <v>42809.06743055556</v>
      </c>
      <c r="C1156" t="n">
        <v>0</v>
      </c>
      <c r="D1156" t="n">
        <v>7</v>
      </c>
      <c r="E1156" t="s">
        <v>1162</v>
      </c>
      <c r="F1156" t="s"/>
      <c r="G1156" t="s"/>
      <c r="H1156" t="s"/>
      <c r="I1156" t="s"/>
      <c r="J1156" t="n">
        <v>0.6734</v>
      </c>
      <c r="K1156" t="n">
        <v>0</v>
      </c>
      <c r="L1156" t="n">
        <v>0.744</v>
      </c>
      <c r="M1156" t="n">
        <v>0.256</v>
      </c>
    </row>
    <row r="1157" spans="1:13">
      <c r="A1157" s="1">
        <f>HYPERLINK("http://www.twitter.com/NathanBLawrence/status/841825150890852352", "841825150890852352")</f>
        <v/>
      </c>
      <c r="B1157" s="2" t="n">
        <v>42809.06631944444</v>
      </c>
      <c r="C1157" t="n">
        <v>0</v>
      </c>
      <c r="D1157" t="n">
        <v>148</v>
      </c>
      <c r="E1157" t="s">
        <v>1163</v>
      </c>
      <c r="F1157" t="s"/>
      <c r="G1157" t="s"/>
      <c r="H1157" t="s"/>
      <c r="I1157" t="s"/>
      <c r="J1157" t="n">
        <v>0.0762</v>
      </c>
      <c r="K1157" t="n">
        <v>0</v>
      </c>
      <c r="L1157" t="n">
        <v>0.885</v>
      </c>
      <c r="M1157" t="n">
        <v>0.115</v>
      </c>
    </row>
    <row r="1158" spans="1:13">
      <c r="A1158" s="1">
        <f>HYPERLINK("http://www.twitter.com/NathanBLawrence/status/841812310926741509", "841812310926741509")</f>
        <v/>
      </c>
      <c r="B1158" s="2" t="n">
        <v>42809.03089120371</v>
      </c>
      <c r="C1158" t="n">
        <v>0</v>
      </c>
      <c r="D1158" t="n">
        <v>238</v>
      </c>
      <c r="E1158" t="s">
        <v>1164</v>
      </c>
      <c r="F1158" t="s"/>
      <c r="G1158" t="s"/>
      <c r="H1158" t="s"/>
      <c r="I1158" t="s"/>
      <c r="J1158" t="n">
        <v>0.0772</v>
      </c>
      <c r="K1158" t="n">
        <v>0.14</v>
      </c>
      <c r="L1158" t="n">
        <v>0.702</v>
      </c>
      <c r="M1158" t="n">
        <v>0.158</v>
      </c>
    </row>
    <row r="1159" spans="1:13">
      <c r="A1159" s="1">
        <f>HYPERLINK("http://www.twitter.com/NathanBLawrence/status/841796218036600832", "841796218036600832")</f>
        <v/>
      </c>
      <c r="B1159" s="2" t="n">
        <v>42808.98648148148</v>
      </c>
      <c r="C1159" t="n">
        <v>2</v>
      </c>
      <c r="D1159" t="n">
        <v>0</v>
      </c>
      <c r="E1159" t="s">
        <v>1165</v>
      </c>
      <c r="F1159" t="s"/>
      <c r="G1159" t="s"/>
      <c r="H1159" t="s"/>
      <c r="I1159" t="s"/>
      <c r="J1159" t="n">
        <v>-0.3612</v>
      </c>
      <c r="K1159" t="n">
        <v>0.247</v>
      </c>
      <c r="L1159" t="n">
        <v>0.599</v>
      </c>
      <c r="M1159" t="n">
        <v>0.154</v>
      </c>
    </row>
    <row r="1160" spans="1:13">
      <c r="A1160" s="1">
        <f>HYPERLINK("http://www.twitter.com/NathanBLawrence/status/841793079384383489", "841793079384383489")</f>
        <v/>
      </c>
      <c r="B1160" s="2" t="n">
        <v>42808.97782407407</v>
      </c>
      <c r="C1160" t="n">
        <v>3</v>
      </c>
      <c r="D1160" t="n">
        <v>0</v>
      </c>
      <c r="E1160" t="s">
        <v>1166</v>
      </c>
      <c r="F1160" t="s"/>
      <c r="G1160" t="s"/>
      <c r="H1160" t="s"/>
      <c r="I1160" t="s"/>
      <c r="J1160" t="n">
        <v>0.5152</v>
      </c>
      <c r="K1160" t="n">
        <v>0.133</v>
      </c>
      <c r="L1160" t="n">
        <v>0.575</v>
      </c>
      <c r="M1160" t="n">
        <v>0.292</v>
      </c>
    </row>
    <row r="1161" spans="1:13">
      <c r="A1161" s="1">
        <f>HYPERLINK("http://www.twitter.com/NathanBLawrence/status/841792589607108610", "841792589607108610")</f>
        <v/>
      </c>
      <c r="B1161" s="2" t="n">
        <v>42808.97646990741</v>
      </c>
      <c r="C1161" t="n">
        <v>1</v>
      </c>
      <c r="D1161" t="n">
        <v>0</v>
      </c>
      <c r="E1161" t="s">
        <v>1167</v>
      </c>
      <c r="F1161" t="s"/>
      <c r="G1161" t="s"/>
      <c r="H1161" t="s"/>
      <c r="I1161" t="s"/>
      <c r="J1161" t="n">
        <v>0.6124000000000001</v>
      </c>
      <c r="K1161" t="n">
        <v>0</v>
      </c>
      <c r="L1161" t="n">
        <v>0.739</v>
      </c>
      <c r="M1161" t="n">
        <v>0.261</v>
      </c>
    </row>
    <row r="1162" spans="1:13">
      <c r="A1162" s="1">
        <f>HYPERLINK("http://www.twitter.com/NathanBLawrence/status/841792119685672965", "841792119685672965")</f>
        <v/>
      </c>
      <c r="B1162" s="2" t="n">
        <v>42808.97517361111</v>
      </c>
      <c r="C1162" t="n">
        <v>0</v>
      </c>
      <c r="D1162" t="n">
        <v>0</v>
      </c>
      <c r="E1162" t="s">
        <v>1168</v>
      </c>
      <c r="F1162" t="s"/>
      <c r="G1162" t="s"/>
      <c r="H1162" t="s"/>
      <c r="I1162" t="s"/>
      <c r="J1162" t="n">
        <v>0.7845</v>
      </c>
      <c r="K1162" t="n">
        <v>0</v>
      </c>
      <c r="L1162" t="n">
        <v>0.67</v>
      </c>
      <c r="M1162" t="n">
        <v>0.33</v>
      </c>
    </row>
    <row r="1163" spans="1:13">
      <c r="A1163" s="1">
        <f>HYPERLINK("http://www.twitter.com/NathanBLawrence/status/841791710111903744", "841791710111903744")</f>
        <v/>
      </c>
      <c r="B1163" s="2" t="n">
        <v>42808.97405092593</v>
      </c>
      <c r="C1163" t="n">
        <v>1</v>
      </c>
      <c r="D1163" t="n">
        <v>0</v>
      </c>
      <c r="E1163" t="s">
        <v>1169</v>
      </c>
      <c r="F1163" t="s"/>
      <c r="G1163" t="s"/>
      <c r="H1163" t="s"/>
      <c r="I1163" t="s"/>
      <c r="J1163" t="n">
        <v>-0.3824</v>
      </c>
      <c r="K1163" t="n">
        <v>0.151</v>
      </c>
      <c r="L1163" t="n">
        <v>0.766</v>
      </c>
      <c r="M1163" t="n">
        <v>0.083</v>
      </c>
    </row>
    <row r="1164" spans="1:13">
      <c r="A1164" s="1">
        <f>HYPERLINK("http://www.twitter.com/NathanBLawrence/status/841791466506719232", "841791466506719232")</f>
        <v/>
      </c>
      <c r="B1164" s="2" t="n">
        <v>42808.97337962963</v>
      </c>
      <c r="C1164" t="n">
        <v>1</v>
      </c>
      <c r="D1164" t="n">
        <v>0</v>
      </c>
      <c r="E1164" t="s">
        <v>1170</v>
      </c>
      <c r="F1164" t="s"/>
      <c r="G1164" t="s"/>
      <c r="H1164" t="s"/>
      <c r="I1164" t="s"/>
      <c r="J1164" t="n">
        <v>0</v>
      </c>
      <c r="K1164" t="n">
        <v>0</v>
      </c>
      <c r="L1164" t="n">
        <v>1</v>
      </c>
      <c r="M1164" t="n">
        <v>0</v>
      </c>
    </row>
    <row r="1165" spans="1:13">
      <c r="A1165" s="1">
        <f>HYPERLINK("http://www.twitter.com/NathanBLawrence/status/841783840532242434", "841783840532242434")</f>
        <v/>
      </c>
      <c r="B1165" s="2" t="n">
        <v>42808.95232638889</v>
      </c>
      <c r="C1165" t="n">
        <v>0</v>
      </c>
      <c r="D1165" t="n">
        <v>401</v>
      </c>
      <c r="E1165" t="s">
        <v>1171</v>
      </c>
      <c r="F1165" t="s"/>
      <c r="G1165" t="s"/>
      <c r="H1165" t="s"/>
      <c r="I1165" t="s"/>
      <c r="J1165" t="n">
        <v>-0.0572</v>
      </c>
      <c r="K1165" t="n">
        <v>0.058</v>
      </c>
      <c r="L1165" t="n">
        <v>0.9419999999999999</v>
      </c>
      <c r="M1165" t="n">
        <v>0</v>
      </c>
    </row>
    <row r="1166" spans="1:13">
      <c r="A1166" s="1">
        <f>HYPERLINK("http://www.twitter.com/NathanBLawrence/status/841775747031269377", "841775747031269377")</f>
        <v/>
      </c>
      <c r="B1166" s="2" t="n">
        <v>42808.93</v>
      </c>
      <c r="C1166" t="n">
        <v>4</v>
      </c>
      <c r="D1166" t="n">
        <v>0</v>
      </c>
      <c r="E1166" t="s">
        <v>1172</v>
      </c>
      <c r="F1166" t="s"/>
      <c r="G1166" t="s"/>
      <c r="H1166" t="s"/>
      <c r="I1166" t="s"/>
      <c r="J1166" t="n">
        <v>0.6249</v>
      </c>
      <c r="K1166" t="n">
        <v>0</v>
      </c>
      <c r="L1166" t="n">
        <v>0.638</v>
      </c>
      <c r="M1166" t="n">
        <v>0.362</v>
      </c>
    </row>
    <row r="1167" spans="1:13">
      <c r="A1167" s="1">
        <f>HYPERLINK("http://www.twitter.com/NathanBLawrence/status/841775395607318530", "841775395607318530")</f>
        <v/>
      </c>
      <c r="B1167" s="2" t="n">
        <v>42808.92902777778</v>
      </c>
      <c r="C1167" t="n">
        <v>0</v>
      </c>
      <c r="D1167" t="n">
        <v>1</v>
      </c>
      <c r="E1167" t="s">
        <v>1173</v>
      </c>
      <c r="F1167">
        <f>HYPERLINK("http://pbs.twimg.com/media/C66UrJKVwAA4AyK.jpg", "http://pbs.twimg.com/media/C66UrJKVwAA4AyK.jpg")</f>
        <v/>
      </c>
      <c r="G1167" t="s"/>
      <c r="H1167" t="s"/>
      <c r="I1167" t="s"/>
      <c r="J1167" t="n">
        <v>0</v>
      </c>
      <c r="K1167" t="n">
        <v>0</v>
      </c>
      <c r="L1167" t="n">
        <v>1</v>
      </c>
      <c r="M1167" t="n">
        <v>0</v>
      </c>
    </row>
    <row r="1168" spans="1:13">
      <c r="A1168" s="1">
        <f>HYPERLINK("http://www.twitter.com/NathanBLawrence/status/841758387339689985", "841758387339689985")</f>
        <v/>
      </c>
      <c r="B1168" s="2" t="n">
        <v>42808.88209490741</v>
      </c>
      <c r="C1168" t="n">
        <v>0</v>
      </c>
      <c r="D1168" t="n">
        <v>8</v>
      </c>
      <c r="E1168" t="s">
        <v>1174</v>
      </c>
      <c r="F1168" t="s"/>
      <c r="G1168" t="s"/>
      <c r="H1168" t="s"/>
      <c r="I1168" t="s"/>
      <c r="J1168" t="n">
        <v>0.3961</v>
      </c>
      <c r="K1168" t="n">
        <v>0.126</v>
      </c>
      <c r="L1168" t="n">
        <v>0.651</v>
      </c>
      <c r="M1168" t="n">
        <v>0.223</v>
      </c>
    </row>
    <row r="1169" spans="1:13">
      <c r="A1169" s="1">
        <f>HYPERLINK("http://www.twitter.com/NathanBLawrence/status/841723941559369728", "841723941559369728")</f>
        <v/>
      </c>
      <c r="B1169" s="2" t="n">
        <v>42808.78703703704</v>
      </c>
      <c r="C1169" t="n">
        <v>0</v>
      </c>
      <c r="D1169" t="n">
        <v>3166</v>
      </c>
      <c r="E1169" t="s">
        <v>1175</v>
      </c>
      <c r="F1169" t="s"/>
      <c r="G1169" t="s"/>
      <c r="H1169" t="s"/>
      <c r="I1169" t="s"/>
      <c r="J1169" t="n">
        <v>0.1531</v>
      </c>
      <c r="K1169" t="n">
        <v>0.099</v>
      </c>
      <c r="L1169" t="n">
        <v>0.776</v>
      </c>
      <c r="M1169" t="n">
        <v>0.125</v>
      </c>
    </row>
    <row r="1170" spans="1:13">
      <c r="A1170" s="1">
        <f>HYPERLINK("http://www.twitter.com/NathanBLawrence/status/841691806232379393", "841691806232379393")</f>
        <v/>
      </c>
      <c r="B1170" s="2" t="n">
        <v>42808.69836805556</v>
      </c>
      <c r="C1170" t="n">
        <v>0</v>
      </c>
      <c r="D1170" t="n">
        <v>8</v>
      </c>
      <c r="E1170" t="s">
        <v>1176</v>
      </c>
      <c r="F1170" t="s"/>
      <c r="G1170" t="s"/>
      <c r="H1170" t="s"/>
      <c r="I1170" t="s"/>
      <c r="J1170" t="n">
        <v>0.7506</v>
      </c>
      <c r="K1170" t="n">
        <v>0</v>
      </c>
      <c r="L1170" t="n">
        <v>0.738</v>
      </c>
      <c r="M1170" t="n">
        <v>0.262</v>
      </c>
    </row>
    <row r="1171" spans="1:13">
      <c r="A1171" s="1">
        <f>HYPERLINK("http://www.twitter.com/NathanBLawrence/status/841688110417215489", "841688110417215489")</f>
        <v/>
      </c>
      <c r="B1171" s="2" t="n">
        <v>42808.68815972222</v>
      </c>
      <c r="C1171" t="n">
        <v>0</v>
      </c>
      <c r="D1171" t="n">
        <v>704</v>
      </c>
      <c r="E1171" t="s">
        <v>1177</v>
      </c>
      <c r="F1171" t="s"/>
      <c r="G1171" t="s"/>
      <c r="H1171" t="s"/>
      <c r="I1171" t="s"/>
      <c r="J1171" t="n">
        <v>-0.6705</v>
      </c>
      <c r="K1171" t="n">
        <v>0.224</v>
      </c>
      <c r="L1171" t="n">
        <v>0.776</v>
      </c>
      <c r="M1171" t="n">
        <v>0</v>
      </c>
    </row>
    <row r="1172" spans="1:13">
      <c r="A1172" s="1">
        <f>HYPERLINK("http://www.twitter.com/NathanBLawrence/status/841623154208436224", "841623154208436224")</f>
        <v/>
      </c>
      <c r="B1172" s="2" t="n">
        <v>42808.50892361111</v>
      </c>
      <c r="C1172" t="n">
        <v>2</v>
      </c>
      <c r="D1172" t="n">
        <v>4</v>
      </c>
      <c r="E1172" t="s">
        <v>1178</v>
      </c>
      <c r="F1172" t="s"/>
      <c r="G1172" t="s"/>
      <c r="H1172" t="s"/>
      <c r="I1172" t="s"/>
      <c r="J1172" t="n">
        <v>-0.34</v>
      </c>
      <c r="K1172" t="n">
        <v>0.118</v>
      </c>
      <c r="L1172" t="n">
        <v>0.882</v>
      </c>
      <c r="M1172" t="n">
        <v>0</v>
      </c>
    </row>
    <row r="1173" spans="1:13">
      <c r="A1173" s="1">
        <f>HYPERLINK("http://www.twitter.com/NathanBLawrence/status/841622414735880192", "841622414735880192")</f>
        <v/>
      </c>
      <c r="B1173" s="2" t="n">
        <v>42808.506875</v>
      </c>
      <c r="C1173" t="n">
        <v>0</v>
      </c>
      <c r="D1173" t="n">
        <v>291</v>
      </c>
      <c r="E1173" t="s">
        <v>1179</v>
      </c>
      <c r="F1173" t="s"/>
      <c r="G1173" t="s"/>
      <c r="H1173" t="s"/>
      <c r="I1173" t="s"/>
      <c r="J1173" t="n">
        <v>0.263</v>
      </c>
      <c r="K1173" t="n">
        <v>0.081</v>
      </c>
      <c r="L1173" t="n">
        <v>0.737</v>
      </c>
      <c r="M1173" t="n">
        <v>0.182</v>
      </c>
    </row>
    <row r="1174" spans="1:13">
      <c r="A1174" s="1">
        <f>HYPERLINK("http://www.twitter.com/NathanBLawrence/status/841622317964886016", "841622317964886016")</f>
        <v/>
      </c>
      <c r="B1174" s="2" t="n">
        <v>42808.5066087963</v>
      </c>
      <c r="C1174" t="n">
        <v>0</v>
      </c>
      <c r="D1174" t="n">
        <v>445</v>
      </c>
      <c r="E1174" t="s">
        <v>1180</v>
      </c>
      <c r="F1174" t="s"/>
      <c r="G1174" t="s"/>
      <c r="H1174" t="s"/>
      <c r="I1174" t="s"/>
      <c r="J1174" t="n">
        <v>0.2263</v>
      </c>
      <c r="K1174" t="n">
        <v>0</v>
      </c>
      <c r="L1174" t="n">
        <v>0.924</v>
      </c>
      <c r="M1174" t="n">
        <v>0.076</v>
      </c>
    </row>
    <row r="1175" spans="1:13">
      <c r="A1175" s="1">
        <f>HYPERLINK("http://www.twitter.com/NathanBLawrence/status/841622260863639553", "841622260863639553")</f>
        <v/>
      </c>
      <c r="B1175" s="2" t="n">
        <v>42808.50645833334</v>
      </c>
      <c r="C1175" t="n">
        <v>0</v>
      </c>
      <c r="D1175" t="n">
        <v>7600</v>
      </c>
      <c r="E1175" t="s">
        <v>1181</v>
      </c>
      <c r="F1175" t="s"/>
      <c r="G1175" t="s"/>
      <c r="H1175" t="s"/>
      <c r="I1175" t="s"/>
      <c r="J1175" t="n">
        <v>0</v>
      </c>
      <c r="K1175" t="n">
        <v>0</v>
      </c>
      <c r="L1175" t="n">
        <v>1</v>
      </c>
      <c r="M1175" t="n">
        <v>0</v>
      </c>
    </row>
    <row r="1176" spans="1:13">
      <c r="A1176" s="1">
        <f>HYPERLINK("http://www.twitter.com/NathanBLawrence/status/841622154739355648", "841622154739355648")</f>
        <v/>
      </c>
      <c r="B1176" s="2" t="n">
        <v>42808.50615740741</v>
      </c>
      <c r="C1176" t="n">
        <v>0</v>
      </c>
      <c r="D1176" t="n">
        <v>148</v>
      </c>
      <c r="E1176" t="s">
        <v>1182</v>
      </c>
      <c r="F1176" t="s"/>
      <c r="G1176" t="s"/>
      <c r="H1176" t="s"/>
      <c r="I1176" t="s"/>
      <c r="J1176" t="n">
        <v>0.3274</v>
      </c>
      <c r="K1176" t="n">
        <v>0.08400000000000001</v>
      </c>
      <c r="L1176" t="n">
        <v>0.745</v>
      </c>
      <c r="M1176" t="n">
        <v>0.171</v>
      </c>
    </row>
    <row r="1177" spans="1:13">
      <c r="A1177" s="1">
        <f>HYPERLINK("http://www.twitter.com/NathanBLawrence/status/841622043024117760", "841622043024117760")</f>
        <v/>
      </c>
      <c r="B1177" s="2" t="n">
        <v>42808.50585648148</v>
      </c>
      <c r="C1177" t="n">
        <v>0</v>
      </c>
      <c r="D1177" t="n">
        <v>909</v>
      </c>
      <c r="E1177" t="s">
        <v>1183</v>
      </c>
      <c r="F1177" t="s"/>
      <c r="G1177" t="s"/>
      <c r="H1177" t="s"/>
      <c r="I1177" t="s"/>
      <c r="J1177" t="n">
        <v>0.25</v>
      </c>
      <c r="K1177" t="n">
        <v>0.095</v>
      </c>
      <c r="L1177" t="n">
        <v>0.775</v>
      </c>
      <c r="M1177" t="n">
        <v>0.13</v>
      </c>
    </row>
    <row r="1178" spans="1:13">
      <c r="A1178" s="1">
        <f>HYPERLINK("http://www.twitter.com/NathanBLawrence/status/841420831376961536", "841420831376961536")</f>
        <v/>
      </c>
      <c r="B1178" s="2" t="n">
        <v>42807.95061342593</v>
      </c>
      <c r="C1178" t="n">
        <v>0</v>
      </c>
      <c r="D1178" t="n">
        <v>2472</v>
      </c>
      <c r="E1178" t="s">
        <v>1184</v>
      </c>
      <c r="F1178" t="s"/>
      <c r="G1178" t="s"/>
      <c r="H1178" t="s"/>
      <c r="I1178" t="s"/>
      <c r="J1178" t="n">
        <v>0.3818</v>
      </c>
      <c r="K1178" t="n">
        <v>0</v>
      </c>
      <c r="L1178" t="n">
        <v>0.89</v>
      </c>
      <c r="M1178" t="n">
        <v>0.11</v>
      </c>
    </row>
    <row r="1179" spans="1:13">
      <c r="A1179" s="1">
        <f>HYPERLINK("http://www.twitter.com/NathanBLawrence/status/841419100882640900", "841419100882640900")</f>
        <v/>
      </c>
      <c r="B1179" s="2" t="n">
        <v>42807.94584490741</v>
      </c>
      <c r="C1179" t="n">
        <v>0</v>
      </c>
      <c r="D1179" t="n">
        <v>784</v>
      </c>
      <c r="E1179" t="s">
        <v>1185</v>
      </c>
      <c r="F1179">
        <f>HYPERLINK("http://pbs.twimg.com/media/C6z3dDYVsAAxWG_.jpg", "http://pbs.twimg.com/media/C6z3dDYVsAAxWG_.jpg")</f>
        <v/>
      </c>
      <c r="G1179" t="s"/>
      <c r="H1179" t="s"/>
      <c r="I1179" t="s"/>
      <c r="J1179" t="n">
        <v>0.3612</v>
      </c>
      <c r="K1179" t="n">
        <v>0</v>
      </c>
      <c r="L1179" t="n">
        <v>0.8149999999999999</v>
      </c>
      <c r="M1179" t="n">
        <v>0.185</v>
      </c>
    </row>
    <row r="1180" spans="1:13">
      <c r="A1180" s="1">
        <f>HYPERLINK("http://www.twitter.com/NathanBLawrence/status/841397847819988993", "841397847819988993")</f>
        <v/>
      </c>
      <c r="B1180" s="2" t="n">
        <v>42807.8871875</v>
      </c>
      <c r="C1180" t="n">
        <v>2</v>
      </c>
      <c r="D1180" t="n">
        <v>0</v>
      </c>
      <c r="E1180" t="s">
        <v>1186</v>
      </c>
      <c r="F1180" t="s"/>
      <c r="G1180" t="s"/>
      <c r="H1180" t="s"/>
      <c r="I1180" t="s"/>
      <c r="J1180" t="n">
        <v>0.474</v>
      </c>
      <c r="K1180" t="n">
        <v>0</v>
      </c>
      <c r="L1180" t="n">
        <v>0.838</v>
      </c>
      <c r="M1180" t="n">
        <v>0.162</v>
      </c>
    </row>
    <row r="1181" spans="1:13">
      <c r="A1181" s="1">
        <f>HYPERLINK("http://www.twitter.com/NathanBLawrence/status/841350002354057216", "841350002354057216")</f>
        <v/>
      </c>
      <c r="B1181" s="2" t="n">
        <v>42807.75516203704</v>
      </c>
      <c r="C1181" t="n">
        <v>0</v>
      </c>
      <c r="D1181" t="n">
        <v>964</v>
      </c>
      <c r="E1181" t="s">
        <v>1187</v>
      </c>
      <c r="F1181" t="s"/>
      <c r="G1181" t="s"/>
      <c r="H1181" t="s"/>
      <c r="I1181" t="s"/>
      <c r="J1181" t="n">
        <v>-0.3595</v>
      </c>
      <c r="K1181" t="n">
        <v>0.102</v>
      </c>
      <c r="L1181" t="n">
        <v>0.898</v>
      </c>
      <c r="M1181" t="n">
        <v>0</v>
      </c>
    </row>
    <row r="1182" spans="1:13">
      <c r="A1182" s="1">
        <f>HYPERLINK("http://www.twitter.com/NathanBLawrence/status/841258080226693120", "841258080226693120")</f>
        <v/>
      </c>
      <c r="B1182" s="2" t="n">
        <v>42807.50150462963</v>
      </c>
      <c r="C1182" t="n">
        <v>0</v>
      </c>
      <c r="D1182" t="n">
        <v>1393</v>
      </c>
      <c r="E1182" t="s">
        <v>1188</v>
      </c>
      <c r="F1182" t="s"/>
      <c r="G1182" t="s"/>
      <c r="H1182" t="s"/>
      <c r="I1182" t="s"/>
      <c r="J1182" t="n">
        <v>0</v>
      </c>
      <c r="K1182" t="n">
        <v>0</v>
      </c>
      <c r="L1182" t="n">
        <v>1</v>
      </c>
      <c r="M1182" t="n">
        <v>0</v>
      </c>
    </row>
    <row r="1183" spans="1:13">
      <c r="A1183" s="1">
        <f>HYPERLINK("http://www.twitter.com/NathanBLawrence/status/841194225773510656", "841194225773510656")</f>
        <v/>
      </c>
      <c r="B1183" s="2" t="n">
        <v>42807.32530092593</v>
      </c>
      <c r="C1183" t="n">
        <v>0</v>
      </c>
      <c r="D1183" t="n">
        <v>354</v>
      </c>
      <c r="E1183" t="s">
        <v>1189</v>
      </c>
      <c r="F1183" t="s"/>
      <c r="G1183" t="s"/>
      <c r="H1183" t="s"/>
      <c r="I1183" t="s"/>
      <c r="J1183" t="n">
        <v>-0.4588</v>
      </c>
      <c r="K1183" t="n">
        <v>0.143</v>
      </c>
      <c r="L1183" t="n">
        <v>0.857</v>
      </c>
      <c r="M1183" t="n">
        <v>0</v>
      </c>
    </row>
    <row r="1184" spans="1:13">
      <c r="A1184" s="1">
        <f>HYPERLINK("http://www.twitter.com/NathanBLawrence/status/841106229581742080", "841106229581742080")</f>
        <v/>
      </c>
      <c r="B1184" s="2" t="n">
        <v>42807.08247685185</v>
      </c>
      <c r="C1184" t="n">
        <v>0</v>
      </c>
      <c r="D1184" t="n">
        <v>0</v>
      </c>
      <c r="E1184" t="s">
        <v>1190</v>
      </c>
      <c r="F1184" t="s"/>
      <c r="G1184" t="s"/>
      <c r="H1184" t="s"/>
      <c r="I1184" t="s"/>
      <c r="J1184" t="n">
        <v>-0.2732</v>
      </c>
      <c r="K1184" t="n">
        <v>0.149</v>
      </c>
      <c r="L1184" t="n">
        <v>0.851</v>
      </c>
      <c r="M1184" t="n">
        <v>0</v>
      </c>
    </row>
    <row r="1185" spans="1:13">
      <c r="A1185" s="1">
        <f>HYPERLINK("http://www.twitter.com/NathanBLawrence/status/841085490635907074", "841085490635907074")</f>
        <v/>
      </c>
      <c r="B1185" s="2" t="n">
        <v>42807.02525462963</v>
      </c>
      <c r="C1185" t="n">
        <v>0</v>
      </c>
      <c r="D1185" t="n">
        <v>34</v>
      </c>
      <c r="E1185" t="s">
        <v>1191</v>
      </c>
      <c r="F1185">
        <f>HYPERLINK("http://pbs.twimg.com/media/C6rHa6JVoAA_5Vx.jpg", "http://pbs.twimg.com/media/C6rHa6JVoAA_5Vx.jpg")</f>
        <v/>
      </c>
      <c r="G1185" t="s"/>
      <c r="H1185" t="s"/>
      <c r="I1185" t="s"/>
      <c r="J1185" t="n">
        <v>-0.4767</v>
      </c>
      <c r="K1185" t="n">
        <v>0.205</v>
      </c>
      <c r="L1185" t="n">
        <v>0.795</v>
      </c>
      <c r="M1185" t="n">
        <v>0</v>
      </c>
    </row>
    <row r="1186" spans="1:13">
      <c r="A1186" s="1">
        <f>HYPERLINK("http://www.twitter.com/NathanBLawrence/status/841084463627010048", "841084463627010048")</f>
        <v/>
      </c>
      <c r="B1186" s="2" t="n">
        <v>42807.02241898148</v>
      </c>
      <c r="C1186" t="n">
        <v>1</v>
      </c>
      <c r="D1186" t="n">
        <v>2</v>
      </c>
      <c r="E1186" t="s">
        <v>1192</v>
      </c>
      <c r="F1186" t="s"/>
      <c r="G1186" t="s"/>
      <c r="H1186" t="s"/>
      <c r="I1186" t="s"/>
      <c r="J1186" t="n">
        <v>0.3612</v>
      </c>
      <c r="K1186" t="n">
        <v>0</v>
      </c>
      <c r="L1186" t="n">
        <v>0.857</v>
      </c>
      <c r="M1186" t="n">
        <v>0.143</v>
      </c>
    </row>
    <row r="1187" spans="1:13">
      <c r="A1187" s="1">
        <f>HYPERLINK("http://www.twitter.com/NathanBLawrence/status/841070167211855873", "841070167211855873")</f>
        <v/>
      </c>
      <c r="B1187" s="2" t="n">
        <v>42806.98296296296</v>
      </c>
      <c r="C1187" t="n">
        <v>0</v>
      </c>
      <c r="D1187" t="n">
        <v>0</v>
      </c>
      <c r="E1187" t="s">
        <v>1193</v>
      </c>
      <c r="F1187" t="s"/>
      <c r="G1187" t="s"/>
      <c r="H1187" t="s"/>
      <c r="I1187" t="s"/>
      <c r="J1187" t="n">
        <v>0</v>
      </c>
      <c r="K1187" t="n">
        <v>0</v>
      </c>
      <c r="L1187" t="n">
        <v>1</v>
      </c>
      <c r="M1187" t="n">
        <v>0</v>
      </c>
    </row>
    <row r="1188" spans="1:13">
      <c r="A1188" s="1">
        <f>HYPERLINK("http://www.twitter.com/NathanBLawrence/status/841068136136859653", "841068136136859653")</f>
        <v/>
      </c>
      <c r="B1188" s="2" t="n">
        <v>42806.97736111111</v>
      </c>
      <c r="C1188" t="n">
        <v>0</v>
      </c>
      <c r="D1188" t="n">
        <v>0</v>
      </c>
      <c r="E1188" t="s">
        <v>1194</v>
      </c>
      <c r="F1188" t="s"/>
      <c r="G1188" t="s"/>
      <c r="H1188" t="s"/>
      <c r="I1188" t="s"/>
      <c r="J1188" t="n">
        <v>-0.7725</v>
      </c>
      <c r="K1188" t="n">
        <v>0.351</v>
      </c>
      <c r="L1188" t="n">
        <v>0.572</v>
      </c>
      <c r="M1188" t="n">
        <v>0.077</v>
      </c>
    </row>
    <row r="1189" spans="1:13">
      <c r="A1189" s="1">
        <f>HYPERLINK("http://www.twitter.com/NathanBLawrence/status/841067413655318528", "841067413655318528")</f>
        <v/>
      </c>
      <c r="B1189" s="2" t="n">
        <v>42806.97537037037</v>
      </c>
      <c r="C1189" t="n">
        <v>0</v>
      </c>
      <c r="D1189" t="n">
        <v>33</v>
      </c>
      <c r="E1189" t="s">
        <v>1195</v>
      </c>
      <c r="F1189" t="s"/>
      <c r="G1189" t="s"/>
      <c r="H1189" t="s"/>
      <c r="I1189" t="s"/>
      <c r="J1189" t="n">
        <v>-0.5719</v>
      </c>
      <c r="K1189" t="n">
        <v>0.24</v>
      </c>
      <c r="L1189" t="n">
        <v>0.655</v>
      </c>
      <c r="M1189" t="n">
        <v>0.105</v>
      </c>
    </row>
    <row r="1190" spans="1:13">
      <c r="A1190" s="1">
        <f>HYPERLINK("http://www.twitter.com/NathanBLawrence/status/841065634398121986", "841065634398121986")</f>
        <v/>
      </c>
      <c r="B1190" s="2" t="n">
        <v>42806.97046296296</v>
      </c>
      <c r="C1190" t="n">
        <v>0</v>
      </c>
      <c r="D1190" t="n">
        <v>0</v>
      </c>
      <c r="E1190" t="s">
        <v>1196</v>
      </c>
      <c r="F1190" t="s"/>
      <c r="G1190" t="s"/>
      <c r="H1190" t="s"/>
      <c r="I1190" t="s"/>
      <c r="J1190" t="n">
        <v>0.2481</v>
      </c>
      <c r="K1190" t="n">
        <v>0.083</v>
      </c>
      <c r="L1190" t="n">
        <v>0.796</v>
      </c>
      <c r="M1190" t="n">
        <v>0.121</v>
      </c>
    </row>
    <row r="1191" spans="1:13">
      <c r="A1191" s="1">
        <f>HYPERLINK("http://www.twitter.com/NathanBLawrence/status/840993221480218624", "840993221480218624")</f>
        <v/>
      </c>
      <c r="B1191" s="2" t="n">
        <v>42806.77063657407</v>
      </c>
      <c r="C1191" t="n">
        <v>0</v>
      </c>
      <c r="D1191" t="n">
        <v>1271</v>
      </c>
      <c r="E1191" t="s">
        <v>1197</v>
      </c>
      <c r="F1191" t="s"/>
      <c r="G1191" t="s"/>
      <c r="H1191" t="s"/>
      <c r="I1191" t="s"/>
      <c r="J1191" t="n">
        <v>-0.7269</v>
      </c>
      <c r="K1191" t="n">
        <v>0.262</v>
      </c>
      <c r="L1191" t="n">
        <v>0.738</v>
      </c>
      <c r="M1191" t="n">
        <v>0</v>
      </c>
    </row>
    <row r="1192" spans="1:13">
      <c r="A1192" s="1">
        <f>HYPERLINK("http://www.twitter.com/NathanBLawrence/status/840990681682272256", "840990681682272256")</f>
        <v/>
      </c>
      <c r="B1192" s="2" t="n">
        <v>42806.76363425926</v>
      </c>
      <c r="C1192" t="n">
        <v>0</v>
      </c>
      <c r="D1192" t="n">
        <v>14</v>
      </c>
      <c r="E1192" t="s">
        <v>1198</v>
      </c>
      <c r="F1192" t="s"/>
      <c r="G1192" t="s"/>
      <c r="H1192" t="s"/>
      <c r="I1192" t="s"/>
      <c r="J1192" t="n">
        <v>-0.8824</v>
      </c>
      <c r="K1192" t="n">
        <v>0.406</v>
      </c>
      <c r="L1192" t="n">
        <v>0.594</v>
      </c>
      <c r="M1192" t="n">
        <v>0</v>
      </c>
    </row>
    <row r="1193" spans="1:13">
      <c r="A1193" s="1">
        <f>HYPERLINK("http://www.twitter.com/NathanBLawrence/status/840907678612361216", "840907678612361216")</f>
        <v/>
      </c>
      <c r="B1193" s="2" t="n">
        <v>42806.53458333333</v>
      </c>
      <c r="C1193" t="n">
        <v>2</v>
      </c>
      <c r="D1193" t="n">
        <v>0</v>
      </c>
      <c r="E1193" t="s">
        <v>1199</v>
      </c>
      <c r="F1193" t="s"/>
      <c r="G1193" t="s"/>
      <c r="H1193" t="s"/>
      <c r="I1193" t="s"/>
      <c r="J1193" t="n">
        <v>0.4574</v>
      </c>
      <c r="K1193" t="n">
        <v>0</v>
      </c>
      <c r="L1193" t="n">
        <v>0.751</v>
      </c>
      <c r="M1193" t="n">
        <v>0.249</v>
      </c>
    </row>
    <row r="1194" spans="1:13">
      <c r="A1194" s="1">
        <f>HYPERLINK("http://www.twitter.com/NathanBLawrence/status/840907460500213760", "840907460500213760")</f>
        <v/>
      </c>
      <c r="B1194" s="2" t="n">
        <v>42806.53398148148</v>
      </c>
      <c r="C1194" t="n">
        <v>1</v>
      </c>
      <c r="D1194" t="n">
        <v>0</v>
      </c>
      <c r="E1194" t="s">
        <v>1200</v>
      </c>
      <c r="F1194" t="s"/>
      <c r="G1194" t="s"/>
      <c r="H1194" t="s"/>
      <c r="I1194" t="s"/>
      <c r="J1194" t="n">
        <v>0</v>
      </c>
      <c r="K1194" t="n">
        <v>0</v>
      </c>
      <c r="L1194" t="n">
        <v>1</v>
      </c>
      <c r="M1194" t="n">
        <v>0</v>
      </c>
    </row>
    <row r="1195" spans="1:13">
      <c r="A1195" s="1">
        <f>HYPERLINK("http://www.twitter.com/NathanBLawrence/status/840905804932927488", "840905804932927488")</f>
        <v/>
      </c>
      <c r="B1195" s="2" t="n">
        <v>42806.52940972222</v>
      </c>
      <c r="C1195" t="n">
        <v>2</v>
      </c>
      <c r="D1195" t="n">
        <v>0</v>
      </c>
      <c r="E1195" t="s">
        <v>1201</v>
      </c>
      <c r="F1195" t="s"/>
      <c r="G1195" t="s"/>
      <c r="H1195" t="s"/>
      <c r="I1195" t="s"/>
      <c r="J1195" t="n">
        <v>0.5106000000000001</v>
      </c>
      <c r="K1195" t="n">
        <v>0.112</v>
      </c>
      <c r="L1195" t="n">
        <v>0.609</v>
      </c>
      <c r="M1195" t="n">
        <v>0.279</v>
      </c>
    </row>
    <row r="1196" spans="1:13">
      <c r="A1196" s="1">
        <f>HYPERLINK("http://www.twitter.com/NathanBLawrence/status/840903812227444736", "840903812227444736")</f>
        <v/>
      </c>
      <c r="B1196" s="2" t="n">
        <v>42806.52391203704</v>
      </c>
      <c r="C1196" t="n">
        <v>2</v>
      </c>
      <c r="D1196" t="n">
        <v>0</v>
      </c>
      <c r="E1196" t="s">
        <v>1202</v>
      </c>
      <c r="F1196" t="s"/>
      <c r="G1196" t="s"/>
      <c r="H1196" t="s"/>
      <c r="I1196" t="s"/>
      <c r="J1196" t="n">
        <v>0.296</v>
      </c>
      <c r="K1196" t="n">
        <v>0.129</v>
      </c>
      <c r="L1196" t="n">
        <v>0.647</v>
      </c>
      <c r="M1196" t="n">
        <v>0.224</v>
      </c>
    </row>
    <row r="1197" spans="1:13">
      <c r="A1197" s="1">
        <f>HYPERLINK("http://www.twitter.com/NathanBLawrence/status/840741927230296064", "840741927230296064")</f>
        <v/>
      </c>
      <c r="B1197" s="2" t="n">
        <v>42806.07719907408</v>
      </c>
      <c r="C1197" t="n">
        <v>0</v>
      </c>
      <c r="D1197" t="n">
        <v>2741</v>
      </c>
      <c r="E1197" t="s">
        <v>1203</v>
      </c>
      <c r="F1197">
        <f>HYPERLINK("http://pbs.twimg.com/media/C6qGTNQWcAA93FT.jpg", "http://pbs.twimg.com/media/C6qGTNQWcAA93FT.jpg")</f>
        <v/>
      </c>
      <c r="G1197" t="s"/>
      <c r="H1197" t="s"/>
      <c r="I1197" t="s"/>
      <c r="J1197" t="n">
        <v>0</v>
      </c>
      <c r="K1197" t="n">
        <v>0</v>
      </c>
      <c r="L1197" t="n">
        <v>1</v>
      </c>
      <c r="M1197" t="n">
        <v>0</v>
      </c>
    </row>
    <row r="1198" spans="1:13">
      <c r="A1198" s="1">
        <f>HYPERLINK("http://www.twitter.com/NathanBLawrence/status/840733946296033280", "840733946296033280")</f>
        <v/>
      </c>
      <c r="B1198" s="2" t="n">
        <v>42806.05517361111</v>
      </c>
      <c r="C1198" t="n">
        <v>0</v>
      </c>
      <c r="D1198" t="n">
        <v>5397</v>
      </c>
      <c r="E1198" t="s">
        <v>1204</v>
      </c>
      <c r="F1198">
        <f>HYPERLINK("http://pbs.twimg.com/media/C6qOItIXUAEBVK1.jpg", "http://pbs.twimg.com/media/C6qOItIXUAEBVK1.jpg")</f>
        <v/>
      </c>
      <c r="G1198" t="s"/>
      <c r="H1198" t="s"/>
      <c r="I1198" t="s"/>
      <c r="J1198" t="n">
        <v>0</v>
      </c>
      <c r="K1198" t="n">
        <v>0</v>
      </c>
      <c r="L1198" t="n">
        <v>1</v>
      </c>
      <c r="M1198" t="n">
        <v>0</v>
      </c>
    </row>
    <row r="1199" spans="1:13">
      <c r="A1199" s="1">
        <f>HYPERLINK("http://www.twitter.com/NathanBLawrence/status/840691364107034625", "840691364107034625")</f>
        <v/>
      </c>
      <c r="B1199" s="2" t="n">
        <v>42805.93767361111</v>
      </c>
      <c r="C1199" t="n">
        <v>0</v>
      </c>
      <c r="D1199" t="n">
        <v>0</v>
      </c>
      <c r="E1199" t="s">
        <v>1205</v>
      </c>
      <c r="F1199" t="s"/>
      <c r="G1199" t="s"/>
      <c r="H1199" t="s"/>
      <c r="I1199" t="s"/>
      <c r="J1199" t="n">
        <v>0.4019</v>
      </c>
      <c r="K1199" t="n">
        <v>0</v>
      </c>
      <c r="L1199" t="n">
        <v>0.838</v>
      </c>
      <c r="M1199" t="n">
        <v>0.162</v>
      </c>
    </row>
    <row r="1200" spans="1:13">
      <c r="A1200" s="1">
        <f>HYPERLINK("http://www.twitter.com/NathanBLawrence/status/840686568708947968", "840686568708947968")</f>
        <v/>
      </c>
      <c r="B1200" s="2" t="n">
        <v>42805.92443287037</v>
      </c>
      <c r="C1200" t="n">
        <v>0</v>
      </c>
      <c r="D1200" t="n">
        <v>0</v>
      </c>
      <c r="E1200" t="s">
        <v>1206</v>
      </c>
      <c r="F1200" t="s"/>
      <c r="G1200" t="s"/>
      <c r="H1200" t="s"/>
      <c r="I1200" t="s"/>
      <c r="J1200" t="n">
        <v>0.6696</v>
      </c>
      <c r="K1200" t="n">
        <v>0</v>
      </c>
      <c r="L1200" t="n">
        <v>0.471</v>
      </c>
      <c r="M1200" t="n">
        <v>0.529</v>
      </c>
    </row>
    <row r="1201" spans="1:13">
      <c r="A1201" s="1">
        <f>HYPERLINK("http://www.twitter.com/NathanBLawrence/status/840659872534392833", "840659872534392833")</f>
        <v/>
      </c>
      <c r="B1201" s="2" t="n">
        <v>42805.85076388889</v>
      </c>
      <c r="C1201" t="n">
        <v>0</v>
      </c>
      <c r="D1201" t="n">
        <v>54</v>
      </c>
      <c r="E1201" t="s">
        <v>1207</v>
      </c>
      <c r="F1201">
        <f>HYPERLINK("http://pbs.twimg.com/media/C6ZwQgjWYAI4__g.jpg", "http://pbs.twimg.com/media/C6ZwQgjWYAI4__g.jpg")</f>
        <v/>
      </c>
      <c r="G1201" t="s"/>
      <c r="H1201" t="s"/>
      <c r="I1201" t="s"/>
      <c r="J1201" t="n">
        <v>0</v>
      </c>
      <c r="K1201" t="n">
        <v>0</v>
      </c>
      <c r="L1201" t="n">
        <v>1</v>
      </c>
      <c r="M1201" t="n">
        <v>0</v>
      </c>
    </row>
    <row r="1202" spans="1:13">
      <c r="A1202" s="1">
        <f>HYPERLINK("http://www.twitter.com/NathanBLawrence/status/840653781213822976", "840653781213822976")</f>
        <v/>
      </c>
      <c r="B1202" s="2" t="n">
        <v>42805.83395833334</v>
      </c>
      <c r="C1202" t="n">
        <v>0</v>
      </c>
      <c r="D1202" t="n">
        <v>9</v>
      </c>
      <c r="E1202" t="s">
        <v>1208</v>
      </c>
      <c r="F1202" t="s"/>
      <c r="G1202" t="s"/>
      <c r="H1202" t="s"/>
      <c r="I1202" t="s"/>
      <c r="J1202" t="n">
        <v>-0.4019</v>
      </c>
      <c r="K1202" t="n">
        <v>0.162</v>
      </c>
      <c r="L1202" t="n">
        <v>0.838</v>
      </c>
      <c r="M1202" t="n">
        <v>0</v>
      </c>
    </row>
    <row r="1203" spans="1:13">
      <c r="A1203" s="1">
        <f>HYPERLINK("http://www.twitter.com/NathanBLawrence/status/840650836053250048", "840650836053250048")</f>
        <v/>
      </c>
      <c r="B1203" s="2" t="n">
        <v>42805.82583333334</v>
      </c>
      <c r="C1203" t="n">
        <v>2</v>
      </c>
      <c r="D1203" t="n">
        <v>0</v>
      </c>
      <c r="E1203" t="s">
        <v>1209</v>
      </c>
      <c r="F1203" t="s"/>
      <c r="G1203" t="s"/>
      <c r="H1203" t="s"/>
      <c r="I1203" t="s"/>
      <c r="J1203" t="n">
        <v>0.4574</v>
      </c>
      <c r="K1203" t="n">
        <v>0</v>
      </c>
      <c r="L1203" t="n">
        <v>0.251</v>
      </c>
      <c r="M1203" t="n">
        <v>0.749</v>
      </c>
    </row>
    <row r="1204" spans="1:13">
      <c r="A1204" s="1">
        <f>HYPERLINK("http://www.twitter.com/NathanBLawrence/status/840623653528195072", "840623653528195072")</f>
        <v/>
      </c>
      <c r="B1204" s="2" t="n">
        <v>42805.75082175926</v>
      </c>
      <c r="C1204" t="n">
        <v>0</v>
      </c>
      <c r="D1204" t="n">
        <v>468</v>
      </c>
      <c r="E1204" t="s">
        <v>1210</v>
      </c>
      <c r="F1204" t="s"/>
      <c r="G1204" t="s"/>
      <c r="H1204" t="s"/>
      <c r="I1204" t="s"/>
      <c r="J1204" t="n">
        <v>0</v>
      </c>
      <c r="K1204" t="n">
        <v>0</v>
      </c>
      <c r="L1204" t="n">
        <v>1</v>
      </c>
      <c r="M1204" t="n">
        <v>0</v>
      </c>
    </row>
    <row r="1205" spans="1:13">
      <c r="A1205" s="1">
        <f>HYPERLINK("http://www.twitter.com/NathanBLawrence/status/840622831331336193", "840622831331336193")</f>
        <v/>
      </c>
      <c r="B1205" s="2" t="n">
        <v>42805.74855324074</v>
      </c>
      <c r="C1205" t="n">
        <v>1</v>
      </c>
      <c r="D1205" t="n">
        <v>0</v>
      </c>
      <c r="E1205" t="s">
        <v>1211</v>
      </c>
      <c r="F1205" t="s"/>
      <c r="G1205" t="s"/>
      <c r="H1205" t="s"/>
      <c r="I1205" t="s"/>
      <c r="J1205" t="n">
        <v>0.4404</v>
      </c>
      <c r="K1205" t="n">
        <v>0</v>
      </c>
      <c r="L1205" t="n">
        <v>0.734</v>
      </c>
      <c r="M1205" t="n">
        <v>0.266</v>
      </c>
    </row>
    <row r="1206" spans="1:13">
      <c r="A1206" s="1">
        <f>HYPERLINK("http://www.twitter.com/NathanBLawrence/status/840620750637813760", "840620750637813760")</f>
        <v/>
      </c>
      <c r="B1206" s="2" t="n">
        <v>42805.7428125</v>
      </c>
      <c r="C1206" t="n">
        <v>1</v>
      </c>
      <c r="D1206" t="n">
        <v>1</v>
      </c>
      <c r="E1206" t="s">
        <v>1212</v>
      </c>
      <c r="F1206" t="s"/>
      <c r="G1206" t="s"/>
      <c r="H1206" t="s"/>
      <c r="I1206" t="s"/>
      <c r="J1206" t="n">
        <v>0</v>
      </c>
      <c r="K1206" t="n">
        <v>0</v>
      </c>
      <c r="L1206" t="n">
        <v>1</v>
      </c>
      <c r="M1206" t="n">
        <v>0</v>
      </c>
    </row>
    <row r="1207" spans="1:13">
      <c r="A1207" s="1">
        <f>HYPERLINK("http://www.twitter.com/NathanBLawrence/status/840618500272095232", "840618500272095232")</f>
        <v/>
      </c>
      <c r="B1207" s="2" t="n">
        <v>42805.73660879629</v>
      </c>
      <c r="C1207" t="n">
        <v>0</v>
      </c>
      <c r="D1207" t="n">
        <v>1284</v>
      </c>
      <c r="E1207" t="s">
        <v>1213</v>
      </c>
      <c r="F1207">
        <f>HYPERLINK("http://pbs.twimg.com/media/C6pT7-cWoAEDxbM.jpg", "http://pbs.twimg.com/media/C6pT7-cWoAEDxbM.jpg")</f>
        <v/>
      </c>
      <c r="G1207" t="s"/>
      <c r="H1207" t="s"/>
      <c r="I1207" t="s"/>
      <c r="J1207" t="n">
        <v>-0.6486</v>
      </c>
      <c r="K1207" t="n">
        <v>0.264</v>
      </c>
      <c r="L1207" t="n">
        <v>0.632</v>
      </c>
      <c r="M1207" t="n">
        <v>0.104</v>
      </c>
    </row>
    <row r="1208" spans="1:13">
      <c r="A1208" s="1">
        <f>HYPERLINK("http://www.twitter.com/NathanBLawrence/status/840602920764739584", "840602920764739584")</f>
        <v/>
      </c>
      <c r="B1208" s="2" t="n">
        <v>42805.69361111111</v>
      </c>
      <c r="C1208" t="n">
        <v>0</v>
      </c>
      <c r="D1208" t="n">
        <v>156</v>
      </c>
      <c r="E1208" t="s">
        <v>1214</v>
      </c>
      <c r="F1208" t="s"/>
      <c r="G1208" t="s"/>
      <c r="H1208" t="s"/>
      <c r="I1208" t="s"/>
      <c r="J1208" t="n">
        <v>-0.4767</v>
      </c>
      <c r="K1208" t="n">
        <v>0.193</v>
      </c>
      <c r="L1208" t="n">
        <v>0.8070000000000001</v>
      </c>
      <c r="M1208" t="n">
        <v>0</v>
      </c>
    </row>
    <row r="1209" spans="1:13">
      <c r="A1209" s="1">
        <f>HYPERLINK("http://www.twitter.com/NathanBLawrence/status/840600678993125381", "840600678993125381")</f>
        <v/>
      </c>
      <c r="B1209" s="2" t="n">
        <v>42805.68743055555</v>
      </c>
      <c r="C1209" t="n">
        <v>0</v>
      </c>
      <c r="D1209" t="n">
        <v>0</v>
      </c>
      <c r="E1209" t="s">
        <v>1215</v>
      </c>
      <c r="F1209" t="s"/>
      <c r="G1209" t="s"/>
      <c r="H1209" t="s"/>
      <c r="I1209" t="s"/>
      <c r="J1209" t="n">
        <v>0.0979</v>
      </c>
      <c r="K1209" t="n">
        <v>0.15</v>
      </c>
      <c r="L1209" t="n">
        <v>0.723</v>
      </c>
      <c r="M1209" t="n">
        <v>0.127</v>
      </c>
    </row>
    <row r="1210" spans="1:13">
      <c r="A1210" s="1">
        <f>HYPERLINK("http://www.twitter.com/NathanBLawrence/status/840589441659985920", "840589441659985920")</f>
        <v/>
      </c>
      <c r="B1210" s="2" t="n">
        <v>42805.65641203704</v>
      </c>
      <c r="C1210" t="n">
        <v>0</v>
      </c>
      <c r="D1210" t="n">
        <v>573</v>
      </c>
      <c r="E1210" t="s">
        <v>1216</v>
      </c>
      <c r="F1210">
        <f>HYPERLINK("http://pbs.twimg.com/media/C6mgKk5UwAAa7Kh.jpg", "http://pbs.twimg.com/media/C6mgKk5UwAAa7Kh.jpg")</f>
        <v/>
      </c>
      <c r="G1210" t="s"/>
      <c r="H1210" t="s"/>
      <c r="I1210" t="s"/>
      <c r="J1210" t="n">
        <v>0.1695</v>
      </c>
      <c r="K1210" t="n">
        <v>0</v>
      </c>
      <c r="L1210" t="n">
        <v>0.886</v>
      </c>
      <c r="M1210" t="n">
        <v>0.114</v>
      </c>
    </row>
    <row r="1211" spans="1:13">
      <c r="A1211" s="1">
        <f>HYPERLINK("http://www.twitter.com/NathanBLawrence/status/840588895557439489", "840588895557439489")</f>
        <v/>
      </c>
      <c r="B1211" s="2" t="n">
        <v>42805.65490740741</v>
      </c>
      <c r="C1211" t="n">
        <v>0</v>
      </c>
      <c r="D1211" t="n">
        <v>1803</v>
      </c>
      <c r="E1211" t="s">
        <v>1217</v>
      </c>
      <c r="F1211">
        <f>HYPERLINK("http://pbs.twimg.com/media/C6pb13ZWoAI4tUm.jpg", "http://pbs.twimg.com/media/C6pb13ZWoAI4tUm.jpg")</f>
        <v/>
      </c>
      <c r="G1211" t="s"/>
      <c r="H1211" t="s"/>
      <c r="I1211" t="s"/>
      <c r="J1211" t="n">
        <v>0.0445</v>
      </c>
      <c r="K1211" t="n">
        <v>0.159</v>
      </c>
      <c r="L1211" t="n">
        <v>0.709</v>
      </c>
      <c r="M1211" t="n">
        <v>0.132</v>
      </c>
    </row>
    <row r="1212" spans="1:13">
      <c r="A1212" s="1">
        <f>HYPERLINK("http://www.twitter.com/NathanBLawrence/status/840587918896951296", "840587918896951296")</f>
        <v/>
      </c>
      <c r="B1212" s="2" t="n">
        <v>42805.65221064815</v>
      </c>
      <c r="C1212" t="n">
        <v>1</v>
      </c>
      <c r="D1212" t="n">
        <v>0</v>
      </c>
      <c r="E1212" t="s">
        <v>1218</v>
      </c>
      <c r="F1212" t="s"/>
      <c r="G1212" t="s"/>
      <c r="H1212" t="s"/>
      <c r="I1212" t="s"/>
      <c r="J1212" t="n">
        <v>-0.4767</v>
      </c>
      <c r="K1212" t="n">
        <v>0.193</v>
      </c>
      <c r="L1212" t="n">
        <v>0.8070000000000001</v>
      </c>
      <c r="M1212" t="n">
        <v>0</v>
      </c>
    </row>
    <row r="1213" spans="1:13">
      <c r="A1213" s="1">
        <f>HYPERLINK("http://www.twitter.com/NathanBLawrence/status/840580066245517312", "840580066245517312")</f>
        <v/>
      </c>
      <c r="B1213" s="2" t="n">
        <v>42805.63054398148</v>
      </c>
      <c r="C1213" t="n">
        <v>0</v>
      </c>
      <c r="D1213" t="n">
        <v>1</v>
      </c>
      <c r="E1213" t="s">
        <v>1219</v>
      </c>
      <c r="F1213" t="s"/>
      <c r="G1213" t="s"/>
      <c r="H1213" t="s"/>
      <c r="I1213" t="s"/>
      <c r="J1213" t="n">
        <v>0</v>
      </c>
      <c r="K1213" t="n">
        <v>0</v>
      </c>
      <c r="L1213" t="n">
        <v>1</v>
      </c>
      <c r="M1213" t="n">
        <v>0</v>
      </c>
    </row>
    <row r="1214" spans="1:13">
      <c r="A1214" s="1">
        <f>HYPERLINK("http://www.twitter.com/NathanBLawrence/status/840579781620043776", "840579781620043776")</f>
        <v/>
      </c>
      <c r="B1214" s="2" t="n">
        <v>42805.62975694444</v>
      </c>
      <c r="C1214" t="n">
        <v>0</v>
      </c>
      <c r="D1214" t="n">
        <v>0</v>
      </c>
      <c r="E1214" t="s">
        <v>1220</v>
      </c>
      <c r="F1214" t="s"/>
      <c r="G1214" t="s"/>
      <c r="H1214" t="s"/>
      <c r="I1214" t="s"/>
      <c r="J1214" t="n">
        <v>-0.128</v>
      </c>
      <c r="K1214" t="n">
        <v>0.304</v>
      </c>
      <c r="L1214" t="n">
        <v>0.435</v>
      </c>
      <c r="M1214" t="n">
        <v>0.261</v>
      </c>
    </row>
    <row r="1215" spans="1:13">
      <c r="A1215" s="1">
        <f>HYPERLINK("http://www.twitter.com/NathanBLawrence/status/840575474963222532", "840575474963222532")</f>
        <v/>
      </c>
      <c r="B1215" s="2" t="n">
        <v>42805.61788194445</v>
      </c>
      <c r="C1215" t="n">
        <v>0</v>
      </c>
      <c r="D1215" t="n">
        <v>99</v>
      </c>
      <c r="E1215" t="s">
        <v>1221</v>
      </c>
      <c r="F1215" t="s"/>
      <c r="G1215" t="s"/>
      <c r="H1215" t="s"/>
      <c r="I1215" t="s"/>
      <c r="J1215" t="n">
        <v>0.0516</v>
      </c>
      <c r="K1215" t="n">
        <v>0.099</v>
      </c>
      <c r="L1215" t="n">
        <v>0.762</v>
      </c>
      <c r="M1215" t="n">
        <v>0.139</v>
      </c>
    </row>
    <row r="1216" spans="1:13">
      <c r="A1216" s="1">
        <f>HYPERLINK("http://www.twitter.com/NathanBLawrence/status/840561179529490433", "840561179529490433")</f>
        <v/>
      </c>
      <c r="B1216" s="2" t="n">
        <v>42805.57842592592</v>
      </c>
      <c r="C1216" t="n">
        <v>0</v>
      </c>
      <c r="D1216" t="n">
        <v>1292</v>
      </c>
      <c r="E1216" t="s">
        <v>1222</v>
      </c>
      <c r="F1216" t="s"/>
      <c r="G1216" t="s"/>
      <c r="H1216" t="s"/>
      <c r="I1216" t="s"/>
      <c r="J1216" t="n">
        <v>-0.2732</v>
      </c>
      <c r="K1216" t="n">
        <v>0.197</v>
      </c>
      <c r="L1216" t="n">
        <v>0.645</v>
      </c>
      <c r="M1216" t="n">
        <v>0.158</v>
      </c>
    </row>
    <row r="1217" spans="1:13">
      <c r="A1217" s="1">
        <f>HYPERLINK("http://www.twitter.com/NathanBLawrence/status/840364501497196544", "840364501497196544")</f>
        <v/>
      </c>
      <c r="B1217" s="2" t="n">
        <v>42805.03570601852</v>
      </c>
      <c r="C1217" t="n">
        <v>0</v>
      </c>
      <c r="D1217" t="n">
        <v>7</v>
      </c>
      <c r="E1217" t="s">
        <v>1223</v>
      </c>
      <c r="F1217">
        <f>HYPERLINK("http://pbs.twimg.com/media/C6mRZ4fVwAAX6R4.jpg", "http://pbs.twimg.com/media/C6mRZ4fVwAAX6R4.jpg")</f>
        <v/>
      </c>
      <c r="G1217" t="s"/>
      <c r="H1217" t="s"/>
      <c r="I1217" t="s"/>
      <c r="J1217" t="n">
        <v>0</v>
      </c>
      <c r="K1217" t="n">
        <v>0</v>
      </c>
      <c r="L1217" t="n">
        <v>1</v>
      </c>
      <c r="M1217" t="n">
        <v>0</v>
      </c>
    </row>
    <row r="1218" spans="1:13">
      <c r="A1218" s="1">
        <f>HYPERLINK("http://www.twitter.com/NathanBLawrence/status/840364165264990213", "840364165264990213")</f>
        <v/>
      </c>
      <c r="B1218" s="2" t="n">
        <v>42805.03476851852</v>
      </c>
      <c r="C1218" t="n">
        <v>0</v>
      </c>
      <c r="D1218" t="n">
        <v>476</v>
      </c>
      <c r="E1218" t="s">
        <v>1224</v>
      </c>
      <c r="F1218" t="s"/>
      <c r="G1218" t="s"/>
      <c r="H1218" t="s"/>
      <c r="I1218" t="s"/>
      <c r="J1218" t="n">
        <v>0.4939</v>
      </c>
      <c r="K1218" t="n">
        <v>0</v>
      </c>
      <c r="L1218" t="n">
        <v>0.856</v>
      </c>
      <c r="M1218" t="n">
        <v>0.144</v>
      </c>
    </row>
    <row r="1219" spans="1:13">
      <c r="A1219" s="1">
        <f>HYPERLINK("http://www.twitter.com/NathanBLawrence/status/840362672080224257", "840362672080224257")</f>
        <v/>
      </c>
      <c r="B1219" s="2" t="n">
        <v>42805.03064814815</v>
      </c>
      <c r="C1219" t="n">
        <v>0</v>
      </c>
      <c r="D1219" t="n">
        <v>10</v>
      </c>
      <c r="E1219" t="s">
        <v>1225</v>
      </c>
      <c r="F1219" t="s"/>
      <c r="G1219" t="s"/>
      <c r="H1219" t="s"/>
      <c r="I1219" t="s"/>
      <c r="J1219" t="n">
        <v>-0.5423</v>
      </c>
      <c r="K1219" t="n">
        <v>0.212</v>
      </c>
      <c r="L1219" t="n">
        <v>0.788</v>
      </c>
      <c r="M1219" t="n">
        <v>0</v>
      </c>
    </row>
    <row r="1220" spans="1:13">
      <c r="A1220" s="1">
        <f>HYPERLINK("http://www.twitter.com/NathanBLawrence/status/840351045167534080", "840351045167534080")</f>
        <v/>
      </c>
      <c r="B1220" s="2" t="n">
        <v>42804.99856481481</v>
      </c>
      <c r="C1220" t="n">
        <v>0</v>
      </c>
      <c r="D1220" t="n">
        <v>1078</v>
      </c>
      <c r="E1220" t="s">
        <v>1226</v>
      </c>
      <c r="F1220">
        <f>HYPERLINK("http://pbs.twimg.com/media/C6iBdUmVoAITHTU.jpg", "http://pbs.twimg.com/media/C6iBdUmVoAITHTU.jpg")</f>
        <v/>
      </c>
      <c r="G1220" t="s"/>
      <c r="H1220" t="s"/>
      <c r="I1220" t="s"/>
      <c r="J1220" t="n">
        <v>0</v>
      </c>
      <c r="K1220" t="n">
        <v>0</v>
      </c>
      <c r="L1220" t="n">
        <v>1</v>
      </c>
      <c r="M1220" t="n">
        <v>0</v>
      </c>
    </row>
    <row r="1221" spans="1:13">
      <c r="A1221" s="1">
        <f>HYPERLINK("http://www.twitter.com/NathanBLawrence/status/840349751904210945", "840349751904210945")</f>
        <v/>
      </c>
      <c r="B1221" s="2" t="n">
        <v>42804.995</v>
      </c>
      <c r="C1221" t="n">
        <v>0</v>
      </c>
      <c r="D1221" t="n">
        <v>216</v>
      </c>
      <c r="E1221" t="s">
        <v>1227</v>
      </c>
      <c r="F1221" t="s"/>
      <c r="G1221" t="s"/>
      <c r="H1221" t="s"/>
      <c r="I1221" t="s"/>
      <c r="J1221" t="n">
        <v>0</v>
      </c>
      <c r="K1221" t="n">
        <v>0</v>
      </c>
      <c r="L1221" t="n">
        <v>1</v>
      </c>
      <c r="M1221" t="n">
        <v>0</v>
      </c>
    </row>
    <row r="1222" spans="1:13">
      <c r="A1222" s="1">
        <f>HYPERLINK("http://www.twitter.com/NathanBLawrence/status/840336530195533825", "840336530195533825")</f>
        <v/>
      </c>
      <c r="B1222" s="2" t="n">
        <v>42804.95851851852</v>
      </c>
      <c r="C1222" t="n">
        <v>0</v>
      </c>
      <c r="D1222" t="n">
        <v>693</v>
      </c>
      <c r="E1222" t="s">
        <v>1228</v>
      </c>
      <c r="F1222" t="s"/>
      <c r="G1222" t="s"/>
      <c r="H1222" t="s"/>
      <c r="I1222" t="s"/>
      <c r="J1222" t="n">
        <v>0</v>
      </c>
      <c r="K1222" t="n">
        <v>0</v>
      </c>
      <c r="L1222" t="n">
        <v>1</v>
      </c>
      <c r="M1222" t="n">
        <v>0</v>
      </c>
    </row>
    <row r="1223" spans="1:13">
      <c r="A1223" s="1">
        <f>HYPERLINK("http://www.twitter.com/NathanBLawrence/status/840336448532410368", "840336448532410368")</f>
        <v/>
      </c>
      <c r="B1223" s="2" t="n">
        <v>42804.95828703704</v>
      </c>
      <c r="C1223" t="n">
        <v>0</v>
      </c>
      <c r="D1223" t="n">
        <v>2115</v>
      </c>
      <c r="E1223" t="s">
        <v>1229</v>
      </c>
      <c r="F1223" t="s"/>
      <c r="G1223" t="s"/>
      <c r="H1223" t="s"/>
      <c r="I1223" t="s"/>
      <c r="J1223" t="n">
        <v>0.3182</v>
      </c>
      <c r="K1223" t="n">
        <v>0</v>
      </c>
      <c r="L1223" t="n">
        <v>0.723</v>
      </c>
      <c r="M1223" t="n">
        <v>0.277</v>
      </c>
    </row>
    <row r="1224" spans="1:13">
      <c r="A1224" s="1">
        <f>HYPERLINK("http://www.twitter.com/NathanBLawrence/status/840322146081619970", "840322146081619970")</f>
        <v/>
      </c>
      <c r="B1224" s="2" t="n">
        <v>42804.91881944444</v>
      </c>
      <c r="C1224" t="n">
        <v>0</v>
      </c>
      <c r="D1224" t="n">
        <v>1913</v>
      </c>
      <c r="E1224" t="s">
        <v>1230</v>
      </c>
      <c r="F1224" t="s"/>
      <c r="G1224" t="s"/>
      <c r="H1224" t="s"/>
      <c r="I1224" t="s"/>
      <c r="J1224" t="n">
        <v>-0.296</v>
      </c>
      <c r="K1224" t="n">
        <v>0.121</v>
      </c>
      <c r="L1224" t="n">
        <v>0.879</v>
      </c>
      <c r="M1224" t="n">
        <v>0</v>
      </c>
    </row>
    <row r="1225" spans="1:13">
      <c r="A1225" s="1">
        <f>HYPERLINK("http://www.twitter.com/NathanBLawrence/status/840319225222877184", "840319225222877184")</f>
        <v/>
      </c>
      <c r="B1225" s="2" t="n">
        <v>42804.91076388889</v>
      </c>
      <c r="C1225" t="n">
        <v>0</v>
      </c>
      <c r="D1225" t="n">
        <v>403</v>
      </c>
      <c r="E1225" t="s">
        <v>1231</v>
      </c>
      <c r="F1225" t="s"/>
      <c r="G1225" t="s"/>
      <c r="H1225" t="s"/>
      <c r="I1225" t="s"/>
      <c r="J1225" t="n">
        <v>-0.418</v>
      </c>
      <c r="K1225" t="n">
        <v>0.19</v>
      </c>
      <c r="L1225" t="n">
        <v>0.714</v>
      </c>
      <c r="M1225" t="n">
        <v>0.096</v>
      </c>
    </row>
    <row r="1226" spans="1:13">
      <c r="A1226" s="1">
        <f>HYPERLINK("http://www.twitter.com/NathanBLawrence/status/840289195151220736", "840289195151220736")</f>
        <v/>
      </c>
      <c r="B1226" s="2" t="n">
        <v>42804.82789351852</v>
      </c>
      <c r="C1226" t="n">
        <v>0</v>
      </c>
      <c r="D1226" t="n">
        <v>216</v>
      </c>
      <c r="E1226" t="s">
        <v>1232</v>
      </c>
      <c r="F1226">
        <f>HYPERLINK("http://pbs.twimg.com/media/C6f-ryIU0AE-lNE.jpg", "http://pbs.twimg.com/media/C6f-ryIU0AE-lNE.jpg")</f>
        <v/>
      </c>
      <c r="G1226" t="s"/>
      <c r="H1226" t="s"/>
      <c r="I1226" t="s"/>
      <c r="J1226" t="n">
        <v>0</v>
      </c>
      <c r="K1226" t="n">
        <v>0</v>
      </c>
      <c r="L1226" t="n">
        <v>1</v>
      </c>
      <c r="M1226" t="n">
        <v>0</v>
      </c>
    </row>
    <row r="1227" spans="1:13">
      <c r="A1227" s="1">
        <f>HYPERLINK("http://www.twitter.com/NathanBLawrence/status/840286954629521410", "840286954629521410")</f>
        <v/>
      </c>
      <c r="B1227" s="2" t="n">
        <v>42804.82171296296</v>
      </c>
      <c r="C1227" t="n">
        <v>0</v>
      </c>
      <c r="D1227" t="n">
        <v>0</v>
      </c>
      <c r="E1227" t="s">
        <v>1233</v>
      </c>
      <c r="F1227" t="s"/>
      <c r="G1227" t="s"/>
      <c r="H1227" t="s"/>
      <c r="I1227" t="s"/>
      <c r="J1227" t="n">
        <v>0</v>
      </c>
      <c r="K1227" t="n">
        <v>0</v>
      </c>
      <c r="L1227" t="n">
        <v>1</v>
      </c>
      <c r="M1227" t="n">
        <v>0</v>
      </c>
    </row>
    <row r="1228" spans="1:13">
      <c r="A1228" s="1">
        <f>HYPERLINK("http://www.twitter.com/NathanBLawrence/status/840285639358705664", "840285639358705664")</f>
        <v/>
      </c>
      <c r="B1228" s="2" t="n">
        <v>42804.81807870371</v>
      </c>
      <c r="C1228" t="n">
        <v>3</v>
      </c>
      <c r="D1228" t="n">
        <v>1</v>
      </c>
      <c r="E1228" t="s">
        <v>1234</v>
      </c>
      <c r="F1228" t="s"/>
      <c r="G1228" t="s"/>
      <c r="H1228" t="s"/>
      <c r="I1228" t="s"/>
      <c r="J1228" t="n">
        <v>-0.4588</v>
      </c>
      <c r="K1228" t="n">
        <v>0.313</v>
      </c>
      <c r="L1228" t="n">
        <v>0.514</v>
      </c>
      <c r="M1228" t="n">
        <v>0.173</v>
      </c>
    </row>
    <row r="1229" spans="1:13">
      <c r="A1229" s="1">
        <f>HYPERLINK("http://www.twitter.com/NathanBLawrence/status/840284959453663233", "840284959453663233")</f>
        <v/>
      </c>
      <c r="B1229" s="2" t="n">
        <v>42804.8162037037</v>
      </c>
      <c r="C1229" t="n">
        <v>0</v>
      </c>
      <c r="D1229" t="n">
        <v>6</v>
      </c>
      <c r="E1229" t="s">
        <v>1235</v>
      </c>
      <c r="F1229" t="s"/>
      <c r="G1229" t="s"/>
      <c r="H1229" t="s"/>
      <c r="I1229" t="s"/>
      <c r="J1229" t="n">
        <v>0.3612</v>
      </c>
      <c r="K1229" t="n">
        <v>0</v>
      </c>
      <c r="L1229" t="n">
        <v>0.894</v>
      </c>
      <c r="M1229" t="n">
        <v>0.106</v>
      </c>
    </row>
    <row r="1230" spans="1:13">
      <c r="A1230" s="1">
        <f>HYPERLINK("http://www.twitter.com/NathanBLawrence/status/840253704624324608", "840253704624324608")</f>
        <v/>
      </c>
      <c r="B1230" s="2" t="n">
        <v>42804.7299537037</v>
      </c>
      <c r="C1230" t="n">
        <v>3</v>
      </c>
      <c r="D1230" t="n">
        <v>1</v>
      </c>
      <c r="E1230" t="s">
        <v>1236</v>
      </c>
      <c r="F1230" t="s"/>
      <c r="G1230" t="s"/>
      <c r="H1230" t="s"/>
      <c r="I1230" t="s"/>
      <c r="J1230" t="n">
        <v>0.0516</v>
      </c>
      <c r="K1230" t="n">
        <v>0.097</v>
      </c>
      <c r="L1230" t="n">
        <v>0.764</v>
      </c>
      <c r="M1230" t="n">
        <v>0.139</v>
      </c>
    </row>
    <row r="1231" spans="1:13">
      <c r="A1231" s="1">
        <f>HYPERLINK("http://www.twitter.com/NathanBLawrence/status/840251864205651968", "840251864205651968")</f>
        <v/>
      </c>
      <c r="B1231" s="2" t="n">
        <v>42804.72488425926</v>
      </c>
      <c r="C1231" t="n">
        <v>4</v>
      </c>
      <c r="D1231" t="n">
        <v>2</v>
      </c>
      <c r="E1231" t="s">
        <v>1237</v>
      </c>
      <c r="F1231" t="s"/>
      <c r="G1231" t="s"/>
      <c r="H1231" t="s"/>
      <c r="I1231" t="s"/>
      <c r="J1231" t="n">
        <v>0.2732</v>
      </c>
      <c r="K1231" t="n">
        <v>0</v>
      </c>
      <c r="L1231" t="n">
        <v>0.792</v>
      </c>
      <c r="M1231" t="n">
        <v>0.208</v>
      </c>
    </row>
    <row r="1232" spans="1:13">
      <c r="A1232" s="1">
        <f>HYPERLINK("http://www.twitter.com/NathanBLawrence/status/840250931618959360", "840250931618959360")</f>
        <v/>
      </c>
      <c r="B1232" s="2" t="n">
        <v>42804.72230324074</v>
      </c>
      <c r="C1232" t="n">
        <v>0</v>
      </c>
      <c r="D1232" t="n">
        <v>9</v>
      </c>
      <c r="E1232" t="s">
        <v>1238</v>
      </c>
      <c r="F1232" t="s"/>
      <c r="G1232" t="s"/>
      <c r="H1232" t="s"/>
      <c r="I1232" t="s"/>
      <c r="J1232" t="n">
        <v>-0.2023</v>
      </c>
      <c r="K1232" t="n">
        <v>0.134</v>
      </c>
      <c r="L1232" t="n">
        <v>0.761</v>
      </c>
      <c r="M1232" t="n">
        <v>0.105</v>
      </c>
    </row>
    <row r="1233" spans="1:13">
      <c r="A1233" s="1">
        <f>HYPERLINK("http://www.twitter.com/NathanBLawrence/status/840239823063515138", "840239823063515138")</f>
        <v/>
      </c>
      <c r="B1233" s="2" t="n">
        <v>42804.6916550926</v>
      </c>
      <c r="C1233" t="n">
        <v>0</v>
      </c>
      <c r="D1233" t="n">
        <v>91</v>
      </c>
      <c r="E1233" t="s">
        <v>1239</v>
      </c>
      <c r="F1233" t="s"/>
      <c r="G1233" t="s"/>
      <c r="H1233" t="s"/>
      <c r="I1233" t="s"/>
      <c r="J1233" t="n">
        <v>0.5499000000000001</v>
      </c>
      <c r="K1233" t="n">
        <v>0</v>
      </c>
      <c r="L1233" t="n">
        <v>0.8149999999999999</v>
      </c>
      <c r="M1233" t="n">
        <v>0.185</v>
      </c>
    </row>
    <row r="1234" spans="1:13">
      <c r="A1234" s="1">
        <f>HYPERLINK("http://www.twitter.com/NathanBLawrence/status/840237515357458432", "840237515357458432")</f>
        <v/>
      </c>
      <c r="B1234" s="2" t="n">
        <v>42804.68528935185</v>
      </c>
      <c r="C1234" t="n">
        <v>0</v>
      </c>
      <c r="D1234" t="n">
        <v>184</v>
      </c>
      <c r="E1234" t="s">
        <v>1240</v>
      </c>
      <c r="F1234" t="s"/>
      <c r="G1234" t="s"/>
      <c r="H1234" t="s"/>
      <c r="I1234" t="s"/>
      <c r="J1234" t="n">
        <v>-0.2244</v>
      </c>
      <c r="K1234" t="n">
        <v>0.127</v>
      </c>
      <c r="L1234" t="n">
        <v>0.873</v>
      </c>
      <c r="M1234" t="n">
        <v>0</v>
      </c>
    </row>
    <row r="1235" spans="1:13">
      <c r="A1235" s="1">
        <f>HYPERLINK("http://www.twitter.com/NathanBLawrence/status/840235403760291842", "840235403760291842")</f>
        <v/>
      </c>
      <c r="B1235" s="2" t="n">
        <v>42804.67945601852</v>
      </c>
      <c r="C1235" t="n">
        <v>0</v>
      </c>
      <c r="D1235" t="n">
        <v>3731</v>
      </c>
      <c r="E1235" t="s">
        <v>1241</v>
      </c>
      <c r="F1235" t="s"/>
      <c r="G1235" t="s"/>
      <c r="H1235" t="s"/>
      <c r="I1235" t="s"/>
      <c r="J1235" t="n">
        <v>0.1779</v>
      </c>
      <c r="K1235" t="n">
        <v>0.192</v>
      </c>
      <c r="L1235" t="n">
        <v>0.554</v>
      </c>
      <c r="M1235" t="n">
        <v>0.255</v>
      </c>
    </row>
    <row r="1236" spans="1:13">
      <c r="A1236" s="1">
        <f>HYPERLINK("http://www.twitter.com/NathanBLawrence/status/840233776059830272", "840233776059830272")</f>
        <v/>
      </c>
      <c r="B1236" s="2" t="n">
        <v>42804.67496527778</v>
      </c>
      <c r="C1236" t="n">
        <v>0</v>
      </c>
      <c r="D1236" t="n">
        <v>3651</v>
      </c>
      <c r="E1236" t="s">
        <v>1242</v>
      </c>
      <c r="F1236">
        <f>HYPERLINK("http://pbs.twimg.com/media/C6kM5kYW0AAA21G.png", "http://pbs.twimg.com/media/C6kM5kYW0AAA21G.png")</f>
        <v/>
      </c>
      <c r="G1236" t="s"/>
      <c r="H1236" t="s"/>
      <c r="I1236" t="s"/>
      <c r="J1236" t="n">
        <v>0.5106000000000001</v>
      </c>
      <c r="K1236" t="n">
        <v>0.167</v>
      </c>
      <c r="L1236" t="n">
        <v>0.582</v>
      </c>
      <c r="M1236" t="n">
        <v>0.251</v>
      </c>
    </row>
    <row r="1237" spans="1:13">
      <c r="A1237" s="1">
        <f>HYPERLINK("http://www.twitter.com/NathanBLawrence/status/840231844696207360", "840231844696207360")</f>
        <v/>
      </c>
      <c r="B1237" s="2" t="n">
        <v>42804.66964120371</v>
      </c>
      <c r="C1237" t="n">
        <v>0</v>
      </c>
      <c r="D1237" t="n">
        <v>0</v>
      </c>
      <c r="E1237" t="s">
        <v>1243</v>
      </c>
      <c r="F1237" t="s"/>
      <c r="G1237" t="s"/>
      <c r="H1237" t="s"/>
      <c r="I1237" t="s"/>
      <c r="J1237" t="n">
        <v>-0.6249</v>
      </c>
      <c r="K1237" t="n">
        <v>0.203</v>
      </c>
      <c r="L1237" t="n">
        <v>0.797</v>
      </c>
      <c r="M1237" t="n">
        <v>0</v>
      </c>
    </row>
    <row r="1238" spans="1:13">
      <c r="A1238" s="1">
        <f>HYPERLINK("http://www.twitter.com/NathanBLawrence/status/840225786191835142", "840225786191835142")</f>
        <v/>
      </c>
      <c r="B1238" s="2" t="n">
        <v>42804.65291666667</v>
      </c>
      <c r="C1238" t="n">
        <v>0</v>
      </c>
      <c r="D1238" t="n">
        <v>497</v>
      </c>
      <c r="E1238" t="s">
        <v>1244</v>
      </c>
      <c r="F1238">
        <f>HYPERLINK("http://pbs.twimg.com/media/C6kDG6PXAAAhN87.jpg", "http://pbs.twimg.com/media/C6kDG6PXAAAhN87.jpg")</f>
        <v/>
      </c>
      <c r="G1238" t="s"/>
      <c r="H1238" t="s"/>
      <c r="I1238" t="s"/>
      <c r="J1238" t="n">
        <v>0.5106000000000001</v>
      </c>
      <c r="K1238" t="n">
        <v>0</v>
      </c>
      <c r="L1238" t="n">
        <v>0.829</v>
      </c>
      <c r="M1238" t="n">
        <v>0.171</v>
      </c>
    </row>
    <row r="1239" spans="1:13">
      <c r="A1239" s="1">
        <f>HYPERLINK("http://www.twitter.com/NathanBLawrence/status/840221577677557760", "840221577677557760")</f>
        <v/>
      </c>
      <c r="B1239" s="2" t="n">
        <v>42804.64130787037</v>
      </c>
      <c r="C1239" t="n">
        <v>0</v>
      </c>
      <c r="D1239" t="n">
        <v>595</v>
      </c>
      <c r="E1239" t="s">
        <v>1245</v>
      </c>
      <c r="F1239" t="s"/>
      <c r="G1239" t="s"/>
      <c r="H1239" t="s"/>
      <c r="I1239" t="s"/>
      <c r="J1239" t="n">
        <v>0.3182</v>
      </c>
      <c r="K1239" t="n">
        <v>0</v>
      </c>
      <c r="L1239" t="n">
        <v>0.85</v>
      </c>
      <c r="M1239" t="n">
        <v>0.15</v>
      </c>
    </row>
    <row r="1240" spans="1:13">
      <c r="A1240" s="1">
        <f>HYPERLINK("http://www.twitter.com/NathanBLawrence/status/840220036149182466", "840220036149182466")</f>
        <v/>
      </c>
      <c r="B1240" s="2" t="n">
        <v>42804.63704861111</v>
      </c>
      <c r="C1240" t="n">
        <v>0</v>
      </c>
      <c r="D1240" t="n">
        <v>2</v>
      </c>
      <c r="E1240" t="s">
        <v>1246</v>
      </c>
      <c r="F1240">
        <f>HYPERLINK("http://pbs.twimg.com/media/C6XeZaSWYAEutB1.jpg", "http://pbs.twimg.com/media/C6XeZaSWYAEutB1.jpg")</f>
        <v/>
      </c>
      <c r="G1240" t="s"/>
      <c r="H1240" t="s"/>
      <c r="I1240" t="s"/>
      <c r="J1240" t="n">
        <v>0</v>
      </c>
      <c r="K1240" t="n">
        <v>0.143</v>
      </c>
      <c r="L1240" t="n">
        <v>0.667</v>
      </c>
      <c r="M1240" t="n">
        <v>0.19</v>
      </c>
    </row>
    <row r="1241" spans="1:13">
      <c r="A1241" s="1">
        <f>HYPERLINK("http://www.twitter.com/NathanBLawrence/status/840218290228207616", "840218290228207616")</f>
        <v/>
      </c>
      <c r="B1241" s="2" t="n">
        <v>42804.6322337963</v>
      </c>
      <c r="C1241" t="n">
        <v>0</v>
      </c>
      <c r="D1241" t="n">
        <v>447</v>
      </c>
      <c r="E1241" t="s">
        <v>1247</v>
      </c>
      <c r="F1241">
        <f>HYPERLINK("http://pbs.twimg.com/media/C6gJk-HUoAAWW8X.jpg", "http://pbs.twimg.com/media/C6gJk-HUoAAWW8X.jpg")</f>
        <v/>
      </c>
      <c r="G1241">
        <f>HYPERLINK("http://pbs.twimg.com/media/C6gJk-GU8AAp2EC.jpg", "http://pbs.twimg.com/media/C6gJk-GU8AAp2EC.jpg")</f>
        <v/>
      </c>
      <c r="H1241">
        <f>HYPERLINK("http://pbs.twimg.com/media/C6gJk-IU4AAnrF1.jpg", "http://pbs.twimg.com/media/C6gJk-IU4AAnrF1.jpg")</f>
        <v/>
      </c>
      <c r="I1241" t="s"/>
      <c r="J1241" t="n">
        <v>0.0258</v>
      </c>
      <c r="K1241" t="n">
        <v>0</v>
      </c>
      <c r="L1241" t="n">
        <v>0.9320000000000001</v>
      </c>
      <c r="M1241" t="n">
        <v>0.068</v>
      </c>
    </row>
    <row r="1242" spans="1:13">
      <c r="A1242" s="1">
        <f>HYPERLINK("http://www.twitter.com/NathanBLawrence/status/840218003266519041", "840218003266519041")</f>
        <v/>
      </c>
      <c r="B1242" s="2" t="n">
        <v>42804.63144675926</v>
      </c>
      <c r="C1242" t="n">
        <v>1</v>
      </c>
      <c r="D1242" t="n">
        <v>0</v>
      </c>
      <c r="E1242" t="s">
        <v>1248</v>
      </c>
      <c r="F1242" t="s"/>
      <c r="G1242" t="s"/>
      <c r="H1242" t="s"/>
      <c r="I1242" t="s"/>
      <c r="J1242" t="n">
        <v>-0.7003</v>
      </c>
      <c r="K1242" t="n">
        <v>0.592</v>
      </c>
      <c r="L1242" t="n">
        <v>0.408</v>
      </c>
      <c r="M1242" t="n">
        <v>0</v>
      </c>
    </row>
    <row r="1243" spans="1:13">
      <c r="A1243" s="1">
        <f>HYPERLINK("http://www.twitter.com/NathanBLawrence/status/840216115368361985", "840216115368361985")</f>
        <v/>
      </c>
      <c r="B1243" s="2" t="n">
        <v>42804.62623842592</v>
      </c>
      <c r="C1243" t="n">
        <v>0</v>
      </c>
      <c r="D1243" t="n">
        <v>0</v>
      </c>
      <c r="E1243" t="s">
        <v>1249</v>
      </c>
      <c r="F1243" t="s"/>
      <c r="G1243" t="s"/>
      <c r="H1243" t="s"/>
      <c r="I1243" t="s"/>
      <c r="J1243" t="n">
        <v>0.2716</v>
      </c>
      <c r="K1243" t="n">
        <v>0.09</v>
      </c>
      <c r="L1243" t="n">
        <v>0.74</v>
      </c>
      <c r="M1243" t="n">
        <v>0.171</v>
      </c>
    </row>
    <row r="1244" spans="1:13">
      <c r="A1244" s="1">
        <f>HYPERLINK("http://www.twitter.com/NathanBLawrence/status/840215765525639168", "840215765525639168")</f>
        <v/>
      </c>
      <c r="B1244" s="2" t="n">
        <v>42804.6252662037</v>
      </c>
      <c r="C1244" t="n">
        <v>2</v>
      </c>
      <c r="D1244" t="n">
        <v>2</v>
      </c>
      <c r="E1244" t="s">
        <v>1250</v>
      </c>
      <c r="F1244" t="s"/>
      <c r="G1244" t="s"/>
      <c r="H1244" t="s"/>
      <c r="I1244" t="s"/>
      <c r="J1244" t="n">
        <v>0.3612</v>
      </c>
      <c r="K1244" t="n">
        <v>0.126</v>
      </c>
      <c r="L1244" t="n">
        <v>0.648</v>
      </c>
      <c r="M1244" t="n">
        <v>0.227</v>
      </c>
    </row>
    <row r="1245" spans="1:13">
      <c r="A1245" s="1">
        <f>HYPERLINK("http://www.twitter.com/NathanBLawrence/status/840211383354552321", "840211383354552321")</f>
        <v/>
      </c>
      <c r="B1245" s="2" t="n">
        <v>42804.6131712963</v>
      </c>
      <c r="C1245" t="n">
        <v>0</v>
      </c>
      <c r="D1245" t="n">
        <v>1399</v>
      </c>
      <c r="E1245" t="s">
        <v>1251</v>
      </c>
      <c r="F1245">
        <f>HYPERLINK("http://pbs.twimg.com/media/C6jeWxVVwAAe8Ts.jpg", "http://pbs.twimg.com/media/C6jeWxVVwAAe8Ts.jpg")</f>
        <v/>
      </c>
      <c r="G1245" t="s"/>
      <c r="H1245" t="s"/>
      <c r="I1245" t="s"/>
      <c r="J1245" t="n">
        <v>0.7351</v>
      </c>
      <c r="K1245" t="n">
        <v>0</v>
      </c>
      <c r="L1245" t="n">
        <v>0.788</v>
      </c>
      <c r="M1245" t="n">
        <v>0.212</v>
      </c>
    </row>
    <row r="1246" spans="1:13">
      <c r="A1246" s="1">
        <f>HYPERLINK("http://www.twitter.com/NathanBLawrence/status/840211011982487552", "840211011982487552")</f>
        <v/>
      </c>
      <c r="B1246" s="2" t="n">
        <v>42804.61215277778</v>
      </c>
      <c r="C1246" t="n">
        <v>0</v>
      </c>
      <c r="D1246" t="n">
        <v>55</v>
      </c>
      <c r="E1246" t="s">
        <v>1252</v>
      </c>
      <c r="F1246">
        <f>HYPERLINK("http://pbs.twimg.com/media/C6kBivqVoAAAkSA.jpg", "http://pbs.twimg.com/media/C6kBivqVoAAAkSA.jpg")</f>
        <v/>
      </c>
      <c r="G1246" t="s"/>
      <c r="H1246" t="s"/>
      <c r="I1246" t="s"/>
      <c r="J1246" t="n">
        <v>-0.8079</v>
      </c>
      <c r="K1246" t="n">
        <v>0.307</v>
      </c>
      <c r="L1246" t="n">
        <v>0.6929999999999999</v>
      </c>
      <c r="M1246" t="n">
        <v>0</v>
      </c>
    </row>
    <row r="1247" spans="1:13">
      <c r="A1247" s="1">
        <f>HYPERLINK("http://www.twitter.com/NathanBLawrence/status/840066468872044544", "840066468872044544")</f>
        <v/>
      </c>
      <c r="B1247" s="2" t="n">
        <v>42804.21328703704</v>
      </c>
      <c r="C1247" t="n">
        <v>15</v>
      </c>
      <c r="D1247" t="n">
        <v>0</v>
      </c>
      <c r="E1247" t="s">
        <v>1253</v>
      </c>
      <c r="F1247" t="s"/>
      <c r="G1247" t="s"/>
      <c r="H1247" t="s"/>
      <c r="I1247" t="s"/>
      <c r="J1247" t="n">
        <v>0.7322</v>
      </c>
      <c r="K1247" t="n">
        <v>0</v>
      </c>
      <c r="L1247" t="n">
        <v>0.694</v>
      </c>
      <c r="M1247" t="n">
        <v>0.306</v>
      </c>
    </row>
    <row r="1248" spans="1:13">
      <c r="A1248" s="1">
        <f>HYPERLINK("http://www.twitter.com/NathanBLawrence/status/840065459055599617", "840065459055599617")</f>
        <v/>
      </c>
      <c r="B1248" s="2" t="n">
        <v>42804.21049768518</v>
      </c>
      <c r="C1248" t="n">
        <v>0</v>
      </c>
      <c r="D1248" t="n">
        <v>141</v>
      </c>
      <c r="E1248" t="s">
        <v>1254</v>
      </c>
      <c r="F1248">
        <f>HYPERLINK("http://pbs.twimg.com/media/C6iA_uLVsAABB6F.jpg", "http://pbs.twimg.com/media/C6iA_uLVsAABB6F.jpg")</f>
        <v/>
      </c>
      <c r="G1248" t="s"/>
      <c r="H1248" t="s"/>
      <c r="I1248" t="s"/>
      <c r="J1248" t="n">
        <v>0.3612</v>
      </c>
      <c r="K1248" t="n">
        <v>0</v>
      </c>
      <c r="L1248" t="n">
        <v>0.857</v>
      </c>
      <c r="M1248" t="n">
        <v>0.143</v>
      </c>
    </row>
    <row r="1249" spans="1:13">
      <c r="A1249" s="1">
        <f>HYPERLINK("http://www.twitter.com/NathanBLawrence/status/840049069804400641", "840049069804400641")</f>
        <v/>
      </c>
      <c r="B1249" s="2" t="n">
        <v>42804.16527777778</v>
      </c>
      <c r="C1249" t="n">
        <v>0</v>
      </c>
      <c r="D1249" t="n">
        <v>6</v>
      </c>
      <c r="E1249" t="s">
        <v>1255</v>
      </c>
      <c r="F1249" t="s"/>
      <c r="G1249" t="s"/>
      <c r="H1249" t="s"/>
      <c r="I1249" t="s"/>
      <c r="J1249" t="n">
        <v>-0.6731</v>
      </c>
      <c r="K1249" t="n">
        <v>0.192</v>
      </c>
      <c r="L1249" t="n">
        <v>0.8080000000000001</v>
      </c>
      <c r="M1249" t="n">
        <v>0</v>
      </c>
    </row>
    <row r="1250" spans="1:13">
      <c r="A1250" s="1">
        <f>HYPERLINK("http://www.twitter.com/NathanBLawrence/status/840046427816525824", "840046427816525824")</f>
        <v/>
      </c>
      <c r="B1250" s="2" t="n">
        <v>42804.15798611111</v>
      </c>
      <c r="C1250" t="n">
        <v>1</v>
      </c>
      <c r="D1250" t="n">
        <v>0</v>
      </c>
      <c r="E1250" t="s">
        <v>1256</v>
      </c>
      <c r="F1250" t="s"/>
      <c r="G1250" t="s"/>
      <c r="H1250" t="s"/>
      <c r="I1250" t="s"/>
      <c r="J1250" t="n">
        <v>0.1511</v>
      </c>
      <c r="K1250" t="n">
        <v>0</v>
      </c>
      <c r="L1250" t="n">
        <v>0.653</v>
      </c>
      <c r="M1250" t="n">
        <v>0.347</v>
      </c>
    </row>
    <row r="1251" spans="1:13">
      <c r="A1251" s="1">
        <f>HYPERLINK("http://www.twitter.com/NathanBLawrence/status/840045897220255744", "840045897220255744")</f>
        <v/>
      </c>
      <c r="B1251" s="2" t="n">
        <v>42804.1565162037</v>
      </c>
      <c r="C1251" t="n">
        <v>0</v>
      </c>
      <c r="D1251" t="n">
        <v>2</v>
      </c>
      <c r="E1251" t="s">
        <v>1257</v>
      </c>
      <c r="F1251" t="s"/>
      <c r="G1251" t="s"/>
      <c r="H1251" t="s"/>
      <c r="I1251" t="s"/>
      <c r="J1251" t="n">
        <v>0</v>
      </c>
      <c r="K1251" t="n">
        <v>0</v>
      </c>
      <c r="L1251" t="n">
        <v>1</v>
      </c>
      <c r="M1251" t="n">
        <v>0</v>
      </c>
    </row>
    <row r="1252" spans="1:13">
      <c r="A1252" s="1">
        <f>HYPERLINK("http://www.twitter.com/NathanBLawrence/status/840045838860746752", "840045838860746752")</f>
        <v/>
      </c>
      <c r="B1252" s="2" t="n">
        <v>42804.15635416667</v>
      </c>
      <c r="C1252" t="n">
        <v>1</v>
      </c>
      <c r="D1252" t="n">
        <v>0</v>
      </c>
      <c r="E1252" t="s">
        <v>1258</v>
      </c>
      <c r="F1252" t="s"/>
      <c r="G1252" t="s"/>
      <c r="H1252" t="s"/>
      <c r="I1252" t="s"/>
      <c r="J1252" t="n">
        <v>-0.4019</v>
      </c>
      <c r="K1252" t="n">
        <v>0.231</v>
      </c>
      <c r="L1252" t="n">
        <v>0.769</v>
      </c>
      <c r="M1252" t="n">
        <v>0</v>
      </c>
    </row>
    <row r="1253" spans="1:13">
      <c r="A1253" s="1">
        <f>HYPERLINK("http://www.twitter.com/NathanBLawrence/status/840045021017571328", "840045021017571328")</f>
        <v/>
      </c>
      <c r="B1253" s="2" t="n">
        <v>42804.15409722222</v>
      </c>
      <c r="C1253" t="n">
        <v>0</v>
      </c>
      <c r="D1253" t="n">
        <v>0</v>
      </c>
      <c r="E1253" t="s">
        <v>1259</v>
      </c>
      <c r="F1253" t="s"/>
      <c r="G1253" t="s"/>
      <c r="H1253" t="s"/>
      <c r="I1253" t="s"/>
      <c r="J1253" t="n">
        <v>-0.5572</v>
      </c>
      <c r="K1253" t="n">
        <v>0.294</v>
      </c>
      <c r="L1253" t="n">
        <v>0.516</v>
      </c>
      <c r="M1253" t="n">
        <v>0.19</v>
      </c>
    </row>
    <row r="1254" spans="1:13">
      <c r="A1254" s="1">
        <f>HYPERLINK("http://www.twitter.com/NathanBLawrence/status/840039083174973440", "840039083174973440")</f>
        <v/>
      </c>
      <c r="B1254" s="2" t="n">
        <v>42804.1377199074</v>
      </c>
      <c r="C1254" t="n">
        <v>0</v>
      </c>
      <c r="D1254" t="n">
        <v>0</v>
      </c>
      <c r="E1254" t="s">
        <v>1260</v>
      </c>
      <c r="F1254" t="s"/>
      <c r="G1254" t="s"/>
      <c r="H1254" t="s"/>
      <c r="I1254" t="s"/>
      <c r="J1254" t="n">
        <v>0.4215</v>
      </c>
      <c r="K1254" t="n">
        <v>0</v>
      </c>
      <c r="L1254" t="n">
        <v>0.903</v>
      </c>
      <c r="M1254" t="n">
        <v>0.097</v>
      </c>
    </row>
    <row r="1255" spans="1:13">
      <c r="A1255" s="1">
        <f>HYPERLINK("http://www.twitter.com/NathanBLawrence/status/840034797162549250", "840034797162549250")</f>
        <v/>
      </c>
      <c r="B1255" s="2" t="n">
        <v>42804.1258912037</v>
      </c>
      <c r="C1255" t="n">
        <v>0</v>
      </c>
      <c r="D1255" t="n">
        <v>0</v>
      </c>
      <c r="E1255" t="s">
        <v>1261</v>
      </c>
      <c r="F1255" t="s"/>
      <c r="G1255" t="s"/>
      <c r="H1255" t="s"/>
      <c r="I1255" t="s"/>
      <c r="J1255" t="n">
        <v>-0.296</v>
      </c>
      <c r="K1255" t="n">
        <v>0.167</v>
      </c>
      <c r="L1255" t="n">
        <v>0.833</v>
      </c>
      <c r="M1255" t="n">
        <v>0</v>
      </c>
    </row>
    <row r="1256" spans="1:13">
      <c r="A1256" s="1">
        <f>HYPERLINK("http://www.twitter.com/NathanBLawrence/status/840033390938193921", "840033390938193921")</f>
        <v/>
      </c>
      <c r="B1256" s="2" t="n">
        <v>42804.12201388889</v>
      </c>
      <c r="C1256" t="n">
        <v>0</v>
      </c>
      <c r="D1256" t="n">
        <v>19</v>
      </c>
      <c r="E1256" t="s">
        <v>1262</v>
      </c>
      <c r="F1256">
        <f>HYPERLINK("http://pbs.twimg.com/media/C6gu0oYVAAcgaes.jpg", "http://pbs.twimg.com/media/C6gu0oYVAAcgaes.jpg")</f>
        <v/>
      </c>
      <c r="G1256" t="s"/>
      <c r="H1256" t="s"/>
      <c r="I1256" t="s"/>
      <c r="J1256" t="n">
        <v>0</v>
      </c>
      <c r="K1256" t="n">
        <v>0</v>
      </c>
      <c r="L1256" t="n">
        <v>1</v>
      </c>
      <c r="M1256" t="n">
        <v>0</v>
      </c>
    </row>
    <row r="1257" spans="1:13">
      <c r="A1257" s="1">
        <f>HYPERLINK("http://www.twitter.com/NathanBLawrence/status/840032378504507394", "840032378504507394")</f>
        <v/>
      </c>
      <c r="B1257" s="2" t="n">
        <v>42804.11921296296</v>
      </c>
      <c r="C1257" t="n">
        <v>3</v>
      </c>
      <c r="D1257" t="n">
        <v>0</v>
      </c>
      <c r="E1257" t="s">
        <v>1263</v>
      </c>
      <c r="F1257" t="s"/>
      <c r="G1257" t="s"/>
      <c r="H1257" t="s"/>
      <c r="I1257" t="s"/>
      <c r="J1257" t="n">
        <v>0</v>
      </c>
      <c r="K1257" t="n">
        <v>0</v>
      </c>
      <c r="L1257" t="n">
        <v>1</v>
      </c>
      <c r="M1257" t="n">
        <v>0</v>
      </c>
    </row>
    <row r="1258" spans="1:13">
      <c r="A1258" s="1">
        <f>HYPERLINK("http://www.twitter.com/NathanBLawrence/status/840013699507191808", "840013699507191808")</f>
        <v/>
      </c>
      <c r="B1258" s="2" t="n">
        <v>42804.06767361111</v>
      </c>
      <c r="C1258" t="n">
        <v>0</v>
      </c>
      <c r="D1258" t="n">
        <v>475</v>
      </c>
      <c r="E1258" t="s">
        <v>1264</v>
      </c>
      <c r="F1258" t="s"/>
      <c r="G1258" t="s"/>
      <c r="H1258" t="s"/>
      <c r="I1258" t="s"/>
      <c r="J1258" t="n">
        <v>0.4019</v>
      </c>
      <c r="K1258" t="n">
        <v>0</v>
      </c>
      <c r="L1258" t="n">
        <v>0.903</v>
      </c>
      <c r="M1258" t="n">
        <v>0.097</v>
      </c>
    </row>
    <row r="1259" spans="1:13">
      <c r="A1259" s="1">
        <f>HYPERLINK("http://www.twitter.com/NathanBLawrence/status/839970903022792704", "839970903022792704")</f>
        <v/>
      </c>
      <c r="B1259" s="2" t="n">
        <v>42803.94957175926</v>
      </c>
      <c r="C1259" t="n">
        <v>0</v>
      </c>
      <c r="D1259" t="n">
        <v>2857</v>
      </c>
      <c r="E1259" t="s">
        <v>1265</v>
      </c>
      <c r="F1259" t="s"/>
      <c r="G1259" t="s"/>
      <c r="H1259" t="s"/>
      <c r="I1259" t="s"/>
      <c r="J1259" t="n">
        <v>0.7579</v>
      </c>
      <c r="K1259" t="n">
        <v>0</v>
      </c>
      <c r="L1259" t="n">
        <v>0.755</v>
      </c>
      <c r="M1259" t="n">
        <v>0.245</v>
      </c>
    </row>
    <row r="1260" spans="1:13">
      <c r="A1260" s="1">
        <f>HYPERLINK("http://www.twitter.com/NathanBLawrence/status/839965144448991233", "839965144448991233")</f>
        <v/>
      </c>
      <c r="B1260" s="2" t="n">
        <v>42803.93368055556</v>
      </c>
      <c r="C1260" t="n">
        <v>0</v>
      </c>
      <c r="D1260" t="n">
        <v>221</v>
      </c>
      <c r="E1260" t="s">
        <v>1266</v>
      </c>
      <c r="F1260" t="s"/>
      <c r="G1260" t="s"/>
      <c r="H1260" t="s"/>
      <c r="I1260" t="s"/>
      <c r="J1260" t="n">
        <v>-0.6289</v>
      </c>
      <c r="K1260" t="n">
        <v>0.171</v>
      </c>
      <c r="L1260" t="n">
        <v>0.829</v>
      </c>
      <c r="M1260" t="n">
        <v>0</v>
      </c>
    </row>
    <row r="1261" spans="1:13">
      <c r="A1261" s="1">
        <f>HYPERLINK("http://www.twitter.com/NathanBLawrence/status/839928927078465537", "839928927078465537")</f>
        <v/>
      </c>
      <c r="B1261" s="2" t="n">
        <v>42803.83373842593</v>
      </c>
      <c r="C1261" t="n">
        <v>0</v>
      </c>
      <c r="D1261" t="n">
        <v>6</v>
      </c>
      <c r="E1261" t="s">
        <v>1267</v>
      </c>
      <c r="F1261" t="s"/>
      <c r="G1261" t="s"/>
      <c r="H1261" t="s"/>
      <c r="I1261" t="s"/>
      <c r="J1261" t="n">
        <v>0.4404</v>
      </c>
      <c r="K1261" t="n">
        <v>0</v>
      </c>
      <c r="L1261" t="n">
        <v>0.775</v>
      </c>
      <c r="M1261" t="n">
        <v>0.225</v>
      </c>
    </row>
    <row r="1262" spans="1:13">
      <c r="A1262" s="1">
        <f>HYPERLINK("http://www.twitter.com/NathanBLawrence/status/839928019628220416", "839928019628220416")</f>
        <v/>
      </c>
      <c r="B1262" s="2" t="n">
        <v>42803.83123842593</v>
      </c>
      <c r="C1262" t="n">
        <v>0</v>
      </c>
      <c r="D1262" t="n">
        <v>2</v>
      </c>
      <c r="E1262" t="s">
        <v>1268</v>
      </c>
      <c r="F1262" t="s"/>
      <c r="G1262" t="s"/>
      <c r="H1262" t="s"/>
      <c r="I1262" t="s"/>
      <c r="J1262" t="n">
        <v>0</v>
      </c>
      <c r="K1262" t="n">
        <v>0</v>
      </c>
      <c r="L1262" t="n">
        <v>1</v>
      </c>
      <c r="M1262" t="n">
        <v>0</v>
      </c>
    </row>
    <row r="1263" spans="1:13">
      <c r="A1263" s="1">
        <f>HYPERLINK("http://www.twitter.com/NathanBLawrence/status/839856925605052416", "839856925605052416")</f>
        <v/>
      </c>
      <c r="B1263" s="2" t="n">
        <v>42803.63505787037</v>
      </c>
      <c r="C1263" t="n">
        <v>0</v>
      </c>
      <c r="D1263" t="n">
        <v>1</v>
      </c>
      <c r="E1263" t="s">
        <v>1269</v>
      </c>
      <c r="F1263">
        <f>HYPERLINK("http://pbs.twimg.com/media/C6fC75KVQAAT04-.jpg", "http://pbs.twimg.com/media/C6fC75KVQAAT04-.jpg")</f>
        <v/>
      </c>
      <c r="G1263" t="s"/>
      <c r="H1263" t="s"/>
      <c r="I1263" t="s"/>
      <c r="J1263" t="n">
        <v>0.8622</v>
      </c>
      <c r="K1263" t="n">
        <v>0</v>
      </c>
      <c r="L1263" t="n">
        <v>0.534</v>
      </c>
      <c r="M1263" t="n">
        <v>0.466</v>
      </c>
    </row>
    <row r="1264" spans="1:13">
      <c r="A1264" s="1">
        <f>HYPERLINK("http://www.twitter.com/NathanBLawrence/status/839806707861704704", "839806707861704704")</f>
        <v/>
      </c>
      <c r="B1264" s="2" t="n">
        <v>42803.49648148148</v>
      </c>
      <c r="C1264" t="n">
        <v>0</v>
      </c>
      <c r="D1264" t="n">
        <v>0</v>
      </c>
      <c r="E1264" t="s">
        <v>1270</v>
      </c>
      <c r="F1264" t="s"/>
      <c r="G1264" t="s"/>
      <c r="H1264" t="s"/>
      <c r="I1264" t="s"/>
      <c r="J1264" t="n">
        <v>0.7003</v>
      </c>
      <c r="K1264" t="n">
        <v>0</v>
      </c>
      <c r="L1264" t="n">
        <v>0.707</v>
      </c>
      <c r="M1264" t="n">
        <v>0.293</v>
      </c>
    </row>
    <row r="1265" spans="1:13">
      <c r="A1265" s="1">
        <f>HYPERLINK("http://www.twitter.com/NathanBLawrence/status/839503729074274305", "839503729074274305")</f>
        <v/>
      </c>
      <c r="B1265" s="2" t="n">
        <v>42802.66041666667</v>
      </c>
      <c r="C1265" t="n">
        <v>4</v>
      </c>
      <c r="D1265" t="n">
        <v>2</v>
      </c>
      <c r="E1265" t="s">
        <v>1271</v>
      </c>
      <c r="F1265" t="s"/>
      <c r="G1265" t="s"/>
      <c r="H1265" t="s"/>
      <c r="I1265" t="s"/>
      <c r="J1265" t="n">
        <v>-0.3291</v>
      </c>
      <c r="K1265" t="n">
        <v>0.227</v>
      </c>
      <c r="L1265" t="n">
        <v>0.773</v>
      </c>
      <c r="M1265" t="n">
        <v>0</v>
      </c>
    </row>
    <row r="1266" spans="1:13">
      <c r="A1266" s="1">
        <f>HYPERLINK("http://www.twitter.com/NathanBLawrence/status/839503301813157888", "839503301813157888")</f>
        <v/>
      </c>
      <c r="B1266" s="2" t="n">
        <v>42802.65924768519</v>
      </c>
      <c r="C1266" t="n">
        <v>0</v>
      </c>
      <c r="D1266" t="n">
        <v>562</v>
      </c>
      <c r="E1266" t="s">
        <v>1272</v>
      </c>
      <c r="F1266" t="s"/>
      <c r="G1266" t="s"/>
      <c r="H1266" t="s"/>
      <c r="I1266" t="s"/>
      <c r="J1266" t="n">
        <v>-0.2148</v>
      </c>
      <c r="K1266" t="n">
        <v>0.09</v>
      </c>
      <c r="L1266" t="n">
        <v>0.858</v>
      </c>
      <c r="M1266" t="n">
        <v>0.052</v>
      </c>
    </row>
    <row r="1267" spans="1:13">
      <c r="A1267" s="1">
        <f>HYPERLINK("http://www.twitter.com/NathanBLawrence/status/839503010447392772", "839503010447392772")</f>
        <v/>
      </c>
      <c r="B1267" s="2" t="n">
        <v>42802.6584375</v>
      </c>
      <c r="C1267" t="n">
        <v>5</v>
      </c>
      <c r="D1267" t="n">
        <v>5</v>
      </c>
      <c r="E1267" t="s">
        <v>1273</v>
      </c>
      <c r="F1267">
        <f>HYPERLINK("http://pbs.twimg.com/media/C6aDiGNU0AApm4n.jpg", "http://pbs.twimg.com/media/C6aDiGNU0AApm4n.jpg")</f>
        <v/>
      </c>
      <c r="G1267" t="s"/>
      <c r="H1267" t="s"/>
      <c r="I1267" t="s"/>
      <c r="J1267" t="n">
        <v>0</v>
      </c>
      <c r="K1267" t="n">
        <v>0</v>
      </c>
      <c r="L1267" t="n">
        <v>1</v>
      </c>
      <c r="M1267" t="n">
        <v>0</v>
      </c>
    </row>
    <row r="1268" spans="1:13">
      <c r="A1268" s="1">
        <f>HYPERLINK("http://www.twitter.com/NathanBLawrence/status/839501331291328519", "839501331291328519")</f>
        <v/>
      </c>
      <c r="B1268" s="2" t="n">
        <v>42802.65380787037</v>
      </c>
      <c r="C1268" t="n">
        <v>4</v>
      </c>
      <c r="D1268" t="n">
        <v>2</v>
      </c>
      <c r="E1268" t="s">
        <v>1274</v>
      </c>
      <c r="F1268" t="s"/>
      <c r="G1268" t="s"/>
      <c r="H1268" t="s"/>
      <c r="I1268" t="s"/>
      <c r="J1268" t="n">
        <v>-0.4522</v>
      </c>
      <c r="K1268" t="n">
        <v>0.148</v>
      </c>
      <c r="L1268" t="n">
        <v>0.852</v>
      </c>
      <c r="M1268" t="n">
        <v>0</v>
      </c>
    </row>
    <row r="1269" spans="1:13">
      <c r="A1269" s="1">
        <f>HYPERLINK("http://www.twitter.com/NathanBLawrence/status/839500350382043138", "839500350382043138")</f>
        <v/>
      </c>
      <c r="B1269" s="2" t="n">
        <v>42802.65109953703</v>
      </c>
      <c r="C1269" t="n">
        <v>1</v>
      </c>
      <c r="D1269" t="n">
        <v>0</v>
      </c>
      <c r="E1269" t="s">
        <v>1275</v>
      </c>
      <c r="F1269" t="s"/>
      <c r="G1269" t="s"/>
      <c r="H1269" t="s"/>
      <c r="I1269" t="s"/>
      <c r="J1269" t="n">
        <v>0.5842000000000001</v>
      </c>
      <c r="K1269" t="n">
        <v>0</v>
      </c>
      <c r="L1269" t="n">
        <v>0.758</v>
      </c>
      <c r="M1269" t="n">
        <v>0.242</v>
      </c>
    </row>
    <row r="1270" spans="1:13">
      <c r="A1270" s="1">
        <f>HYPERLINK("http://www.twitter.com/NathanBLawrence/status/839311452234264577", "839311452234264577")</f>
        <v/>
      </c>
      <c r="B1270" s="2" t="n">
        <v>42802.12983796297</v>
      </c>
      <c r="C1270" t="n">
        <v>0</v>
      </c>
      <c r="D1270" t="n">
        <v>2317</v>
      </c>
      <c r="E1270" t="s">
        <v>1276</v>
      </c>
      <c r="F1270" t="s"/>
      <c r="G1270" t="s"/>
      <c r="H1270" t="s"/>
      <c r="I1270" t="s"/>
      <c r="J1270" t="n">
        <v>-0.3818</v>
      </c>
      <c r="K1270" t="n">
        <v>0.242</v>
      </c>
      <c r="L1270" t="n">
        <v>0.615</v>
      </c>
      <c r="M1270" t="n">
        <v>0.142</v>
      </c>
    </row>
    <row r="1271" spans="1:13">
      <c r="A1271" s="1">
        <f>HYPERLINK("http://www.twitter.com/NathanBLawrence/status/839307095954632704", "839307095954632704")</f>
        <v/>
      </c>
      <c r="B1271" s="2" t="n">
        <v>42802.1178125</v>
      </c>
      <c r="C1271" t="n">
        <v>0</v>
      </c>
      <c r="D1271" t="n">
        <v>5870</v>
      </c>
      <c r="E1271" t="s">
        <v>1277</v>
      </c>
      <c r="F1271">
        <f>HYPERLINK("http://pbs.twimg.com/media/C6V4pUPXQAEU0Tl.jpg", "http://pbs.twimg.com/media/C6V4pUPXQAEU0Tl.jpg")</f>
        <v/>
      </c>
      <c r="G1271" t="s"/>
      <c r="H1271" t="s"/>
      <c r="I1271" t="s"/>
      <c r="J1271" t="n">
        <v>0</v>
      </c>
      <c r="K1271" t="n">
        <v>0</v>
      </c>
      <c r="L1271" t="n">
        <v>1</v>
      </c>
      <c r="M1271" t="n">
        <v>0</v>
      </c>
    </row>
    <row r="1272" spans="1:13">
      <c r="A1272" s="1">
        <f>HYPERLINK("http://www.twitter.com/NathanBLawrence/status/839306772666011648", "839306772666011648")</f>
        <v/>
      </c>
      <c r="B1272" s="2" t="n">
        <v>42802.1169212963</v>
      </c>
      <c r="C1272" t="n">
        <v>0</v>
      </c>
      <c r="D1272" t="n">
        <v>3612</v>
      </c>
      <c r="E1272" t="s">
        <v>1278</v>
      </c>
      <c r="F1272" t="s"/>
      <c r="G1272" t="s"/>
      <c r="H1272" t="s"/>
      <c r="I1272" t="s"/>
      <c r="J1272" t="n">
        <v>-0.296</v>
      </c>
      <c r="K1272" t="n">
        <v>0.08699999999999999</v>
      </c>
      <c r="L1272" t="n">
        <v>0.913</v>
      </c>
      <c r="M1272" t="n">
        <v>0</v>
      </c>
    </row>
    <row r="1273" spans="1:13">
      <c r="A1273" s="1">
        <f>HYPERLINK("http://www.twitter.com/NathanBLawrence/status/839300641738608640", "839300641738608640")</f>
        <v/>
      </c>
      <c r="B1273" s="2" t="n">
        <v>42802.10001157408</v>
      </c>
      <c r="C1273" t="n">
        <v>1</v>
      </c>
      <c r="D1273" t="n">
        <v>1</v>
      </c>
      <c r="E1273" t="s">
        <v>1279</v>
      </c>
      <c r="F1273" t="s"/>
      <c r="G1273" t="s"/>
      <c r="H1273" t="s"/>
      <c r="I1273" t="s"/>
      <c r="J1273" t="n">
        <v>0.3612</v>
      </c>
      <c r="K1273" t="n">
        <v>0</v>
      </c>
      <c r="L1273" t="n">
        <v>0.898</v>
      </c>
      <c r="M1273" t="n">
        <v>0.102</v>
      </c>
    </row>
    <row r="1274" spans="1:13">
      <c r="A1274" s="1">
        <f>HYPERLINK("http://www.twitter.com/NathanBLawrence/status/839300139810439172", "839300139810439172")</f>
        <v/>
      </c>
      <c r="B1274" s="2" t="n">
        <v>42802.09862268518</v>
      </c>
      <c r="C1274" t="n">
        <v>1</v>
      </c>
      <c r="D1274" t="n">
        <v>1</v>
      </c>
      <c r="E1274" t="s">
        <v>1280</v>
      </c>
      <c r="F1274" t="s"/>
      <c r="G1274" t="s"/>
      <c r="H1274" t="s"/>
      <c r="I1274" t="s"/>
      <c r="J1274" t="n">
        <v>-0.3149</v>
      </c>
      <c r="K1274" t="n">
        <v>0.246</v>
      </c>
      <c r="L1274" t="n">
        <v>0.754</v>
      </c>
      <c r="M1274" t="n">
        <v>0</v>
      </c>
    </row>
    <row r="1275" spans="1:13">
      <c r="A1275" s="1">
        <f>HYPERLINK("http://www.twitter.com/NathanBLawrence/status/839299775992381440", "839299775992381440")</f>
        <v/>
      </c>
      <c r="B1275" s="2" t="n">
        <v>42802.09761574074</v>
      </c>
      <c r="C1275" t="n">
        <v>1</v>
      </c>
      <c r="D1275" t="n">
        <v>1</v>
      </c>
      <c r="E1275" t="s">
        <v>1281</v>
      </c>
      <c r="F1275" t="s"/>
      <c r="G1275" t="s"/>
      <c r="H1275" t="s"/>
      <c r="I1275" t="s"/>
      <c r="J1275" t="n">
        <v>0.6249</v>
      </c>
      <c r="K1275" t="n">
        <v>0</v>
      </c>
      <c r="L1275" t="n">
        <v>0.796</v>
      </c>
      <c r="M1275" t="n">
        <v>0.204</v>
      </c>
    </row>
    <row r="1276" spans="1:13">
      <c r="A1276" s="1">
        <f>HYPERLINK("http://www.twitter.com/NathanBLawrence/status/839299334281768960", "839299334281768960")</f>
        <v/>
      </c>
      <c r="B1276" s="2" t="n">
        <v>42802.09640046296</v>
      </c>
      <c r="C1276" t="n">
        <v>1</v>
      </c>
      <c r="D1276" t="n">
        <v>1</v>
      </c>
      <c r="E1276" t="s">
        <v>1282</v>
      </c>
      <c r="F1276" t="s"/>
      <c r="G1276" t="s"/>
      <c r="H1276" t="s"/>
      <c r="I1276" t="s"/>
      <c r="J1276" t="n">
        <v>-0.4215</v>
      </c>
      <c r="K1276" t="n">
        <v>0.141</v>
      </c>
      <c r="L1276" t="n">
        <v>0.859</v>
      </c>
      <c r="M1276" t="n">
        <v>0</v>
      </c>
    </row>
    <row r="1277" spans="1:13">
      <c r="A1277" s="1">
        <f>HYPERLINK("http://www.twitter.com/NathanBLawrence/status/839296827765719040", "839296827765719040")</f>
        <v/>
      </c>
      <c r="B1277" s="2" t="n">
        <v>42802.08947916667</v>
      </c>
      <c r="C1277" t="n">
        <v>0</v>
      </c>
      <c r="D1277" t="n">
        <v>4300</v>
      </c>
      <c r="E1277" t="s">
        <v>1283</v>
      </c>
      <c r="F1277" t="s"/>
      <c r="G1277" t="s"/>
      <c r="H1277" t="s"/>
      <c r="I1277" t="s"/>
      <c r="J1277" t="n">
        <v>0</v>
      </c>
      <c r="K1277" t="n">
        <v>0</v>
      </c>
      <c r="L1277" t="n">
        <v>1</v>
      </c>
      <c r="M1277" t="n">
        <v>0</v>
      </c>
    </row>
    <row r="1278" spans="1:13">
      <c r="A1278" s="1">
        <f>HYPERLINK("http://www.twitter.com/NathanBLawrence/status/839245228309639168", "839245228309639168")</f>
        <v/>
      </c>
      <c r="B1278" s="2" t="n">
        <v>42801.94709490741</v>
      </c>
      <c r="C1278" t="n">
        <v>0</v>
      </c>
      <c r="D1278" t="n">
        <v>5466</v>
      </c>
      <c r="E1278" t="s">
        <v>1284</v>
      </c>
      <c r="F1278">
        <f>HYPERLINK("http://pbs.twimg.com/media/C6V0gKOXEAEypWR.jpg", "http://pbs.twimg.com/media/C6V0gKOXEAEypWR.jpg")</f>
        <v/>
      </c>
      <c r="G1278" t="s"/>
      <c r="H1278" t="s"/>
      <c r="I1278" t="s"/>
      <c r="J1278" t="n">
        <v>0.6947</v>
      </c>
      <c r="K1278" t="n">
        <v>0</v>
      </c>
      <c r="L1278" t="n">
        <v>0.768</v>
      </c>
      <c r="M1278" t="n">
        <v>0.232</v>
      </c>
    </row>
    <row r="1279" spans="1:13">
      <c r="A1279" s="1">
        <f>HYPERLINK("http://www.twitter.com/NathanBLawrence/status/839243781169942528", "839243781169942528")</f>
        <v/>
      </c>
      <c r="B1279" s="2" t="n">
        <v>42801.94310185185</v>
      </c>
      <c r="C1279" t="n">
        <v>0</v>
      </c>
      <c r="D1279" t="n">
        <v>3792</v>
      </c>
      <c r="E1279" t="s">
        <v>1285</v>
      </c>
      <c r="F1279">
        <f>HYPERLINK("http://pbs.twimg.com/media/C6VleepXQAA8tPQ.jpg", "http://pbs.twimg.com/media/C6VleepXQAA8tPQ.jpg")</f>
        <v/>
      </c>
      <c r="G1279" t="s"/>
      <c r="H1279" t="s"/>
      <c r="I1279" t="s"/>
      <c r="J1279" t="n">
        <v>0</v>
      </c>
      <c r="K1279" t="n">
        <v>0</v>
      </c>
      <c r="L1279" t="n">
        <v>1</v>
      </c>
      <c r="M1279" t="n">
        <v>0</v>
      </c>
    </row>
    <row r="1280" spans="1:13">
      <c r="A1280" s="1">
        <f>HYPERLINK("http://www.twitter.com/NathanBLawrence/status/839243289647857665", "839243289647857665")</f>
        <v/>
      </c>
      <c r="B1280" s="2" t="n">
        <v>42801.94174768519</v>
      </c>
      <c r="C1280" t="n">
        <v>0</v>
      </c>
      <c r="D1280" t="n">
        <v>4609</v>
      </c>
      <c r="E1280" t="s">
        <v>1286</v>
      </c>
      <c r="F1280">
        <f>HYPERLINK("http://pbs.twimg.com/media/C6VkGDnWQAIGUM5.jpg", "http://pbs.twimg.com/media/C6VkGDnWQAIGUM5.jpg")</f>
        <v/>
      </c>
      <c r="G1280" t="s"/>
      <c r="H1280" t="s"/>
      <c r="I1280" t="s"/>
      <c r="J1280" t="n">
        <v>0.0191</v>
      </c>
      <c r="K1280" t="n">
        <v>0.057</v>
      </c>
      <c r="L1280" t="n">
        <v>0.883</v>
      </c>
      <c r="M1280" t="n">
        <v>0.06</v>
      </c>
    </row>
    <row r="1281" spans="1:13">
      <c r="A1281" s="1">
        <f>HYPERLINK("http://www.twitter.com/NathanBLawrence/status/839149083889709057", "839149083889709057")</f>
        <v/>
      </c>
      <c r="B1281" s="2" t="n">
        <v>42801.68178240741</v>
      </c>
      <c r="C1281" t="n">
        <v>0</v>
      </c>
      <c r="D1281" t="n">
        <v>6145</v>
      </c>
      <c r="E1281" t="s">
        <v>1287</v>
      </c>
      <c r="F1281">
        <f>HYPERLINK("http://pbs.twimg.com/media/C6UzwKKWMAETxaT.jpg", "http://pbs.twimg.com/media/C6UzwKKWMAETxaT.jpg")</f>
        <v/>
      </c>
      <c r="G1281" t="s"/>
      <c r="H1281" t="s"/>
      <c r="I1281" t="s"/>
      <c r="J1281" t="n">
        <v>-0.3182</v>
      </c>
      <c r="K1281" t="n">
        <v>0.126</v>
      </c>
      <c r="L1281" t="n">
        <v>0.874</v>
      </c>
      <c r="M1281" t="n">
        <v>0</v>
      </c>
    </row>
    <row r="1282" spans="1:13">
      <c r="A1282" s="1">
        <f>HYPERLINK("http://www.twitter.com/NathanBLawrence/status/839149061064228864", "839149061064228864")</f>
        <v/>
      </c>
      <c r="B1282" s="2" t="n">
        <v>42801.68172453704</v>
      </c>
      <c r="C1282" t="n">
        <v>0</v>
      </c>
      <c r="D1282" t="n">
        <v>8102</v>
      </c>
      <c r="E1282" t="s">
        <v>1288</v>
      </c>
      <c r="F1282" t="s"/>
      <c r="G1282" t="s"/>
      <c r="H1282" t="s"/>
      <c r="I1282" t="s"/>
      <c r="J1282" t="n">
        <v>0.5574</v>
      </c>
      <c r="K1282" t="n">
        <v>0.06</v>
      </c>
      <c r="L1282" t="n">
        <v>0.726</v>
      </c>
      <c r="M1282" t="n">
        <v>0.214</v>
      </c>
    </row>
    <row r="1283" spans="1:13">
      <c r="A1283" s="1">
        <f>HYPERLINK("http://www.twitter.com/NathanBLawrence/status/839149014352289792", "839149014352289792")</f>
        <v/>
      </c>
      <c r="B1283" s="2" t="n">
        <v>42801.68159722222</v>
      </c>
      <c r="C1283" t="n">
        <v>0</v>
      </c>
      <c r="D1283" t="n">
        <v>4934</v>
      </c>
      <c r="E1283" t="s">
        <v>1289</v>
      </c>
      <c r="F1283">
        <f>HYPERLINK("http://pbs.twimg.com/media/C6Ue7KNXQAIdZMP.jpg", "http://pbs.twimg.com/media/C6Ue7KNXQAIdZMP.jpg")</f>
        <v/>
      </c>
      <c r="G1283" t="s"/>
      <c r="H1283" t="s"/>
      <c r="I1283" t="s"/>
      <c r="J1283" t="n">
        <v>-0.7003</v>
      </c>
      <c r="K1283" t="n">
        <v>0.298</v>
      </c>
      <c r="L1283" t="n">
        <v>0.702</v>
      </c>
      <c r="M1283" t="n">
        <v>0</v>
      </c>
    </row>
    <row r="1284" spans="1:13">
      <c r="A1284" s="1">
        <f>HYPERLINK("http://www.twitter.com/NathanBLawrence/status/839148217233178625", "839148217233178625")</f>
        <v/>
      </c>
      <c r="B1284" s="2" t="n">
        <v>42801.67939814815</v>
      </c>
      <c r="C1284" t="n">
        <v>0</v>
      </c>
      <c r="D1284" t="n">
        <v>3369</v>
      </c>
      <c r="E1284" t="s">
        <v>1290</v>
      </c>
      <c r="F1284">
        <f>HYPERLINK("http://pbs.twimg.com/media/C6U9sjBWMAEUNXy.jpg", "http://pbs.twimg.com/media/C6U9sjBWMAEUNXy.jpg")</f>
        <v/>
      </c>
      <c r="G1284" t="s"/>
      <c r="H1284" t="s"/>
      <c r="I1284" t="s"/>
      <c r="J1284" t="n">
        <v>0</v>
      </c>
      <c r="K1284" t="n">
        <v>0</v>
      </c>
      <c r="L1284" t="n">
        <v>1</v>
      </c>
      <c r="M1284" t="n">
        <v>0</v>
      </c>
    </row>
    <row r="1285" spans="1:13">
      <c r="A1285" s="1">
        <f>HYPERLINK("http://www.twitter.com/NathanBLawrence/status/839147229097127936", "839147229097127936")</f>
        <v/>
      </c>
      <c r="B1285" s="2" t="n">
        <v>42801.67666666667</v>
      </c>
      <c r="C1285" t="n">
        <v>0</v>
      </c>
      <c r="D1285" t="n">
        <v>30</v>
      </c>
      <c r="E1285" t="s">
        <v>1291</v>
      </c>
      <c r="F1285">
        <f>HYPERLINK("http://pbs.twimg.com/media/C6U0mNTUsAAZk3R.jpg", "http://pbs.twimg.com/media/C6U0mNTUsAAZk3R.jpg")</f>
        <v/>
      </c>
      <c r="G1285" t="s"/>
      <c r="H1285" t="s"/>
      <c r="I1285" t="s"/>
      <c r="J1285" t="n">
        <v>0.296</v>
      </c>
      <c r="K1285" t="n">
        <v>0</v>
      </c>
      <c r="L1285" t="n">
        <v>0.694</v>
      </c>
      <c r="M1285" t="n">
        <v>0.306</v>
      </c>
    </row>
    <row r="1286" spans="1:13">
      <c r="A1286" s="1">
        <f>HYPERLINK("http://www.twitter.com/NathanBLawrence/status/839147047374708736", "839147047374708736")</f>
        <v/>
      </c>
      <c r="B1286" s="2" t="n">
        <v>42801.67616898148</v>
      </c>
      <c r="C1286" t="n">
        <v>2</v>
      </c>
      <c r="D1286" t="n">
        <v>2</v>
      </c>
      <c r="E1286" t="s">
        <v>1292</v>
      </c>
      <c r="F1286" t="s"/>
      <c r="G1286" t="s"/>
      <c r="H1286" t="s"/>
      <c r="I1286" t="s"/>
      <c r="J1286" t="n">
        <v>0.4215</v>
      </c>
      <c r="K1286" t="n">
        <v>0</v>
      </c>
      <c r="L1286" t="n">
        <v>0.797</v>
      </c>
      <c r="M1286" t="n">
        <v>0.203</v>
      </c>
    </row>
    <row r="1287" spans="1:13">
      <c r="A1287" s="1">
        <f>HYPERLINK("http://www.twitter.com/NathanBLawrence/status/839144826192941056", "839144826192941056")</f>
        <v/>
      </c>
      <c r="B1287" s="2" t="n">
        <v>42801.67003472222</v>
      </c>
      <c r="C1287" t="n">
        <v>2</v>
      </c>
      <c r="D1287" t="n">
        <v>1</v>
      </c>
      <c r="E1287" t="s">
        <v>1293</v>
      </c>
      <c r="F1287" t="s"/>
      <c r="G1287" t="s"/>
      <c r="H1287" t="s"/>
      <c r="I1287" t="s"/>
      <c r="J1287" t="n">
        <v>0.658</v>
      </c>
      <c r="K1287" t="n">
        <v>0</v>
      </c>
      <c r="L1287" t="n">
        <v>0.732</v>
      </c>
      <c r="M1287" t="n">
        <v>0.268</v>
      </c>
    </row>
    <row r="1288" spans="1:13">
      <c r="A1288" s="1">
        <f>HYPERLINK("http://www.twitter.com/NathanBLawrence/status/838948548800561152", "838948548800561152")</f>
        <v/>
      </c>
      <c r="B1288" s="2" t="n">
        <v>42801.12841435185</v>
      </c>
      <c r="C1288" t="n">
        <v>0</v>
      </c>
      <c r="D1288" t="n">
        <v>1</v>
      </c>
      <c r="E1288" t="s">
        <v>1294</v>
      </c>
      <c r="F1288">
        <f>HYPERLINK("http://pbs.twimg.com/media/C6SHsUSXQAAWERR.jpg", "http://pbs.twimg.com/media/C6SHsUSXQAAWERR.jpg")</f>
        <v/>
      </c>
      <c r="G1288" t="s"/>
      <c r="H1288" t="s"/>
      <c r="I1288" t="s"/>
      <c r="J1288" t="n">
        <v>0</v>
      </c>
      <c r="K1288" t="n">
        <v>0</v>
      </c>
      <c r="L1288" t="n">
        <v>1</v>
      </c>
      <c r="M1288" t="n">
        <v>0</v>
      </c>
    </row>
    <row r="1289" spans="1:13">
      <c r="A1289" s="1">
        <f>HYPERLINK("http://www.twitter.com/NathanBLawrence/status/838944735406489600", "838944735406489600")</f>
        <v/>
      </c>
      <c r="B1289" s="2" t="n">
        <v>42801.11789351852</v>
      </c>
      <c r="C1289" t="n">
        <v>0</v>
      </c>
      <c r="D1289" t="n">
        <v>0</v>
      </c>
      <c r="E1289" t="s">
        <v>1295</v>
      </c>
      <c r="F1289" t="s"/>
      <c r="G1289" t="s"/>
      <c r="H1289" t="s"/>
      <c r="I1289" t="s"/>
      <c r="J1289" t="n">
        <v>0.4753</v>
      </c>
      <c r="K1289" t="n">
        <v>0</v>
      </c>
      <c r="L1289" t="n">
        <v>0.66</v>
      </c>
      <c r="M1289" t="n">
        <v>0.34</v>
      </c>
    </row>
    <row r="1290" spans="1:13">
      <c r="A1290" s="1">
        <f>HYPERLINK("http://www.twitter.com/NathanBLawrence/status/838938333472518145", "838938333472518145")</f>
        <v/>
      </c>
      <c r="B1290" s="2" t="n">
        <v>42801.10023148148</v>
      </c>
      <c r="C1290" t="n">
        <v>0</v>
      </c>
      <c r="D1290" t="n">
        <v>1949</v>
      </c>
      <c r="E1290" t="s">
        <v>1296</v>
      </c>
      <c r="F1290" t="s"/>
      <c r="G1290" t="s"/>
      <c r="H1290" t="s"/>
      <c r="I1290" t="s"/>
      <c r="J1290" t="n">
        <v>-0.5562</v>
      </c>
      <c r="K1290" t="n">
        <v>0.152</v>
      </c>
      <c r="L1290" t="n">
        <v>0.848</v>
      </c>
      <c r="M1290" t="n">
        <v>0</v>
      </c>
    </row>
    <row r="1291" spans="1:13">
      <c r="A1291" s="1">
        <f>HYPERLINK("http://www.twitter.com/NathanBLawrence/status/838923634785808384", "838923634785808384")</f>
        <v/>
      </c>
      <c r="B1291" s="2" t="n">
        <v>42801.05966435185</v>
      </c>
      <c r="C1291" t="n">
        <v>0</v>
      </c>
      <c r="D1291" t="n">
        <v>0</v>
      </c>
      <c r="E1291" t="s">
        <v>1297</v>
      </c>
      <c r="F1291" t="s"/>
      <c r="G1291" t="s"/>
      <c r="H1291" t="s"/>
      <c r="I1291" t="s"/>
      <c r="J1291" t="n">
        <v>-0.296</v>
      </c>
      <c r="K1291" t="n">
        <v>0.239</v>
      </c>
      <c r="L1291" t="n">
        <v>0.761</v>
      </c>
      <c r="M1291" t="n">
        <v>0</v>
      </c>
    </row>
    <row r="1292" spans="1:13">
      <c r="A1292" s="1">
        <f>HYPERLINK("http://www.twitter.com/NathanBLawrence/status/838922191131578368", "838922191131578368")</f>
        <v/>
      </c>
      <c r="B1292" s="2" t="n">
        <v>42801.05568287037</v>
      </c>
      <c r="C1292" t="n">
        <v>0</v>
      </c>
      <c r="D1292" t="n">
        <v>179</v>
      </c>
      <c r="E1292" t="s">
        <v>1298</v>
      </c>
      <c r="F1292" t="s"/>
      <c r="G1292" t="s"/>
      <c r="H1292" t="s"/>
      <c r="I1292" t="s"/>
      <c r="J1292" t="n">
        <v>0</v>
      </c>
      <c r="K1292" t="n">
        <v>0</v>
      </c>
      <c r="L1292" t="n">
        <v>1</v>
      </c>
      <c r="M1292" t="n">
        <v>0</v>
      </c>
    </row>
    <row r="1293" spans="1:13">
      <c r="A1293" s="1">
        <f>HYPERLINK("http://www.twitter.com/NathanBLawrence/status/838898123351146496", "838898123351146496")</f>
        <v/>
      </c>
      <c r="B1293" s="2" t="n">
        <v>42800.98927083334</v>
      </c>
      <c r="C1293" t="n">
        <v>0</v>
      </c>
      <c r="D1293" t="n">
        <v>1550</v>
      </c>
      <c r="E1293" t="s">
        <v>1299</v>
      </c>
      <c r="F1293">
        <f>HYPERLINK("http://pbs.twimg.com/media/C6RXfdtWQAAUpM-.jpg", "http://pbs.twimg.com/media/C6RXfdtWQAAUpM-.jpg")</f>
        <v/>
      </c>
      <c r="G1293" t="s"/>
      <c r="H1293" t="s"/>
      <c r="I1293" t="s"/>
      <c r="J1293" t="n">
        <v>0.4939</v>
      </c>
      <c r="K1293" t="n">
        <v>0</v>
      </c>
      <c r="L1293" t="n">
        <v>0.789</v>
      </c>
      <c r="M1293" t="n">
        <v>0.211</v>
      </c>
    </row>
    <row r="1294" spans="1:13">
      <c r="A1294" s="1">
        <f>HYPERLINK("http://www.twitter.com/NathanBLawrence/status/838884251051442176", "838884251051442176")</f>
        <v/>
      </c>
      <c r="B1294" s="2" t="n">
        <v>42800.9509837963</v>
      </c>
      <c r="C1294" t="n">
        <v>0</v>
      </c>
      <c r="D1294" t="n">
        <v>739</v>
      </c>
      <c r="E1294" t="s">
        <v>1300</v>
      </c>
      <c r="F1294" t="s"/>
      <c r="G1294" t="s"/>
      <c r="H1294" t="s"/>
      <c r="I1294" t="s"/>
      <c r="J1294" t="n">
        <v>-0.5334</v>
      </c>
      <c r="K1294" t="n">
        <v>0.175</v>
      </c>
      <c r="L1294" t="n">
        <v>0.825</v>
      </c>
      <c r="M1294" t="n">
        <v>0</v>
      </c>
    </row>
    <row r="1295" spans="1:13">
      <c r="A1295" s="1">
        <f>HYPERLINK("http://www.twitter.com/NathanBLawrence/status/838884204259704833", "838884204259704833")</f>
        <v/>
      </c>
      <c r="B1295" s="2" t="n">
        <v>42800.95085648148</v>
      </c>
      <c r="C1295" t="n">
        <v>0</v>
      </c>
      <c r="D1295" t="n">
        <v>741</v>
      </c>
      <c r="E1295" t="s">
        <v>1301</v>
      </c>
      <c r="F1295" t="s"/>
      <c r="G1295" t="s"/>
      <c r="H1295" t="s"/>
      <c r="I1295" t="s"/>
      <c r="J1295" t="n">
        <v>-0.4019</v>
      </c>
      <c r="K1295" t="n">
        <v>0.188</v>
      </c>
      <c r="L1295" t="n">
        <v>0.8120000000000001</v>
      </c>
      <c r="M1295" t="n">
        <v>0</v>
      </c>
    </row>
    <row r="1296" spans="1:13">
      <c r="A1296" s="1">
        <f>HYPERLINK("http://www.twitter.com/NathanBLawrence/status/838884164099325952", "838884164099325952")</f>
        <v/>
      </c>
      <c r="B1296" s="2" t="n">
        <v>42800.95075231481</v>
      </c>
      <c r="C1296" t="n">
        <v>0</v>
      </c>
      <c r="D1296" t="n">
        <v>2517</v>
      </c>
      <c r="E1296" t="s">
        <v>1302</v>
      </c>
      <c r="F1296" t="s"/>
      <c r="G1296" t="s"/>
      <c r="H1296" t="s"/>
      <c r="I1296" t="s"/>
      <c r="J1296" t="n">
        <v>-0.5106000000000001</v>
      </c>
      <c r="K1296" t="n">
        <v>0.142</v>
      </c>
      <c r="L1296" t="n">
        <v>0.858</v>
      </c>
      <c r="M1296" t="n">
        <v>0</v>
      </c>
    </row>
    <row r="1297" spans="1:13">
      <c r="A1297" s="1">
        <f>HYPERLINK("http://www.twitter.com/NathanBLawrence/status/838780949995347973", "838780949995347973")</f>
        <v/>
      </c>
      <c r="B1297" s="2" t="n">
        <v>42800.66592592592</v>
      </c>
      <c r="C1297" t="n">
        <v>0</v>
      </c>
      <c r="D1297" t="n">
        <v>1654</v>
      </c>
      <c r="E1297" t="s">
        <v>1303</v>
      </c>
      <c r="F1297">
        <f>HYPERLINK("http://pbs.twimg.com/media/C6PZTuGU4AQ_SKH.jpg", "http://pbs.twimg.com/media/C6PZTuGU4AQ_SKH.jpg")</f>
        <v/>
      </c>
      <c r="G1297" t="s"/>
      <c r="H1297" t="s"/>
      <c r="I1297" t="s"/>
      <c r="J1297" t="n">
        <v>0.7227</v>
      </c>
      <c r="K1297" t="n">
        <v>0</v>
      </c>
      <c r="L1297" t="n">
        <v>0.799</v>
      </c>
      <c r="M1297" t="n">
        <v>0.201</v>
      </c>
    </row>
    <row r="1298" spans="1:13">
      <c r="A1298" s="1">
        <f>HYPERLINK("http://www.twitter.com/NathanBLawrence/status/838779677737107457", "838779677737107457")</f>
        <v/>
      </c>
      <c r="B1298" s="2" t="n">
        <v>42800.66241898148</v>
      </c>
      <c r="C1298" t="n">
        <v>0</v>
      </c>
      <c r="D1298" t="n">
        <v>268</v>
      </c>
      <c r="E1298" t="s">
        <v>1304</v>
      </c>
      <c r="F1298">
        <f>HYPERLINK("http://pbs.twimg.com/media/C6PQ5ZDU8AAoJCs.jpg", "http://pbs.twimg.com/media/C6PQ5ZDU8AAoJCs.jpg")</f>
        <v/>
      </c>
      <c r="G1298" t="s"/>
      <c r="H1298" t="s"/>
      <c r="I1298" t="s"/>
      <c r="J1298" t="n">
        <v>0</v>
      </c>
      <c r="K1298" t="n">
        <v>0</v>
      </c>
      <c r="L1298" t="n">
        <v>1</v>
      </c>
      <c r="M1298" t="n">
        <v>0</v>
      </c>
    </row>
    <row r="1299" spans="1:13">
      <c r="A1299" s="1">
        <f>HYPERLINK("http://www.twitter.com/NathanBLawrence/status/838779597948915712", "838779597948915712")</f>
        <v/>
      </c>
      <c r="B1299" s="2" t="n">
        <v>42800.66219907408</v>
      </c>
      <c r="C1299" t="n">
        <v>0</v>
      </c>
      <c r="D1299" t="n">
        <v>113</v>
      </c>
      <c r="E1299" t="s">
        <v>1305</v>
      </c>
      <c r="F1299">
        <f>HYPERLINK("http://pbs.twimg.com/media/C6PV9j1VAAENDZS.jpg", "http://pbs.twimg.com/media/C6PV9j1VAAENDZS.jpg")</f>
        <v/>
      </c>
      <c r="G1299" t="s"/>
      <c r="H1299" t="s"/>
      <c r="I1299" t="s"/>
      <c r="J1299" t="n">
        <v>0.0258</v>
      </c>
      <c r="K1299" t="n">
        <v>0.124</v>
      </c>
      <c r="L1299" t="n">
        <v>0.747</v>
      </c>
      <c r="M1299" t="n">
        <v>0.129</v>
      </c>
    </row>
    <row r="1300" spans="1:13">
      <c r="A1300" s="1">
        <f>HYPERLINK("http://www.twitter.com/NathanBLawrence/status/838779501395984385", "838779501395984385")</f>
        <v/>
      </c>
      <c r="B1300" s="2" t="n">
        <v>42800.66193287037</v>
      </c>
      <c r="C1300" t="n">
        <v>0</v>
      </c>
      <c r="D1300" t="n">
        <v>56</v>
      </c>
      <c r="E1300" t="s">
        <v>1306</v>
      </c>
      <c r="F1300" t="s"/>
      <c r="G1300" t="s"/>
      <c r="H1300" t="s"/>
      <c r="I1300" t="s"/>
      <c r="J1300" t="n">
        <v>-0.3182</v>
      </c>
      <c r="K1300" t="n">
        <v>0.141</v>
      </c>
      <c r="L1300" t="n">
        <v>0.859</v>
      </c>
      <c r="M1300" t="n">
        <v>0</v>
      </c>
    </row>
    <row r="1301" spans="1:13">
      <c r="A1301" s="1">
        <f>HYPERLINK("http://www.twitter.com/NathanBLawrence/status/838778657611083776", "838778657611083776")</f>
        <v/>
      </c>
      <c r="B1301" s="2" t="n">
        <v>42800.65960648148</v>
      </c>
      <c r="C1301" t="n">
        <v>0</v>
      </c>
      <c r="D1301" t="n">
        <v>463</v>
      </c>
      <c r="E1301" t="s">
        <v>1307</v>
      </c>
      <c r="F1301" t="s"/>
      <c r="G1301" t="s"/>
      <c r="H1301" t="s"/>
      <c r="I1301" t="s"/>
      <c r="J1301" t="n">
        <v>-0.188</v>
      </c>
      <c r="K1301" t="n">
        <v>0.08799999999999999</v>
      </c>
      <c r="L1301" t="n">
        <v>0.912</v>
      </c>
      <c r="M1301" t="n">
        <v>0</v>
      </c>
    </row>
    <row r="1302" spans="1:13">
      <c r="A1302" s="1">
        <f>HYPERLINK("http://www.twitter.com/NathanBLawrence/status/838731890572029953", "838731890572029953")</f>
        <v/>
      </c>
      <c r="B1302" s="2" t="n">
        <v>42800.53055555555</v>
      </c>
      <c r="C1302" t="n">
        <v>0</v>
      </c>
      <c r="D1302" t="n">
        <v>20714</v>
      </c>
      <c r="E1302" t="s">
        <v>1308</v>
      </c>
      <c r="F1302">
        <f>HYPERLINK("http://pbs.twimg.com/media/C6OFahrUoAI8QAu.jpg", "http://pbs.twimg.com/media/C6OFahrUoAI8QAu.jpg")</f>
        <v/>
      </c>
      <c r="G1302" t="s"/>
      <c r="H1302" t="s"/>
      <c r="I1302" t="s"/>
      <c r="J1302" t="n">
        <v>0</v>
      </c>
      <c r="K1302" t="n">
        <v>0</v>
      </c>
      <c r="L1302" t="n">
        <v>1</v>
      </c>
      <c r="M1302" t="n">
        <v>0</v>
      </c>
    </row>
    <row r="1303" spans="1:13">
      <c r="A1303" s="1">
        <f>HYPERLINK("http://www.twitter.com/NathanBLawrence/status/838586392649347076", "838586392649347076")</f>
        <v/>
      </c>
      <c r="B1303" s="2" t="n">
        <v>42800.12905092593</v>
      </c>
      <c r="C1303" t="n">
        <v>2</v>
      </c>
      <c r="D1303" t="n">
        <v>0</v>
      </c>
      <c r="E1303" t="s">
        <v>1309</v>
      </c>
      <c r="F1303" t="s"/>
      <c r="G1303" t="s"/>
      <c r="H1303" t="s"/>
      <c r="I1303" t="s"/>
      <c r="J1303" t="n">
        <v>0</v>
      </c>
      <c r="K1303" t="n">
        <v>0</v>
      </c>
      <c r="L1303" t="n">
        <v>1</v>
      </c>
      <c r="M1303" t="n">
        <v>0</v>
      </c>
    </row>
    <row r="1304" spans="1:13">
      <c r="A1304" s="1">
        <f>HYPERLINK("http://www.twitter.com/NathanBLawrence/status/838568400267935744", "838568400267935744")</f>
        <v/>
      </c>
      <c r="B1304" s="2" t="n">
        <v>42800.07940972222</v>
      </c>
      <c r="C1304" t="n">
        <v>0</v>
      </c>
      <c r="D1304" t="n">
        <v>2</v>
      </c>
      <c r="E1304" t="s">
        <v>1310</v>
      </c>
      <c r="F1304" t="s"/>
      <c r="G1304" t="s"/>
      <c r="H1304" t="s"/>
      <c r="I1304" t="s"/>
      <c r="J1304" t="n">
        <v>-0.7717000000000001</v>
      </c>
      <c r="K1304" t="n">
        <v>0.358</v>
      </c>
      <c r="L1304" t="n">
        <v>0.642</v>
      </c>
      <c r="M1304" t="n">
        <v>0</v>
      </c>
    </row>
    <row r="1305" spans="1:13">
      <c r="A1305" s="1">
        <f>HYPERLINK("http://www.twitter.com/NathanBLawrence/status/838568356571643904", "838568356571643904")</f>
        <v/>
      </c>
      <c r="B1305" s="2" t="n">
        <v>42800.07928240741</v>
      </c>
      <c r="C1305" t="n">
        <v>0</v>
      </c>
      <c r="D1305" t="n">
        <v>3</v>
      </c>
      <c r="E1305" t="s">
        <v>1311</v>
      </c>
      <c r="F1305">
        <f>HYPERLINK("http://pbs.twimg.com/media/C6MOPFjVUAANTG3.jpg", "http://pbs.twimg.com/media/C6MOPFjVUAANTG3.jpg")</f>
        <v/>
      </c>
      <c r="G1305" t="s"/>
      <c r="H1305" t="s"/>
      <c r="I1305" t="s"/>
      <c r="J1305" t="n">
        <v>0</v>
      </c>
      <c r="K1305" t="n">
        <v>0</v>
      </c>
      <c r="L1305" t="n">
        <v>1</v>
      </c>
      <c r="M1305" t="n">
        <v>0</v>
      </c>
    </row>
    <row r="1306" spans="1:13">
      <c r="A1306" s="1">
        <f>HYPERLINK("http://www.twitter.com/NathanBLawrence/status/838568304298061824", "838568304298061824")</f>
        <v/>
      </c>
      <c r="B1306" s="2" t="n">
        <v>42800.07914351852</v>
      </c>
      <c r="C1306" t="n">
        <v>0</v>
      </c>
      <c r="D1306" t="n">
        <v>1</v>
      </c>
      <c r="E1306" t="s">
        <v>1312</v>
      </c>
      <c r="F1306">
        <f>HYPERLINK("http://pbs.twimg.com/media/C6MSWuVU0AAS7CI.jpg", "http://pbs.twimg.com/media/C6MSWuVU0AAS7CI.jpg")</f>
        <v/>
      </c>
      <c r="G1306" t="s"/>
      <c r="H1306" t="s"/>
      <c r="I1306" t="s"/>
      <c r="J1306" t="n">
        <v>0</v>
      </c>
      <c r="K1306" t="n">
        <v>0</v>
      </c>
      <c r="L1306" t="n">
        <v>1</v>
      </c>
      <c r="M1306" t="n">
        <v>0</v>
      </c>
    </row>
    <row r="1307" spans="1:13">
      <c r="A1307" s="1">
        <f>HYPERLINK("http://www.twitter.com/NathanBLawrence/status/838568286228983808", "838568286228983808")</f>
        <v/>
      </c>
      <c r="B1307" s="2" t="n">
        <v>42800.07908564815</v>
      </c>
      <c r="C1307" t="n">
        <v>0</v>
      </c>
      <c r="D1307" t="n">
        <v>1</v>
      </c>
      <c r="E1307" t="s">
        <v>1313</v>
      </c>
      <c r="F1307" t="s"/>
      <c r="G1307" t="s"/>
      <c r="H1307" t="s"/>
      <c r="I1307" t="s"/>
      <c r="J1307" t="n">
        <v>0</v>
      </c>
      <c r="K1307" t="n">
        <v>0</v>
      </c>
      <c r="L1307" t="n">
        <v>1</v>
      </c>
      <c r="M1307" t="n">
        <v>0</v>
      </c>
    </row>
    <row r="1308" spans="1:13">
      <c r="A1308" s="1">
        <f>HYPERLINK("http://www.twitter.com/NathanBLawrence/status/838567007305990144", "838567007305990144")</f>
        <v/>
      </c>
      <c r="B1308" s="2" t="n">
        <v>42800.07556712963</v>
      </c>
      <c r="C1308" t="n">
        <v>0</v>
      </c>
      <c r="D1308" t="n">
        <v>14</v>
      </c>
      <c r="E1308" t="s">
        <v>1314</v>
      </c>
      <c r="F1308" t="s"/>
      <c r="G1308" t="s"/>
      <c r="H1308" t="s"/>
      <c r="I1308" t="s"/>
      <c r="J1308" t="n">
        <v>-0.4404</v>
      </c>
      <c r="K1308" t="n">
        <v>0.209</v>
      </c>
      <c r="L1308" t="n">
        <v>0.791</v>
      </c>
      <c r="M1308" t="n">
        <v>0</v>
      </c>
    </row>
    <row r="1309" spans="1:13">
      <c r="A1309" s="1">
        <f>HYPERLINK("http://www.twitter.com/NathanBLawrence/status/838480223779885061", "838480223779885061")</f>
        <v/>
      </c>
      <c r="B1309" s="2" t="n">
        <v>42799.83608796296</v>
      </c>
      <c r="C1309" t="n">
        <v>0</v>
      </c>
      <c r="D1309" t="n">
        <v>404</v>
      </c>
      <c r="E1309" t="s">
        <v>1315</v>
      </c>
      <c r="F1309">
        <f>HYPERLINK("http://pbs.twimg.com/media/C6LguFHU0AAZWYq.jpg", "http://pbs.twimg.com/media/C6LguFHU0AAZWYq.jpg")</f>
        <v/>
      </c>
      <c r="G1309" t="s"/>
      <c r="H1309" t="s"/>
      <c r="I1309" t="s"/>
      <c r="J1309" t="n">
        <v>-0.8625</v>
      </c>
      <c r="K1309" t="n">
        <v>0.404</v>
      </c>
      <c r="L1309" t="n">
        <v>0.5</v>
      </c>
      <c r="M1309" t="n">
        <v>0.096</v>
      </c>
    </row>
    <row r="1310" spans="1:13">
      <c r="A1310" s="1">
        <f>HYPERLINK("http://www.twitter.com/NathanBLawrence/status/838386218916319233", "838386218916319233")</f>
        <v/>
      </c>
      <c r="B1310" s="2" t="n">
        <v>42799.57667824074</v>
      </c>
      <c r="C1310" t="n">
        <v>0</v>
      </c>
      <c r="D1310" t="n">
        <v>24790</v>
      </c>
      <c r="E1310" t="s">
        <v>1316</v>
      </c>
      <c r="F1310">
        <f>HYPERLINK("http://pbs.twimg.com/media/C6I7WMKWMAIAiMM.jpg", "http://pbs.twimg.com/media/C6I7WMKWMAIAiMM.jpg")</f>
        <v/>
      </c>
      <c r="G1310" t="s"/>
      <c r="H1310" t="s"/>
      <c r="I1310" t="s"/>
      <c r="J1310" t="n">
        <v>0.4767</v>
      </c>
      <c r="K1310" t="n">
        <v>0</v>
      </c>
      <c r="L1310" t="n">
        <v>0.853</v>
      </c>
      <c r="M1310" t="n">
        <v>0.147</v>
      </c>
    </row>
    <row r="1311" spans="1:13">
      <c r="A1311" s="1">
        <f>HYPERLINK("http://www.twitter.com/NathanBLawrence/status/838175997103046656", "838175997103046656")</f>
        <v/>
      </c>
      <c r="B1311" s="2" t="n">
        <v>42798.99657407407</v>
      </c>
      <c r="C1311" t="n">
        <v>0</v>
      </c>
      <c r="D1311" t="n">
        <v>9034</v>
      </c>
      <c r="E1311" t="s">
        <v>1317</v>
      </c>
      <c r="F1311" t="s"/>
      <c r="G1311" t="s"/>
      <c r="H1311" t="s"/>
      <c r="I1311" t="s"/>
      <c r="J1311" t="n">
        <v>-0.2263</v>
      </c>
      <c r="K1311" t="n">
        <v>0.164</v>
      </c>
      <c r="L1311" t="n">
        <v>0.743</v>
      </c>
      <c r="M1311" t="n">
        <v>0.093</v>
      </c>
    </row>
    <row r="1312" spans="1:13">
      <c r="A1312" s="1">
        <f>HYPERLINK("http://www.twitter.com/NathanBLawrence/status/838175908343185412", "838175908343185412")</f>
        <v/>
      </c>
      <c r="B1312" s="2" t="n">
        <v>42798.99633101852</v>
      </c>
      <c r="C1312" t="n">
        <v>0</v>
      </c>
      <c r="D1312" t="n">
        <v>775</v>
      </c>
      <c r="E1312" t="s">
        <v>1318</v>
      </c>
      <c r="F1312" t="s"/>
      <c r="G1312" t="s"/>
      <c r="H1312" t="s"/>
      <c r="I1312" t="s"/>
      <c r="J1312" t="n">
        <v>0.2235</v>
      </c>
      <c r="K1312" t="n">
        <v>0</v>
      </c>
      <c r="L1312" t="n">
        <v>0.918</v>
      </c>
      <c r="M1312" t="n">
        <v>0.082</v>
      </c>
    </row>
    <row r="1313" spans="1:13">
      <c r="A1313" s="1">
        <f>HYPERLINK("http://www.twitter.com/NathanBLawrence/status/838126043017986048", "838126043017986048")</f>
        <v/>
      </c>
      <c r="B1313" s="2" t="n">
        <v>42798.85872685185</v>
      </c>
      <c r="C1313" t="n">
        <v>0</v>
      </c>
      <c r="D1313" t="n">
        <v>2104</v>
      </c>
      <c r="E1313" t="s">
        <v>1319</v>
      </c>
      <c r="F1313">
        <f>HYPERLINK("http://pbs.twimg.com/media/C6GTxjuXEAA3sAb.jpg", "http://pbs.twimg.com/media/C6GTxjuXEAA3sAb.jpg")</f>
        <v/>
      </c>
      <c r="G1313" t="s"/>
      <c r="H1313" t="s"/>
      <c r="I1313" t="s"/>
      <c r="J1313" t="n">
        <v>0</v>
      </c>
      <c r="K1313" t="n">
        <v>0</v>
      </c>
      <c r="L1313" t="n">
        <v>1</v>
      </c>
      <c r="M1313" t="n">
        <v>0</v>
      </c>
    </row>
    <row r="1314" spans="1:13">
      <c r="A1314" s="1">
        <f>HYPERLINK("http://www.twitter.com/NathanBLawrence/status/838123517321293824", "838123517321293824")</f>
        <v/>
      </c>
      <c r="B1314" s="2" t="n">
        <v>42798.85175925926</v>
      </c>
      <c r="C1314" t="n">
        <v>0</v>
      </c>
      <c r="D1314" t="n">
        <v>582</v>
      </c>
      <c r="E1314" t="s">
        <v>1320</v>
      </c>
      <c r="F1314" t="s"/>
      <c r="G1314" t="s"/>
      <c r="H1314" t="s"/>
      <c r="I1314" t="s"/>
      <c r="J1314" t="n">
        <v>-0.5574</v>
      </c>
      <c r="K1314" t="n">
        <v>0.175</v>
      </c>
      <c r="L1314" t="n">
        <v>0.825</v>
      </c>
      <c r="M1314" t="n">
        <v>0</v>
      </c>
    </row>
    <row r="1315" spans="1:13">
      <c r="A1315" s="1">
        <f>HYPERLINK("http://www.twitter.com/NathanBLawrence/status/838096279829872641", "838096279829872641")</f>
        <v/>
      </c>
      <c r="B1315" s="2" t="n">
        <v>42798.77659722222</v>
      </c>
      <c r="C1315" t="n">
        <v>0</v>
      </c>
      <c r="D1315" t="n">
        <v>5</v>
      </c>
      <c r="E1315" t="s">
        <v>1321</v>
      </c>
      <c r="F1315" t="s"/>
      <c r="G1315" t="s"/>
      <c r="H1315" t="s"/>
      <c r="I1315" t="s"/>
      <c r="J1315" t="n">
        <v>0.4019</v>
      </c>
      <c r="K1315" t="n">
        <v>0.053</v>
      </c>
      <c r="L1315" t="n">
        <v>0.83</v>
      </c>
      <c r="M1315" t="n">
        <v>0.117</v>
      </c>
    </row>
    <row r="1316" spans="1:13">
      <c r="A1316" s="1">
        <f>HYPERLINK("http://www.twitter.com/NathanBLawrence/status/838094343651143681", "838094343651143681")</f>
        <v/>
      </c>
      <c r="B1316" s="2" t="n">
        <v>42798.77126157407</v>
      </c>
      <c r="C1316" t="n">
        <v>0</v>
      </c>
      <c r="D1316" t="n">
        <v>281</v>
      </c>
      <c r="E1316" t="s">
        <v>1322</v>
      </c>
      <c r="F1316" t="s"/>
      <c r="G1316" t="s"/>
      <c r="H1316" t="s"/>
      <c r="I1316" t="s"/>
      <c r="J1316" t="n">
        <v>0</v>
      </c>
      <c r="K1316" t="n">
        <v>0</v>
      </c>
      <c r="L1316" t="n">
        <v>1</v>
      </c>
      <c r="M1316" t="n">
        <v>0</v>
      </c>
    </row>
    <row r="1317" spans="1:13">
      <c r="A1317" s="1">
        <f>HYPERLINK("http://www.twitter.com/NathanBLawrence/status/838074240091959296", "838074240091959296")</f>
        <v/>
      </c>
      <c r="B1317" s="2" t="n">
        <v>42798.71578703704</v>
      </c>
      <c r="C1317" t="n">
        <v>0</v>
      </c>
      <c r="D1317" t="n">
        <v>614</v>
      </c>
      <c r="E1317" t="s">
        <v>1323</v>
      </c>
      <c r="F1317" t="s"/>
      <c r="G1317" t="s"/>
      <c r="H1317" t="s"/>
      <c r="I1317" t="s"/>
      <c r="J1317" t="n">
        <v>-0.2057</v>
      </c>
      <c r="K1317" t="n">
        <v>0.07000000000000001</v>
      </c>
      <c r="L1317" t="n">
        <v>0.93</v>
      </c>
      <c r="M1317" t="n">
        <v>0</v>
      </c>
    </row>
    <row r="1318" spans="1:13">
      <c r="A1318" s="1">
        <f>HYPERLINK("http://www.twitter.com/NathanBLawrence/status/838073578729914368", "838073578729914368")</f>
        <v/>
      </c>
      <c r="B1318" s="2" t="n">
        <v>42798.71395833333</v>
      </c>
      <c r="C1318" t="n">
        <v>0</v>
      </c>
      <c r="D1318" t="n">
        <v>279</v>
      </c>
      <c r="E1318" t="s">
        <v>1324</v>
      </c>
      <c r="F1318" t="s"/>
      <c r="G1318" t="s"/>
      <c r="H1318" t="s"/>
      <c r="I1318" t="s"/>
      <c r="J1318" t="n">
        <v>-0.7537</v>
      </c>
      <c r="K1318" t="n">
        <v>0.244</v>
      </c>
      <c r="L1318" t="n">
        <v>0.756</v>
      </c>
      <c r="M1318" t="n">
        <v>0</v>
      </c>
    </row>
    <row r="1319" spans="1:13">
      <c r="A1319" s="1">
        <f>HYPERLINK("http://www.twitter.com/NathanBLawrence/status/838058457571995649", "838058457571995649")</f>
        <v/>
      </c>
      <c r="B1319" s="2" t="n">
        <v>42798.67223379629</v>
      </c>
      <c r="C1319" t="n">
        <v>0</v>
      </c>
      <c r="D1319" t="n">
        <v>397</v>
      </c>
      <c r="E1319" t="s">
        <v>1325</v>
      </c>
      <c r="F1319">
        <f>HYPERLINK("http://pbs.twimg.com/media/C6Fe5ZlWgAA8quJ.jpg", "http://pbs.twimg.com/media/C6Fe5ZlWgAA8quJ.jpg")</f>
        <v/>
      </c>
      <c r="G1319" t="s"/>
      <c r="H1319" t="s"/>
      <c r="I1319" t="s"/>
      <c r="J1319" t="n">
        <v>-0.1531</v>
      </c>
      <c r="K1319" t="n">
        <v>0.07099999999999999</v>
      </c>
      <c r="L1319" t="n">
        <v>0.929</v>
      </c>
      <c r="M1319" t="n">
        <v>0</v>
      </c>
    </row>
    <row r="1320" spans="1:13">
      <c r="A1320" s="1">
        <f>HYPERLINK("http://www.twitter.com/NathanBLawrence/status/838051701659734016", "838051701659734016")</f>
        <v/>
      </c>
      <c r="B1320" s="2" t="n">
        <v>42798.65358796297</v>
      </c>
      <c r="C1320" t="n">
        <v>0</v>
      </c>
      <c r="D1320" t="n">
        <v>111</v>
      </c>
      <c r="E1320" t="s">
        <v>1326</v>
      </c>
      <c r="F1320" t="s"/>
      <c r="G1320" t="s"/>
      <c r="H1320" t="s"/>
      <c r="I1320" t="s"/>
      <c r="J1320" t="n">
        <v>-0.5574</v>
      </c>
      <c r="K1320" t="n">
        <v>0.175</v>
      </c>
      <c r="L1320" t="n">
        <v>0.825</v>
      </c>
      <c r="M1320" t="n">
        <v>0</v>
      </c>
    </row>
    <row r="1321" spans="1:13">
      <c r="A1321" s="1">
        <f>HYPERLINK("http://www.twitter.com/NathanBLawrence/status/838049954912473088", "838049954912473088")</f>
        <v/>
      </c>
      <c r="B1321" s="2" t="n">
        <v>42798.64877314815</v>
      </c>
      <c r="C1321" t="n">
        <v>0</v>
      </c>
      <c r="D1321" t="n">
        <v>711</v>
      </c>
      <c r="E1321" t="s">
        <v>1327</v>
      </c>
      <c r="F1321" t="s"/>
      <c r="G1321" t="s"/>
      <c r="H1321" t="s"/>
      <c r="I1321" t="s"/>
      <c r="J1321" t="n">
        <v>-0.1531</v>
      </c>
      <c r="K1321" t="n">
        <v>0.113</v>
      </c>
      <c r="L1321" t="n">
        <v>0.795</v>
      </c>
      <c r="M1321" t="n">
        <v>0.093</v>
      </c>
    </row>
    <row r="1322" spans="1:13">
      <c r="A1322" s="1">
        <f>HYPERLINK("http://www.twitter.com/NathanBLawrence/status/838049780873953282", "838049780873953282")</f>
        <v/>
      </c>
      <c r="B1322" s="2" t="n">
        <v>42798.64828703704</v>
      </c>
      <c r="C1322" t="n">
        <v>0</v>
      </c>
      <c r="D1322" t="n">
        <v>18</v>
      </c>
      <c r="E1322" t="s">
        <v>1328</v>
      </c>
      <c r="F1322">
        <f>HYPERLINK("http://pbs.twimg.com/media/C6FVa7SVUAAZEVH.jpg", "http://pbs.twimg.com/media/C6FVa7SVUAAZEVH.jpg")</f>
        <v/>
      </c>
      <c r="G1322" t="s"/>
      <c r="H1322" t="s"/>
      <c r="I1322" t="s"/>
      <c r="J1322" t="n">
        <v>0</v>
      </c>
      <c r="K1322" t="n">
        <v>0</v>
      </c>
      <c r="L1322" t="n">
        <v>1</v>
      </c>
      <c r="M1322" t="n">
        <v>0</v>
      </c>
    </row>
    <row r="1323" spans="1:13">
      <c r="A1323" s="1">
        <f>HYPERLINK("http://www.twitter.com/NathanBLawrence/status/838049737840472064", "838049737840472064")</f>
        <v/>
      </c>
      <c r="B1323" s="2" t="n">
        <v>42798.6481712963</v>
      </c>
      <c r="C1323" t="n">
        <v>0</v>
      </c>
      <c r="D1323" t="n">
        <v>674</v>
      </c>
      <c r="E1323" t="s">
        <v>1329</v>
      </c>
      <c r="F1323">
        <f>HYPERLINK("http://pbs.twimg.com/media/C6FTcORU0AINZVR.jpg", "http://pbs.twimg.com/media/C6FTcORU0AINZVR.jpg")</f>
        <v/>
      </c>
      <c r="G1323" t="s"/>
      <c r="H1323" t="s"/>
      <c r="I1323" t="s"/>
      <c r="J1323" t="n">
        <v>0</v>
      </c>
      <c r="K1323" t="n">
        <v>0</v>
      </c>
      <c r="L1323" t="n">
        <v>1</v>
      </c>
      <c r="M1323" t="n">
        <v>0</v>
      </c>
    </row>
    <row r="1324" spans="1:13">
      <c r="A1324" s="1">
        <f>HYPERLINK("http://www.twitter.com/NathanBLawrence/status/838049431341641728", "838049431341641728")</f>
        <v/>
      </c>
      <c r="B1324" s="2" t="n">
        <v>42798.64732638889</v>
      </c>
      <c r="C1324" t="n">
        <v>0</v>
      </c>
      <c r="D1324" t="n">
        <v>836</v>
      </c>
      <c r="E1324" t="s">
        <v>1330</v>
      </c>
      <c r="F1324" t="s"/>
      <c r="G1324" t="s"/>
      <c r="H1324" t="s"/>
      <c r="I1324" t="s"/>
      <c r="J1324" t="n">
        <v>-0.5574</v>
      </c>
      <c r="K1324" t="n">
        <v>0.231</v>
      </c>
      <c r="L1324" t="n">
        <v>0.769</v>
      </c>
      <c r="M1324" t="n">
        <v>0</v>
      </c>
    </row>
    <row r="1325" spans="1:13">
      <c r="A1325" s="1">
        <f>HYPERLINK("http://www.twitter.com/NathanBLawrence/status/838049403227279362", "838049403227279362")</f>
        <v/>
      </c>
      <c r="B1325" s="2" t="n">
        <v>42798.64724537037</v>
      </c>
      <c r="C1325" t="n">
        <v>0</v>
      </c>
      <c r="D1325" t="n">
        <v>1879</v>
      </c>
      <c r="E1325" t="s">
        <v>1331</v>
      </c>
      <c r="F1325" t="s"/>
      <c r="G1325" t="s"/>
      <c r="H1325" t="s"/>
      <c r="I1325" t="s"/>
      <c r="J1325" t="n">
        <v>-0.4767</v>
      </c>
      <c r="K1325" t="n">
        <v>0.129</v>
      </c>
      <c r="L1325" t="n">
        <v>0.871</v>
      </c>
      <c r="M1325" t="n">
        <v>0</v>
      </c>
    </row>
    <row r="1326" spans="1:13">
      <c r="A1326" s="1">
        <f>HYPERLINK("http://www.twitter.com/NathanBLawrence/status/837885512786587648", "837885512786587648")</f>
        <v/>
      </c>
      <c r="B1326" s="2" t="n">
        <v>42798.195</v>
      </c>
      <c r="C1326" t="n">
        <v>0</v>
      </c>
      <c r="D1326" t="n">
        <v>210</v>
      </c>
      <c r="E1326" t="s">
        <v>1332</v>
      </c>
      <c r="F1326">
        <f>HYPERLINK("http://pbs.twimg.com/media/C5P-LwAXAAACV6_.jpg", "http://pbs.twimg.com/media/C5P-LwAXAAACV6_.jpg")</f>
        <v/>
      </c>
      <c r="G1326" t="s"/>
      <c r="H1326" t="s"/>
      <c r="I1326" t="s"/>
      <c r="J1326" t="n">
        <v>-0.2865</v>
      </c>
      <c r="K1326" t="n">
        <v>0.134</v>
      </c>
      <c r="L1326" t="n">
        <v>0.866</v>
      </c>
      <c r="M1326" t="n">
        <v>0</v>
      </c>
    </row>
    <row r="1327" spans="1:13">
      <c r="A1327" s="1">
        <f>HYPERLINK("http://www.twitter.com/NathanBLawrence/status/837863531106172928", "837863531106172928")</f>
        <v/>
      </c>
      <c r="B1327" s="2" t="n">
        <v>42798.13434027778</v>
      </c>
      <c r="C1327" t="n">
        <v>1</v>
      </c>
      <c r="D1327" t="n">
        <v>0</v>
      </c>
      <c r="E1327" t="s">
        <v>1333</v>
      </c>
      <c r="F1327" t="s"/>
      <c r="G1327" t="s"/>
      <c r="H1327" t="s"/>
      <c r="I1327" t="s"/>
      <c r="J1327" t="n">
        <v>0.5837</v>
      </c>
      <c r="K1327" t="n">
        <v>0</v>
      </c>
      <c r="L1327" t="n">
        <v>0.722</v>
      </c>
      <c r="M1327" t="n">
        <v>0.278</v>
      </c>
    </row>
    <row r="1328" spans="1:13">
      <c r="A1328" s="1">
        <f>HYPERLINK("http://www.twitter.com/NathanBLawrence/status/837862175729418241", "837862175729418241")</f>
        <v/>
      </c>
      <c r="B1328" s="2" t="n">
        <v>42798.13060185185</v>
      </c>
      <c r="C1328" t="n">
        <v>1</v>
      </c>
      <c r="D1328" t="n">
        <v>0</v>
      </c>
      <c r="E1328" t="s">
        <v>1334</v>
      </c>
      <c r="F1328" t="s"/>
      <c r="G1328" t="s"/>
      <c r="H1328" t="s"/>
      <c r="I1328" t="s"/>
      <c r="J1328" t="n">
        <v>0.4926</v>
      </c>
      <c r="K1328" t="n">
        <v>0</v>
      </c>
      <c r="L1328" t="n">
        <v>0.61</v>
      </c>
      <c r="M1328" t="n">
        <v>0.39</v>
      </c>
    </row>
    <row r="1329" spans="1:13">
      <c r="A1329" s="1">
        <f>HYPERLINK("http://www.twitter.com/NathanBLawrence/status/837860270512930818", "837860270512930818")</f>
        <v/>
      </c>
      <c r="B1329" s="2" t="n">
        <v>42798.12533564815</v>
      </c>
      <c r="C1329" t="n">
        <v>1</v>
      </c>
      <c r="D1329" t="n">
        <v>0</v>
      </c>
      <c r="E1329" t="s">
        <v>1335</v>
      </c>
      <c r="F1329" t="s"/>
      <c r="G1329" t="s"/>
      <c r="H1329" t="s"/>
      <c r="I1329" t="s"/>
      <c r="J1329" t="n">
        <v>0.4199</v>
      </c>
      <c r="K1329" t="n">
        <v>0</v>
      </c>
      <c r="L1329" t="n">
        <v>0.782</v>
      </c>
      <c r="M1329" t="n">
        <v>0.218</v>
      </c>
    </row>
    <row r="1330" spans="1:13">
      <c r="A1330" s="1">
        <f>HYPERLINK("http://www.twitter.com/NathanBLawrence/status/837858340780785664", "837858340780785664")</f>
        <v/>
      </c>
      <c r="B1330" s="2" t="n">
        <v>42798.12001157407</v>
      </c>
      <c r="C1330" t="n">
        <v>1</v>
      </c>
      <c r="D1330" t="n">
        <v>0</v>
      </c>
      <c r="E1330" t="s">
        <v>1336</v>
      </c>
      <c r="F1330" t="s"/>
      <c r="G1330" t="s"/>
      <c r="H1330" t="s"/>
      <c r="I1330" t="s"/>
      <c r="J1330" t="n">
        <v>0.4019</v>
      </c>
      <c r="K1330" t="n">
        <v>0</v>
      </c>
      <c r="L1330" t="n">
        <v>0.8159999999999999</v>
      </c>
      <c r="M1330" t="n">
        <v>0.184</v>
      </c>
    </row>
    <row r="1331" spans="1:13">
      <c r="A1331" s="1">
        <f>HYPERLINK("http://www.twitter.com/NathanBLawrence/status/837847868966912000", "837847868966912000")</f>
        <v/>
      </c>
      <c r="B1331" s="2" t="n">
        <v>42798.09112268518</v>
      </c>
      <c r="C1331" t="n">
        <v>0</v>
      </c>
      <c r="D1331" t="n">
        <v>0</v>
      </c>
      <c r="E1331" t="s">
        <v>1337</v>
      </c>
      <c r="F1331" t="s"/>
      <c r="G1331" t="s"/>
      <c r="H1331" t="s"/>
      <c r="I1331" t="s"/>
      <c r="J1331" t="n">
        <v>-0.2003</v>
      </c>
      <c r="K1331" t="n">
        <v>0.264</v>
      </c>
      <c r="L1331" t="n">
        <v>0.736</v>
      </c>
      <c r="M1331" t="n">
        <v>0</v>
      </c>
    </row>
    <row r="1332" spans="1:13">
      <c r="A1332" s="1">
        <f>HYPERLINK("http://www.twitter.com/NathanBLawrence/status/837732140653608960", "837732140653608960")</f>
        <v/>
      </c>
      <c r="B1332" s="2" t="n">
        <v>42797.77177083334</v>
      </c>
      <c r="C1332" t="n">
        <v>4</v>
      </c>
      <c r="D1332" t="n">
        <v>2</v>
      </c>
      <c r="E1332" t="s">
        <v>1338</v>
      </c>
      <c r="F1332" t="s"/>
      <c r="G1332" t="s"/>
      <c r="H1332" t="s"/>
      <c r="I1332" t="s"/>
      <c r="J1332" t="n">
        <v>0</v>
      </c>
      <c r="K1332" t="n">
        <v>0</v>
      </c>
      <c r="L1332" t="n">
        <v>1</v>
      </c>
      <c r="M1332" t="n">
        <v>0</v>
      </c>
    </row>
    <row r="1333" spans="1:13">
      <c r="A1333" s="1">
        <f>HYPERLINK("http://www.twitter.com/NathanBLawrence/status/837724642861285376", "837724642861285376")</f>
        <v/>
      </c>
      <c r="B1333" s="2" t="n">
        <v>42797.75107638889</v>
      </c>
      <c r="C1333" t="n">
        <v>0</v>
      </c>
      <c r="D1333" t="n">
        <v>981</v>
      </c>
      <c r="E1333" t="s">
        <v>1339</v>
      </c>
      <c r="F1333">
        <f>HYPERLINK("http://pbs.twimg.com/media/C5_F56TWgAAeIU8.jpg", "http://pbs.twimg.com/media/C5_F56TWgAAeIU8.jpg")</f>
        <v/>
      </c>
      <c r="G1333" t="s"/>
      <c r="H1333" t="s"/>
      <c r="I1333" t="s"/>
      <c r="J1333" t="n">
        <v>-0.5574</v>
      </c>
      <c r="K1333" t="n">
        <v>0.175</v>
      </c>
      <c r="L1333" t="n">
        <v>0.825</v>
      </c>
      <c r="M1333" t="n">
        <v>0</v>
      </c>
    </row>
    <row r="1334" spans="1:13">
      <c r="A1334" s="1">
        <f>HYPERLINK("http://www.twitter.com/NathanBLawrence/status/837712815708323840", "837712815708323840")</f>
        <v/>
      </c>
      <c r="B1334" s="2" t="n">
        <v>42797.7184375</v>
      </c>
      <c r="C1334" t="n">
        <v>0</v>
      </c>
      <c r="D1334" t="n">
        <v>4810</v>
      </c>
      <c r="E1334" t="s">
        <v>1340</v>
      </c>
      <c r="F1334">
        <f>HYPERLINK("http://pbs.twimg.com/media/C5_UycRUYAAzkut.jpg", "http://pbs.twimg.com/media/C5_UycRUYAAzkut.jpg")</f>
        <v/>
      </c>
      <c r="G1334" t="s"/>
      <c r="H1334" t="s"/>
      <c r="I1334" t="s"/>
      <c r="J1334" t="n">
        <v>-0.4019</v>
      </c>
      <c r="K1334" t="n">
        <v>0.207</v>
      </c>
      <c r="L1334" t="n">
        <v>0.6899999999999999</v>
      </c>
      <c r="M1334" t="n">
        <v>0.103</v>
      </c>
    </row>
    <row r="1335" spans="1:13">
      <c r="A1335" s="1">
        <f>HYPERLINK("http://www.twitter.com/NathanBLawrence/status/837708579377393664", "837708579377393664")</f>
        <v/>
      </c>
      <c r="B1335" s="2" t="n">
        <v>42797.70674768519</v>
      </c>
      <c r="C1335" t="n">
        <v>0</v>
      </c>
      <c r="D1335" t="n">
        <v>438</v>
      </c>
      <c r="E1335" t="s">
        <v>1341</v>
      </c>
      <c r="F1335" t="s"/>
      <c r="G1335" t="s"/>
      <c r="H1335" t="s"/>
      <c r="I1335" t="s"/>
      <c r="J1335" t="n">
        <v>-0.5423</v>
      </c>
      <c r="K1335" t="n">
        <v>0.189</v>
      </c>
      <c r="L1335" t="n">
        <v>0.8110000000000001</v>
      </c>
      <c r="M1335" t="n">
        <v>0</v>
      </c>
    </row>
    <row r="1336" spans="1:13">
      <c r="A1336" s="1">
        <f>HYPERLINK("http://www.twitter.com/NathanBLawrence/status/837707429118885889", "837707429118885889")</f>
        <v/>
      </c>
      <c r="B1336" s="2" t="n">
        <v>42797.70357638889</v>
      </c>
      <c r="C1336" t="n">
        <v>1</v>
      </c>
      <c r="D1336" t="n">
        <v>0</v>
      </c>
      <c r="E1336" t="s">
        <v>1342</v>
      </c>
      <c r="F1336" t="s"/>
      <c r="G1336" t="s"/>
      <c r="H1336" t="s"/>
      <c r="I1336" t="s"/>
      <c r="J1336" t="n">
        <v>0</v>
      </c>
      <c r="K1336" t="n">
        <v>0</v>
      </c>
      <c r="L1336" t="n">
        <v>1</v>
      </c>
      <c r="M1336" t="n">
        <v>0</v>
      </c>
    </row>
    <row r="1337" spans="1:13">
      <c r="A1337" s="1">
        <f>HYPERLINK("http://www.twitter.com/NathanBLawrence/status/837706989568475136", "837706989568475136")</f>
        <v/>
      </c>
      <c r="B1337" s="2" t="n">
        <v>42797.70236111111</v>
      </c>
      <c r="C1337" t="n">
        <v>0</v>
      </c>
      <c r="D1337" t="n">
        <v>9634</v>
      </c>
      <c r="E1337" t="s">
        <v>1343</v>
      </c>
      <c r="F1337">
        <f>HYPERLINK("http://pbs.twimg.com/media/C6Af2BqUoAAI8Si.jpg", "http://pbs.twimg.com/media/C6Af2BqUoAAI8Si.jpg")</f>
        <v/>
      </c>
      <c r="G1337" t="s"/>
      <c r="H1337" t="s"/>
      <c r="I1337" t="s"/>
      <c r="J1337" t="n">
        <v>0.296</v>
      </c>
      <c r="K1337" t="n">
        <v>0</v>
      </c>
      <c r="L1337" t="n">
        <v>0.784</v>
      </c>
      <c r="M1337" t="n">
        <v>0.216</v>
      </c>
    </row>
    <row r="1338" spans="1:13">
      <c r="A1338" s="1">
        <f>HYPERLINK("http://www.twitter.com/NathanBLawrence/status/837700746959339520", "837700746959339520")</f>
        <v/>
      </c>
      <c r="B1338" s="2" t="n">
        <v>42797.68513888889</v>
      </c>
      <c r="C1338" t="n">
        <v>1</v>
      </c>
      <c r="D1338" t="n">
        <v>0</v>
      </c>
      <c r="E1338" t="s">
        <v>1344</v>
      </c>
      <c r="F1338" t="s"/>
      <c r="G1338" t="s"/>
      <c r="H1338" t="s"/>
      <c r="I1338" t="s"/>
      <c r="J1338" t="n">
        <v>0.3612</v>
      </c>
      <c r="K1338" t="n">
        <v>0</v>
      </c>
      <c r="L1338" t="n">
        <v>0.878</v>
      </c>
      <c r="M1338" t="n">
        <v>0.122</v>
      </c>
    </row>
    <row r="1339" spans="1:13">
      <c r="A1339" s="1">
        <f>HYPERLINK("http://www.twitter.com/NathanBLawrence/status/837695718387232768", "837695718387232768")</f>
        <v/>
      </c>
      <c r="B1339" s="2" t="n">
        <v>42797.67126157408</v>
      </c>
      <c r="C1339" t="n">
        <v>0</v>
      </c>
      <c r="D1339" t="n">
        <v>1831</v>
      </c>
      <c r="E1339" t="s">
        <v>1345</v>
      </c>
      <c r="F1339" t="s"/>
      <c r="G1339" t="s"/>
      <c r="H1339" t="s"/>
      <c r="I1339" t="s"/>
      <c r="J1339" t="n">
        <v>-0.0772</v>
      </c>
      <c r="K1339" t="n">
        <v>0.067</v>
      </c>
      <c r="L1339" t="n">
        <v>0.9330000000000001</v>
      </c>
      <c r="M1339" t="n">
        <v>0</v>
      </c>
    </row>
    <row r="1340" spans="1:13">
      <c r="A1340" s="1">
        <f>HYPERLINK("http://www.twitter.com/NathanBLawrence/status/837689889005137921", "837689889005137921")</f>
        <v/>
      </c>
      <c r="B1340" s="2" t="n">
        <v>42797.65517361111</v>
      </c>
      <c r="C1340" t="n">
        <v>1</v>
      </c>
      <c r="D1340" t="n">
        <v>1</v>
      </c>
      <c r="E1340" t="s">
        <v>1346</v>
      </c>
      <c r="F1340" t="s"/>
      <c r="G1340" t="s"/>
      <c r="H1340" t="s"/>
      <c r="I1340" t="s"/>
      <c r="J1340" t="n">
        <v>-0.6908</v>
      </c>
      <c r="K1340" t="n">
        <v>0.227</v>
      </c>
      <c r="L1340" t="n">
        <v>0.773</v>
      </c>
      <c r="M1340" t="n">
        <v>0</v>
      </c>
    </row>
    <row r="1341" spans="1:13">
      <c r="A1341" s="1">
        <f>HYPERLINK("http://www.twitter.com/NathanBLawrence/status/837688038625013764", "837688038625013764")</f>
        <v/>
      </c>
      <c r="B1341" s="2" t="n">
        <v>42797.65006944445</v>
      </c>
      <c r="C1341" t="n">
        <v>0</v>
      </c>
      <c r="D1341" t="n">
        <v>0</v>
      </c>
      <c r="E1341" t="s">
        <v>1347</v>
      </c>
      <c r="F1341" t="s"/>
      <c r="G1341" t="s"/>
      <c r="H1341" t="s"/>
      <c r="I1341" t="s"/>
      <c r="J1341" t="n">
        <v>0.6239</v>
      </c>
      <c r="K1341" t="n">
        <v>0</v>
      </c>
      <c r="L1341" t="n">
        <v>0.786</v>
      </c>
      <c r="M1341" t="n">
        <v>0.214</v>
      </c>
    </row>
    <row r="1342" spans="1:13">
      <c r="A1342" s="1">
        <f>HYPERLINK("http://www.twitter.com/NathanBLawrence/status/837686867348840449", "837686867348840449")</f>
        <v/>
      </c>
      <c r="B1342" s="2" t="n">
        <v>42797.64684027778</v>
      </c>
      <c r="C1342" t="n">
        <v>0</v>
      </c>
      <c r="D1342" t="n">
        <v>1</v>
      </c>
      <c r="E1342" t="s">
        <v>1348</v>
      </c>
      <c r="F1342" t="s"/>
      <c r="G1342" t="s"/>
      <c r="H1342" t="s"/>
      <c r="I1342" t="s"/>
      <c r="J1342" t="n">
        <v>0</v>
      </c>
      <c r="K1342" t="n">
        <v>0</v>
      </c>
      <c r="L1342" t="n">
        <v>1</v>
      </c>
      <c r="M1342" t="n">
        <v>0</v>
      </c>
    </row>
    <row r="1343" spans="1:13">
      <c r="A1343" s="1">
        <f>HYPERLINK("http://www.twitter.com/NathanBLawrence/status/837683802432552970", "837683802432552970")</f>
        <v/>
      </c>
      <c r="B1343" s="2" t="n">
        <v>42797.63837962963</v>
      </c>
      <c r="C1343" t="n">
        <v>0</v>
      </c>
      <c r="D1343" t="n">
        <v>1238</v>
      </c>
      <c r="E1343" t="s">
        <v>1349</v>
      </c>
      <c r="F1343" t="s"/>
      <c r="G1343" t="s"/>
      <c r="H1343" t="s"/>
      <c r="I1343" t="s"/>
      <c r="J1343" t="n">
        <v>-0.186</v>
      </c>
      <c r="K1343" t="n">
        <v>0.145</v>
      </c>
      <c r="L1343" t="n">
        <v>0.741</v>
      </c>
      <c r="M1343" t="n">
        <v>0.113</v>
      </c>
    </row>
    <row r="1344" spans="1:13">
      <c r="A1344" s="1">
        <f>HYPERLINK("http://www.twitter.com/NathanBLawrence/status/837666001445584897", "837666001445584897")</f>
        <v/>
      </c>
      <c r="B1344" s="2" t="n">
        <v>42797.58925925926</v>
      </c>
      <c r="C1344" t="n">
        <v>7</v>
      </c>
      <c r="D1344" t="n">
        <v>0</v>
      </c>
      <c r="E1344" t="s">
        <v>1350</v>
      </c>
      <c r="F1344" t="s"/>
      <c r="G1344" t="s"/>
      <c r="H1344" t="s"/>
      <c r="I1344" t="s"/>
      <c r="J1344" t="n">
        <v>-0.4019</v>
      </c>
      <c r="K1344" t="n">
        <v>0.213</v>
      </c>
      <c r="L1344" t="n">
        <v>0.787</v>
      </c>
      <c r="M1344" t="n">
        <v>0</v>
      </c>
    </row>
    <row r="1345" spans="1:13">
      <c r="A1345" s="1">
        <f>HYPERLINK("http://www.twitter.com/NathanBLawrence/status/837471538802802689", "837471538802802689")</f>
        <v/>
      </c>
      <c r="B1345" s="2" t="n">
        <v>42797.05263888889</v>
      </c>
      <c r="C1345" t="n">
        <v>0</v>
      </c>
      <c r="D1345" t="n">
        <v>4</v>
      </c>
      <c r="E1345" t="s">
        <v>1351</v>
      </c>
      <c r="F1345" t="s"/>
      <c r="G1345" t="s"/>
      <c r="H1345" t="s"/>
      <c r="I1345" t="s"/>
      <c r="J1345" t="n">
        <v>0</v>
      </c>
      <c r="K1345" t="n">
        <v>0</v>
      </c>
      <c r="L1345" t="n">
        <v>1</v>
      </c>
      <c r="M1345" t="n">
        <v>0</v>
      </c>
    </row>
    <row r="1346" spans="1:13">
      <c r="A1346" s="1">
        <f>HYPERLINK("http://www.twitter.com/NathanBLawrence/status/837471285923966976", "837471285923966976")</f>
        <v/>
      </c>
      <c r="B1346" s="2" t="n">
        <v>42797.05194444444</v>
      </c>
      <c r="C1346" t="n">
        <v>0</v>
      </c>
      <c r="D1346" t="n">
        <v>2622</v>
      </c>
      <c r="E1346" t="s">
        <v>1352</v>
      </c>
      <c r="F1346">
        <f>HYPERLINK("http://pbs.twimg.com/media/C578CBXWgAESXYO.jpg", "http://pbs.twimg.com/media/C578CBXWgAESXYO.jpg")</f>
        <v/>
      </c>
      <c r="G1346" t="s"/>
      <c r="H1346" t="s"/>
      <c r="I1346" t="s"/>
      <c r="J1346" t="n">
        <v>-0.3818</v>
      </c>
      <c r="K1346" t="n">
        <v>0.126</v>
      </c>
      <c r="L1346" t="n">
        <v>0.874</v>
      </c>
      <c r="M1346" t="n">
        <v>0</v>
      </c>
    </row>
    <row r="1347" spans="1:13">
      <c r="A1347" s="1">
        <f>HYPERLINK("http://www.twitter.com/NathanBLawrence/status/837439626273046535", "837439626273046535")</f>
        <v/>
      </c>
      <c r="B1347" s="2" t="n">
        <v>42796.96458333333</v>
      </c>
      <c r="C1347" t="n">
        <v>0</v>
      </c>
      <c r="D1347" t="n">
        <v>0</v>
      </c>
      <c r="E1347" t="s">
        <v>1353</v>
      </c>
      <c r="F1347" t="s"/>
      <c r="G1347" t="s"/>
      <c r="H1347" t="s"/>
      <c r="I1347" t="s"/>
      <c r="J1347" t="n">
        <v>0.6696</v>
      </c>
      <c r="K1347" t="n">
        <v>0</v>
      </c>
      <c r="L1347" t="n">
        <v>0.609</v>
      </c>
      <c r="M1347" t="n">
        <v>0.391</v>
      </c>
    </row>
    <row r="1348" spans="1:13">
      <c r="A1348" s="1">
        <f>HYPERLINK("http://www.twitter.com/NathanBLawrence/status/837439264338083840", "837439264338083840")</f>
        <v/>
      </c>
      <c r="B1348" s="2" t="n">
        <v>42796.96358796296</v>
      </c>
      <c r="C1348" t="n">
        <v>0</v>
      </c>
      <c r="D1348" t="n">
        <v>25001</v>
      </c>
      <c r="E1348" t="s">
        <v>1354</v>
      </c>
      <c r="F1348" t="s"/>
      <c r="G1348" t="s"/>
      <c r="H1348" t="s"/>
      <c r="I1348" t="s"/>
      <c r="J1348" t="n">
        <v>-0.5423</v>
      </c>
      <c r="K1348" t="n">
        <v>0.198</v>
      </c>
      <c r="L1348" t="n">
        <v>0.712</v>
      </c>
      <c r="M1348" t="n">
        <v>0.09</v>
      </c>
    </row>
    <row r="1349" spans="1:13">
      <c r="A1349" s="1">
        <f>HYPERLINK("http://www.twitter.com/NathanBLawrence/status/837407576111341573", "837407576111341573")</f>
        <v/>
      </c>
      <c r="B1349" s="2" t="n">
        <v>42796.87614583333</v>
      </c>
      <c r="C1349" t="n">
        <v>0</v>
      </c>
      <c r="D1349" t="n">
        <v>0</v>
      </c>
      <c r="E1349" t="s">
        <v>1355</v>
      </c>
      <c r="F1349" t="s"/>
      <c r="G1349" t="s"/>
      <c r="H1349" t="s"/>
      <c r="I1349" t="s"/>
      <c r="J1349" t="n">
        <v>-0.0772</v>
      </c>
      <c r="K1349" t="n">
        <v>0.12</v>
      </c>
      <c r="L1349" t="n">
        <v>0.772</v>
      </c>
      <c r="M1349" t="n">
        <v>0.108</v>
      </c>
    </row>
    <row r="1350" spans="1:13">
      <c r="A1350" s="1">
        <f>HYPERLINK("http://www.twitter.com/NathanBLawrence/status/837302496720740354", "837302496720740354")</f>
        <v/>
      </c>
      <c r="B1350" s="2" t="n">
        <v>42796.58618055555</v>
      </c>
      <c r="C1350" t="n">
        <v>0</v>
      </c>
      <c r="D1350" t="n">
        <v>228</v>
      </c>
      <c r="E1350" t="s">
        <v>1356</v>
      </c>
      <c r="F1350" t="s"/>
      <c r="G1350" t="s"/>
      <c r="H1350" t="s"/>
      <c r="I1350" t="s"/>
      <c r="J1350" t="n">
        <v>-0.3182</v>
      </c>
      <c r="K1350" t="n">
        <v>0.126</v>
      </c>
      <c r="L1350" t="n">
        <v>0.874</v>
      </c>
      <c r="M1350" t="n">
        <v>0</v>
      </c>
    </row>
    <row r="1351" spans="1:13">
      <c r="A1351" s="1">
        <f>HYPERLINK("http://www.twitter.com/NathanBLawrence/status/837296216455139328", "837296216455139328")</f>
        <v/>
      </c>
      <c r="B1351" s="2" t="n">
        <v>42796.56884259259</v>
      </c>
      <c r="C1351" t="n">
        <v>0</v>
      </c>
      <c r="D1351" t="n">
        <v>2104</v>
      </c>
      <c r="E1351" t="s">
        <v>1357</v>
      </c>
      <c r="F1351">
        <f>HYPERLINK("http://pbs.twimg.com/media/C56DMR8WMAIVg7B.jpg", "http://pbs.twimg.com/media/C56DMR8WMAIVg7B.jpg")</f>
        <v/>
      </c>
      <c r="G1351" t="s"/>
      <c r="H1351" t="s"/>
      <c r="I1351" t="s"/>
      <c r="J1351" t="n">
        <v>-0.743</v>
      </c>
      <c r="K1351" t="n">
        <v>0.27</v>
      </c>
      <c r="L1351" t="n">
        <v>0.73</v>
      </c>
      <c r="M1351" t="n">
        <v>0</v>
      </c>
    </row>
    <row r="1352" spans="1:13">
      <c r="A1352" s="1">
        <f>HYPERLINK("http://www.twitter.com/NathanBLawrence/status/837292858709327873", "837292858709327873")</f>
        <v/>
      </c>
      <c r="B1352" s="2" t="n">
        <v>42796.55958333334</v>
      </c>
      <c r="C1352" t="n">
        <v>0</v>
      </c>
      <c r="D1352" t="n">
        <v>1130</v>
      </c>
      <c r="E1352" t="s">
        <v>1358</v>
      </c>
      <c r="F1352">
        <f>HYPERLINK("http://pbs.twimg.com/media/C56SgYAUYAAwdcX.jpg", "http://pbs.twimg.com/media/C56SgYAUYAAwdcX.jpg")</f>
        <v/>
      </c>
      <c r="G1352" t="s"/>
      <c r="H1352" t="s"/>
      <c r="I1352" t="s"/>
      <c r="J1352" t="n">
        <v>-0.0772</v>
      </c>
      <c r="K1352" t="n">
        <v>0.064</v>
      </c>
      <c r="L1352" t="n">
        <v>0.9360000000000001</v>
      </c>
      <c r="M1352" t="n">
        <v>0</v>
      </c>
    </row>
    <row r="1353" spans="1:13">
      <c r="A1353" s="1">
        <f>HYPERLINK("http://www.twitter.com/NathanBLawrence/status/837290936346509312", "837290936346509312")</f>
        <v/>
      </c>
      <c r="B1353" s="2" t="n">
        <v>42796.55427083333</v>
      </c>
      <c r="C1353" t="n">
        <v>0</v>
      </c>
      <c r="D1353" t="n">
        <v>765</v>
      </c>
      <c r="E1353" t="s">
        <v>1359</v>
      </c>
      <c r="F1353" t="s"/>
      <c r="G1353" t="s"/>
      <c r="H1353" t="s"/>
      <c r="I1353" t="s"/>
      <c r="J1353" t="n">
        <v>-0.2023</v>
      </c>
      <c r="K1353" t="n">
        <v>0.083</v>
      </c>
      <c r="L1353" t="n">
        <v>0.917</v>
      </c>
      <c r="M1353" t="n">
        <v>0</v>
      </c>
    </row>
    <row r="1354" spans="1:13">
      <c r="A1354" s="1">
        <f>HYPERLINK("http://www.twitter.com/NathanBLawrence/status/837141105426718720", "837141105426718720")</f>
        <v/>
      </c>
      <c r="B1354" s="2" t="n">
        <v>42796.14082175926</v>
      </c>
      <c r="C1354" t="n">
        <v>0</v>
      </c>
      <c r="D1354" t="n">
        <v>1</v>
      </c>
      <c r="E1354" t="s">
        <v>1360</v>
      </c>
      <c r="F1354">
        <f>HYPERLINK("http://pbs.twimg.com/media/C53jT7EUYAE1wbs.jpg", "http://pbs.twimg.com/media/C53jT7EUYAE1wbs.jpg")</f>
        <v/>
      </c>
      <c r="G1354" t="s"/>
      <c r="H1354" t="s"/>
      <c r="I1354" t="s"/>
      <c r="J1354" t="n">
        <v>0</v>
      </c>
      <c r="K1354" t="n">
        <v>0</v>
      </c>
      <c r="L1354" t="n">
        <v>1</v>
      </c>
      <c r="M1354" t="n">
        <v>0</v>
      </c>
    </row>
    <row r="1355" spans="1:13">
      <c r="A1355" s="1">
        <f>HYPERLINK("http://www.twitter.com/NathanBLawrence/status/837094943655149568", "837094943655149568")</f>
        <v/>
      </c>
      <c r="B1355" s="2" t="n">
        <v>42796.0134375</v>
      </c>
      <c r="C1355" t="n">
        <v>0</v>
      </c>
      <c r="D1355" t="n">
        <v>176</v>
      </c>
      <c r="E1355" t="s">
        <v>1361</v>
      </c>
      <c r="F1355" t="s"/>
      <c r="G1355" t="s"/>
      <c r="H1355" t="s"/>
      <c r="I1355" t="s"/>
      <c r="J1355" t="n">
        <v>0</v>
      </c>
      <c r="K1355" t="n">
        <v>0</v>
      </c>
      <c r="L1355" t="n">
        <v>1</v>
      </c>
      <c r="M1355" t="n">
        <v>0</v>
      </c>
    </row>
    <row r="1356" spans="1:13">
      <c r="A1356" s="1">
        <f>HYPERLINK("http://www.twitter.com/NathanBLawrence/status/837094802554556416", "837094802554556416")</f>
        <v/>
      </c>
      <c r="B1356" s="2" t="n">
        <v>42796.01305555556</v>
      </c>
      <c r="C1356" t="n">
        <v>0</v>
      </c>
      <c r="D1356" t="n">
        <v>594</v>
      </c>
      <c r="E1356" t="s">
        <v>1362</v>
      </c>
      <c r="F1356" t="s"/>
      <c r="G1356" t="s"/>
      <c r="H1356" t="s"/>
      <c r="I1356" t="s"/>
      <c r="J1356" t="n">
        <v>-0.1655</v>
      </c>
      <c r="K1356" t="n">
        <v>0.104</v>
      </c>
      <c r="L1356" t="n">
        <v>0.853</v>
      </c>
      <c r="M1356" t="n">
        <v>0.043</v>
      </c>
    </row>
    <row r="1357" spans="1:13">
      <c r="A1357" s="1">
        <f>HYPERLINK("http://www.twitter.com/NathanBLawrence/status/837029706834788353", "837029706834788353")</f>
        <v/>
      </c>
      <c r="B1357" s="2" t="n">
        <v>42795.83342592593</v>
      </c>
      <c r="C1357" t="n">
        <v>6</v>
      </c>
      <c r="D1357" t="n">
        <v>0</v>
      </c>
      <c r="E1357" t="s">
        <v>1363</v>
      </c>
      <c r="F1357" t="s"/>
      <c r="G1357" t="s"/>
      <c r="H1357" t="s"/>
      <c r="I1357" t="s"/>
      <c r="J1357" t="n">
        <v>0.5838</v>
      </c>
      <c r="K1357" t="n">
        <v>0</v>
      </c>
      <c r="L1357" t="n">
        <v>0.725</v>
      </c>
      <c r="M1357" t="n">
        <v>0.275</v>
      </c>
    </row>
    <row r="1358" spans="1:13">
      <c r="A1358" s="1">
        <f>HYPERLINK("http://www.twitter.com/NathanBLawrence/status/837020324428410880", "837020324428410880")</f>
        <v/>
      </c>
      <c r="B1358" s="2" t="n">
        <v>42795.80753472223</v>
      </c>
      <c r="C1358" t="n">
        <v>0</v>
      </c>
      <c r="D1358" t="n">
        <v>2635</v>
      </c>
      <c r="E1358" t="s">
        <v>1364</v>
      </c>
      <c r="F1358">
        <f>HYPERLINK("http://pbs.twimg.com/media/C5zUTfhWAAASW2e.jpg", "http://pbs.twimg.com/media/C5zUTfhWAAASW2e.jpg")</f>
        <v/>
      </c>
      <c r="G1358" t="s"/>
      <c r="H1358" t="s"/>
      <c r="I1358" t="s"/>
      <c r="J1358" t="n">
        <v>-0.1779</v>
      </c>
      <c r="K1358" t="n">
        <v>0.096</v>
      </c>
      <c r="L1358" t="n">
        <v>0.904</v>
      </c>
      <c r="M1358" t="n">
        <v>0</v>
      </c>
    </row>
    <row r="1359" spans="1:13">
      <c r="A1359" s="1">
        <f>HYPERLINK("http://www.twitter.com/NathanBLawrence/status/836989276176977920", "836989276176977920")</f>
        <v/>
      </c>
      <c r="B1359" s="2" t="n">
        <v>42795.72185185185</v>
      </c>
      <c r="C1359" t="n">
        <v>0</v>
      </c>
      <c r="D1359" t="n">
        <v>1077</v>
      </c>
      <c r="E1359" t="s">
        <v>1365</v>
      </c>
      <c r="F1359" t="s"/>
      <c r="G1359" t="s"/>
      <c r="H1359" t="s"/>
      <c r="I1359" t="s"/>
      <c r="J1359" t="n">
        <v>0</v>
      </c>
      <c r="K1359" t="n">
        <v>0</v>
      </c>
      <c r="L1359" t="n">
        <v>1</v>
      </c>
      <c r="M1359" t="n">
        <v>0</v>
      </c>
    </row>
    <row r="1360" spans="1:13">
      <c r="A1360" s="1">
        <f>HYPERLINK("http://www.twitter.com/NathanBLawrence/status/836774186735521792", "836774186735521792")</f>
        <v/>
      </c>
      <c r="B1360" s="2" t="n">
        <v>42795.12832175926</v>
      </c>
      <c r="C1360" t="n">
        <v>0</v>
      </c>
      <c r="D1360" t="n">
        <v>570</v>
      </c>
      <c r="E1360" t="s">
        <v>1366</v>
      </c>
      <c r="F1360">
        <f>HYPERLINK("https://video.twimg.com/ext_tw_video/836771734200053760/pu/vid/720x720/1xKxtcmM7nUNFFrt.mp4", "https://video.twimg.com/ext_tw_video/836771734200053760/pu/vid/720x720/1xKxtcmM7nUNFFrt.mp4")</f>
        <v/>
      </c>
      <c r="G1360" t="s"/>
      <c r="H1360" t="s"/>
      <c r="I1360" t="s"/>
      <c r="J1360" t="n">
        <v>-0.7906</v>
      </c>
      <c r="K1360" t="n">
        <v>0.389</v>
      </c>
      <c r="L1360" t="n">
        <v>0.611</v>
      </c>
      <c r="M1360" t="n">
        <v>0</v>
      </c>
    </row>
    <row r="1361" spans="1:13">
      <c r="A1361" s="1">
        <f>HYPERLINK("http://www.twitter.com/NathanBLawrence/status/836731945967038464", "836731945967038464")</f>
        <v/>
      </c>
      <c r="B1361" s="2" t="n">
        <v>42795.01175925926</v>
      </c>
      <c r="C1361" t="n">
        <v>0</v>
      </c>
      <c r="D1361" t="n">
        <v>1998</v>
      </c>
      <c r="E1361" t="s">
        <v>1367</v>
      </c>
      <c r="F1361" t="s"/>
      <c r="G1361" t="s"/>
      <c r="H1361" t="s"/>
      <c r="I1361" t="s"/>
      <c r="J1361" t="n">
        <v>-0.5563</v>
      </c>
      <c r="K1361" t="n">
        <v>0.193</v>
      </c>
      <c r="L1361" t="n">
        <v>0.8070000000000001</v>
      </c>
      <c r="M1361" t="n">
        <v>0</v>
      </c>
    </row>
    <row r="1362" spans="1:13">
      <c r="A1362" s="1">
        <f>HYPERLINK("http://www.twitter.com/NathanBLawrence/status/836668553885593600", "836668553885593600")</f>
        <v/>
      </c>
      <c r="B1362" s="2" t="n">
        <v>42794.8368287037</v>
      </c>
      <c r="C1362" t="n">
        <v>0</v>
      </c>
      <c r="D1362" t="n">
        <v>54</v>
      </c>
      <c r="E1362" t="s">
        <v>1368</v>
      </c>
      <c r="F1362" t="s"/>
      <c r="G1362" t="s"/>
      <c r="H1362" t="s"/>
      <c r="I1362" t="s"/>
      <c r="J1362" t="n">
        <v>-0.2263</v>
      </c>
      <c r="K1362" t="n">
        <v>0.112</v>
      </c>
      <c r="L1362" t="n">
        <v>0.888</v>
      </c>
      <c r="M1362" t="n">
        <v>0</v>
      </c>
    </row>
    <row r="1363" spans="1:13">
      <c r="A1363" s="1">
        <f>HYPERLINK("http://www.twitter.com/NathanBLawrence/status/836663417758973952", "836663417758973952")</f>
        <v/>
      </c>
      <c r="B1363" s="2" t="n">
        <v>42794.82265046296</v>
      </c>
      <c r="C1363" t="n">
        <v>0</v>
      </c>
      <c r="D1363" t="n">
        <v>2573</v>
      </c>
      <c r="E1363" t="s">
        <v>1369</v>
      </c>
      <c r="F1363">
        <f>HYPERLINK("https://video.twimg.com/ext_tw_video/836235858965487616/pu/vid/240x180/RYLdem8ImW98oAXw.mp4", "https://video.twimg.com/ext_tw_video/836235858965487616/pu/vid/240x180/RYLdem8ImW98oAXw.mp4")</f>
        <v/>
      </c>
      <c r="G1363" t="s"/>
      <c r="H1363" t="s"/>
      <c r="I1363" t="s"/>
      <c r="J1363" t="n">
        <v>-0.886</v>
      </c>
      <c r="K1363" t="n">
        <v>0.366</v>
      </c>
      <c r="L1363" t="n">
        <v>0.634</v>
      </c>
      <c r="M1363" t="n">
        <v>0</v>
      </c>
    </row>
    <row r="1364" spans="1:13">
      <c r="A1364" s="1">
        <f>HYPERLINK("http://www.twitter.com/NathanBLawrence/status/836660755218980864", "836660755218980864")</f>
        <v/>
      </c>
      <c r="B1364" s="2" t="n">
        <v>42794.8153125</v>
      </c>
      <c r="C1364" t="n">
        <v>0</v>
      </c>
      <c r="D1364" t="n">
        <v>4</v>
      </c>
      <c r="E1364" t="s">
        <v>1370</v>
      </c>
      <c r="F1364">
        <f>HYPERLINK("http://pbs.twimg.com/media/C5xnBa2VAAA4A84.jpg", "http://pbs.twimg.com/media/C5xnBa2VAAA4A84.jpg")</f>
        <v/>
      </c>
      <c r="G1364" t="s"/>
      <c r="H1364" t="s"/>
      <c r="I1364" t="s"/>
      <c r="J1364" t="n">
        <v>0</v>
      </c>
      <c r="K1364" t="n">
        <v>0</v>
      </c>
      <c r="L1364" t="n">
        <v>1</v>
      </c>
      <c r="M1364" t="n">
        <v>0</v>
      </c>
    </row>
    <row r="1365" spans="1:13">
      <c r="A1365" s="1">
        <f>HYPERLINK("http://www.twitter.com/NathanBLawrence/status/836658466089492480", "836658466089492480")</f>
        <v/>
      </c>
      <c r="B1365" s="2" t="n">
        <v>42794.80899305556</v>
      </c>
      <c r="C1365" t="n">
        <v>0</v>
      </c>
      <c r="D1365" t="n">
        <v>265</v>
      </c>
      <c r="E1365" t="s">
        <v>1371</v>
      </c>
      <c r="F1365">
        <f>HYPERLINK("http://pbs.twimg.com/media/C5xmhT_WAAAWnoT.jpg", "http://pbs.twimg.com/media/C5xmhT_WAAAWnoT.jpg")</f>
        <v/>
      </c>
      <c r="G1365">
        <f>HYPERLINK("http://pbs.twimg.com/media/C5xmhT8WQAAdeOt.jpg", "http://pbs.twimg.com/media/C5xmhT8WQAAdeOt.jpg")</f>
        <v/>
      </c>
      <c r="H1365">
        <f>HYPERLINK("http://pbs.twimg.com/media/C5xmhT9XQAEQeFp.jpg", "http://pbs.twimg.com/media/C5xmhT9XQAEQeFp.jpg")</f>
        <v/>
      </c>
      <c r="I1365" t="s"/>
      <c r="J1365" t="n">
        <v>-0.5574</v>
      </c>
      <c r="K1365" t="n">
        <v>0.173</v>
      </c>
      <c r="L1365" t="n">
        <v>0.827</v>
      </c>
      <c r="M1365" t="n">
        <v>0</v>
      </c>
    </row>
    <row r="1366" spans="1:13">
      <c r="A1366" s="1">
        <f>HYPERLINK("http://www.twitter.com/NathanBLawrence/status/836614105079418882", "836614105079418882")</f>
        <v/>
      </c>
      <c r="B1366" s="2" t="n">
        <v>42794.68657407408</v>
      </c>
      <c r="C1366" t="n">
        <v>0</v>
      </c>
      <c r="D1366" t="n">
        <v>712</v>
      </c>
      <c r="E1366" t="s">
        <v>1372</v>
      </c>
      <c r="F1366">
        <f>HYPERLINK("http://pbs.twimg.com/media/C5b0FjKWAAAJCRO.jpg", "http://pbs.twimg.com/media/C5b0FjKWAAAJCRO.jpg")</f>
        <v/>
      </c>
      <c r="G1366" t="s"/>
      <c r="H1366" t="s"/>
      <c r="I1366" t="s"/>
      <c r="J1366" t="n">
        <v>0.296</v>
      </c>
      <c r="K1366" t="n">
        <v>0</v>
      </c>
      <c r="L1366" t="n">
        <v>0.905</v>
      </c>
      <c r="M1366" t="n">
        <v>0.095</v>
      </c>
    </row>
    <row r="1367" spans="1:13">
      <c r="A1367" s="1">
        <f>HYPERLINK("http://www.twitter.com/NathanBLawrence/status/836378735842570240", "836378735842570240")</f>
        <v/>
      </c>
      <c r="B1367" s="2" t="n">
        <v>42794.03708333334</v>
      </c>
      <c r="C1367" t="n">
        <v>0</v>
      </c>
      <c r="D1367" t="n">
        <v>1</v>
      </c>
      <c r="E1367" t="s">
        <v>1373</v>
      </c>
      <c r="F1367">
        <f>HYPERLINK("http://pbs.twimg.com/media/C5tKnacUoAAvInS.jpg", "http://pbs.twimg.com/media/C5tKnacUoAAvInS.jpg")</f>
        <v/>
      </c>
      <c r="G1367" t="s"/>
      <c r="H1367" t="s"/>
      <c r="I1367" t="s"/>
      <c r="J1367" t="n">
        <v>-0.3612</v>
      </c>
      <c r="K1367" t="n">
        <v>0.185</v>
      </c>
      <c r="L1367" t="n">
        <v>0.8149999999999999</v>
      </c>
      <c r="M1367" t="n">
        <v>0</v>
      </c>
    </row>
    <row r="1368" spans="1:13">
      <c r="A1368" s="1">
        <f>HYPERLINK("http://www.twitter.com/NathanBLawrence/status/836376904512983042", "836376904512983042")</f>
        <v/>
      </c>
      <c r="B1368" s="2" t="n">
        <v>42794.03202546296</v>
      </c>
      <c r="C1368" t="n">
        <v>0</v>
      </c>
      <c r="D1368" t="n">
        <v>389</v>
      </c>
      <c r="E1368" t="s">
        <v>1374</v>
      </c>
      <c r="F1368" t="s"/>
      <c r="G1368" t="s"/>
      <c r="H1368" t="s"/>
      <c r="I1368" t="s"/>
      <c r="J1368" t="n">
        <v>-0.5806</v>
      </c>
      <c r="K1368" t="n">
        <v>0.239</v>
      </c>
      <c r="L1368" t="n">
        <v>0.67</v>
      </c>
      <c r="M1368" t="n">
        <v>0.091</v>
      </c>
    </row>
    <row r="1369" spans="1:13">
      <c r="A1369" s="1">
        <f>HYPERLINK("http://www.twitter.com/NathanBLawrence/status/836374631124721666", "836374631124721666")</f>
        <v/>
      </c>
      <c r="B1369" s="2" t="n">
        <v>42794.02575231482</v>
      </c>
      <c r="C1369" t="n">
        <v>0</v>
      </c>
      <c r="D1369" t="n">
        <v>1609</v>
      </c>
      <c r="E1369" t="s">
        <v>1375</v>
      </c>
      <c r="F1369" t="s"/>
      <c r="G1369" t="s"/>
      <c r="H1369" t="s"/>
      <c r="I1369" t="s"/>
      <c r="J1369" t="n">
        <v>0.2023</v>
      </c>
      <c r="K1369" t="n">
        <v>0</v>
      </c>
      <c r="L1369" t="n">
        <v>0.899</v>
      </c>
      <c r="M1369" t="n">
        <v>0.101</v>
      </c>
    </row>
    <row r="1370" spans="1:13">
      <c r="A1370" s="1">
        <f>HYPERLINK("http://www.twitter.com/NathanBLawrence/status/836350761466494979", "836350761466494979")</f>
        <v/>
      </c>
      <c r="B1370" s="2" t="n">
        <v>42793.95988425926</v>
      </c>
      <c r="C1370" t="n">
        <v>0</v>
      </c>
      <c r="D1370" t="n">
        <v>2785</v>
      </c>
      <c r="E1370" t="s">
        <v>1376</v>
      </c>
      <c r="F1370" t="s"/>
      <c r="G1370" t="s"/>
      <c r="H1370" t="s"/>
      <c r="I1370" t="s"/>
      <c r="J1370" t="n">
        <v>-0.4404</v>
      </c>
      <c r="K1370" t="n">
        <v>0.177</v>
      </c>
      <c r="L1370" t="n">
        <v>0.679</v>
      </c>
      <c r="M1370" t="n">
        <v>0.143</v>
      </c>
    </row>
    <row r="1371" spans="1:13">
      <c r="A1371" s="1">
        <f>HYPERLINK("http://www.twitter.com/NathanBLawrence/status/836321905577705472", "836321905577705472")</f>
        <v/>
      </c>
      <c r="B1371" s="2" t="n">
        <v>42793.88026620371</v>
      </c>
      <c r="C1371" t="n">
        <v>0</v>
      </c>
      <c r="D1371" t="n">
        <v>192</v>
      </c>
      <c r="E1371" t="s">
        <v>1377</v>
      </c>
      <c r="F1371">
        <f>HYPERLINK("http://pbs.twimg.com/media/C5s2IntWQAAzzzc.jpg", "http://pbs.twimg.com/media/C5s2IntWQAAzzzc.jpg")</f>
        <v/>
      </c>
      <c r="G1371" t="s"/>
      <c r="H1371" t="s"/>
      <c r="I1371" t="s"/>
      <c r="J1371" t="n">
        <v>-0.3818</v>
      </c>
      <c r="K1371" t="n">
        <v>0.153</v>
      </c>
      <c r="L1371" t="n">
        <v>0.763</v>
      </c>
      <c r="M1371" t="n">
        <v>0.08500000000000001</v>
      </c>
    </row>
    <row r="1372" spans="1:13">
      <c r="A1372" s="1">
        <f>HYPERLINK("http://www.twitter.com/NathanBLawrence/status/836277252430102529", "836277252430102529")</f>
        <v/>
      </c>
      <c r="B1372" s="2" t="n">
        <v>42793.75703703704</v>
      </c>
      <c r="C1372" t="n">
        <v>0</v>
      </c>
      <c r="D1372" t="n">
        <v>821</v>
      </c>
      <c r="E1372" t="s">
        <v>1378</v>
      </c>
      <c r="F1372" t="s"/>
      <c r="G1372" t="s"/>
      <c r="H1372" t="s"/>
      <c r="I1372" t="s"/>
      <c r="J1372" t="n">
        <v>-0.4404</v>
      </c>
      <c r="K1372" t="n">
        <v>0.108</v>
      </c>
      <c r="L1372" t="n">
        <v>0.892</v>
      </c>
      <c r="M1372" t="n">
        <v>0</v>
      </c>
    </row>
    <row r="1373" spans="1:13">
      <c r="A1373" s="1">
        <f>HYPERLINK("http://www.twitter.com/NathanBLawrence/status/836272421405605888", "836272421405605888")</f>
        <v/>
      </c>
      <c r="B1373" s="2" t="n">
        <v>42793.74371527778</v>
      </c>
      <c r="C1373" t="n">
        <v>0</v>
      </c>
      <c r="D1373" t="n">
        <v>0</v>
      </c>
      <c r="E1373" t="s">
        <v>1379</v>
      </c>
      <c r="F1373" t="s"/>
      <c r="G1373" t="s"/>
      <c r="H1373" t="s"/>
      <c r="I1373" t="s"/>
      <c r="J1373" t="n">
        <v>0.5719</v>
      </c>
      <c r="K1373" t="n">
        <v>0</v>
      </c>
      <c r="L1373" t="n">
        <v>0.8169999999999999</v>
      </c>
      <c r="M1373" t="n">
        <v>0.183</v>
      </c>
    </row>
    <row r="1374" spans="1:13">
      <c r="A1374" s="1">
        <f>HYPERLINK("http://www.twitter.com/NathanBLawrence/status/836257913299664896", "836257913299664896")</f>
        <v/>
      </c>
      <c r="B1374" s="2" t="n">
        <v>42793.70368055555</v>
      </c>
      <c r="C1374" t="n">
        <v>0</v>
      </c>
      <c r="D1374" t="n">
        <v>13692</v>
      </c>
      <c r="E1374" t="s">
        <v>1380</v>
      </c>
      <c r="F1374" t="s"/>
      <c r="G1374" t="s"/>
      <c r="H1374" t="s"/>
      <c r="I1374" t="s"/>
      <c r="J1374" t="n">
        <v>0.6369</v>
      </c>
      <c r="K1374" t="n">
        <v>0</v>
      </c>
      <c r="L1374" t="n">
        <v>0.776</v>
      </c>
      <c r="M1374" t="n">
        <v>0.224</v>
      </c>
    </row>
    <row r="1375" spans="1:13">
      <c r="A1375" s="1">
        <f>HYPERLINK("http://www.twitter.com/NathanBLawrence/status/836247697845858304", "836247697845858304")</f>
        <v/>
      </c>
      <c r="B1375" s="2" t="n">
        <v>42793.67548611111</v>
      </c>
      <c r="C1375" t="n">
        <v>0</v>
      </c>
      <c r="D1375" t="n">
        <v>4</v>
      </c>
      <c r="E1375" t="s">
        <v>1381</v>
      </c>
      <c r="F1375" t="s"/>
      <c r="G1375" t="s"/>
      <c r="H1375" t="s"/>
      <c r="I1375" t="s"/>
      <c r="J1375" t="n">
        <v>0</v>
      </c>
      <c r="K1375" t="n">
        <v>0</v>
      </c>
      <c r="L1375" t="n">
        <v>1</v>
      </c>
      <c r="M1375" t="n">
        <v>0</v>
      </c>
    </row>
    <row r="1376" spans="1:13">
      <c r="A1376" s="1">
        <f>HYPERLINK("http://www.twitter.com/NathanBLawrence/status/836239596484771840", "836239596484771840")</f>
        <v/>
      </c>
      <c r="B1376" s="2" t="n">
        <v>42793.65313657407</v>
      </c>
      <c r="C1376" t="n">
        <v>0</v>
      </c>
      <c r="D1376" t="n">
        <v>214</v>
      </c>
      <c r="E1376" t="s">
        <v>1382</v>
      </c>
      <c r="F1376" t="s"/>
      <c r="G1376" t="s"/>
      <c r="H1376" t="s"/>
      <c r="I1376" t="s"/>
      <c r="J1376" t="n">
        <v>-0.5423</v>
      </c>
      <c r="K1376" t="n">
        <v>0.278</v>
      </c>
      <c r="L1376" t="n">
        <v>0.592</v>
      </c>
      <c r="M1376" t="n">
        <v>0.13</v>
      </c>
    </row>
    <row r="1377" spans="1:13">
      <c r="A1377" s="1">
        <f>HYPERLINK("http://www.twitter.com/NathanBLawrence/status/835984603848577025", "835984603848577025")</f>
        <v/>
      </c>
      <c r="B1377" s="2" t="n">
        <v>42792.94949074074</v>
      </c>
      <c r="C1377" t="n">
        <v>0</v>
      </c>
      <c r="D1377" t="n">
        <v>1</v>
      </c>
      <c r="E1377" t="s">
        <v>1383</v>
      </c>
      <c r="F1377" t="s"/>
      <c r="G1377" t="s"/>
      <c r="H1377" t="s"/>
      <c r="I1377" t="s"/>
      <c r="J1377" t="n">
        <v>0</v>
      </c>
      <c r="K1377" t="n">
        <v>0</v>
      </c>
      <c r="L1377" t="n">
        <v>1</v>
      </c>
      <c r="M1377" t="n">
        <v>0</v>
      </c>
    </row>
    <row r="1378" spans="1:13">
      <c r="A1378" s="1">
        <f>HYPERLINK("http://www.twitter.com/NathanBLawrence/status/835960783431471105", "835960783431471105")</f>
        <v/>
      </c>
      <c r="B1378" s="2" t="n">
        <v>42792.88375</v>
      </c>
      <c r="C1378" t="n">
        <v>0</v>
      </c>
      <c r="D1378" t="n">
        <v>0</v>
      </c>
      <c r="E1378" t="s">
        <v>1384</v>
      </c>
      <c r="F1378" t="s"/>
      <c r="G1378" t="s"/>
      <c r="H1378" t="s"/>
      <c r="I1378" t="s"/>
      <c r="J1378" t="n">
        <v>-0.5719</v>
      </c>
      <c r="K1378" t="n">
        <v>0.222</v>
      </c>
      <c r="L1378" t="n">
        <v>0.778</v>
      </c>
      <c r="M1378" t="n">
        <v>0</v>
      </c>
    </row>
    <row r="1379" spans="1:13">
      <c r="A1379" s="1">
        <f>HYPERLINK("http://www.twitter.com/NathanBLawrence/status/835959325847879680", "835959325847879680")</f>
        <v/>
      </c>
      <c r="B1379" s="2" t="n">
        <v>42792.8797337963</v>
      </c>
      <c r="C1379" t="n">
        <v>0</v>
      </c>
      <c r="D1379" t="n">
        <v>292</v>
      </c>
      <c r="E1379" t="s">
        <v>1385</v>
      </c>
      <c r="F1379" t="s"/>
      <c r="G1379" t="s"/>
      <c r="H1379" t="s"/>
      <c r="I1379" t="s"/>
      <c r="J1379" t="n">
        <v>0</v>
      </c>
      <c r="K1379" t="n">
        <v>0</v>
      </c>
      <c r="L1379" t="n">
        <v>1</v>
      </c>
      <c r="M1379" t="n">
        <v>0</v>
      </c>
    </row>
    <row r="1380" spans="1:13">
      <c r="A1380" s="1">
        <f>HYPERLINK("http://www.twitter.com/NathanBLawrence/status/835935660531941376", "835935660531941376")</f>
        <v/>
      </c>
      <c r="B1380" s="2" t="n">
        <v>42792.81443287037</v>
      </c>
      <c r="C1380" t="n">
        <v>2</v>
      </c>
      <c r="D1380" t="n">
        <v>0</v>
      </c>
      <c r="E1380" t="s">
        <v>1386</v>
      </c>
      <c r="F1380" t="s"/>
      <c r="G1380" t="s"/>
      <c r="H1380" t="s"/>
      <c r="I1380" t="s"/>
      <c r="J1380" t="n">
        <v>-0.4199</v>
      </c>
      <c r="K1380" t="n">
        <v>0.237</v>
      </c>
      <c r="L1380" t="n">
        <v>0.763</v>
      </c>
      <c r="M1380" t="n">
        <v>0</v>
      </c>
    </row>
    <row r="1381" spans="1:13">
      <c r="A1381" s="1">
        <f>HYPERLINK("http://www.twitter.com/NathanBLawrence/status/835642333123182593", "835642333123182593")</f>
        <v/>
      </c>
      <c r="B1381" s="2" t="n">
        <v>42792.005</v>
      </c>
      <c r="C1381" t="n">
        <v>0</v>
      </c>
      <c r="D1381" t="n">
        <v>1172</v>
      </c>
      <c r="E1381" t="s">
        <v>1387</v>
      </c>
      <c r="F1381" t="s"/>
      <c r="G1381" t="s"/>
      <c r="H1381" t="s"/>
      <c r="I1381" t="s"/>
      <c r="J1381" t="n">
        <v>-0.0296</v>
      </c>
      <c r="K1381" t="n">
        <v>0.08599999999999999</v>
      </c>
      <c r="L1381" t="n">
        <v>0.831</v>
      </c>
      <c r="M1381" t="n">
        <v>0.082</v>
      </c>
    </row>
    <row r="1382" spans="1:13">
      <c r="A1382" s="1">
        <f>HYPERLINK("http://www.twitter.com/NathanBLawrence/status/835606181909495810", "835606181909495810")</f>
        <v/>
      </c>
      <c r="B1382" s="2" t="n">
        <v>42791.90524305555</v>
      </c>
      <c r="C1382" t="n">
        <v>0</v>
      </c>
      <c r="D1382" t="n">
        <v>1357</v>
      </c>
      <c r="E1382" t="s">
        <v>1388</v>
      </c>
      <c r="F1382" t="s"/>
      <c r="G1382" t="s"/>
      <c r="H1382" t="s"/>
      <c r="I1382" t="s"/>
      <c r="J1382" t="n">
        <v>0</v>
      </c>
      <c r="K1382" t="n">
        <v>0</v>
      </c>
      <c r="L1382" t="n">
        <v>1</v>
      </c>
      <c r="M1382" t="n">
        <v>0</v>
      </c>
    </row>
    <row r="1383" spans="1:13">
      <c r="A1383" s="1">
        <f>HYPERLINK("http://www.twitter.com/NathanBLawrence/status/835579585873989633", "835579585873989633")</f>
        <v/>
      </c>
      <c r="B1383" s="2" t="n">
        <v>42791.83185185185</v>
      </c>
      <c r="C1383" t="n">
        <v>0</v>
      </c>
      <c r="D1383" t="n">
        <v>117</v>
      </c>
      <c r="E1383" t="s">
        <v>1389</v>
      </c>
      <c r="F1383" t="s"/>
      <c r="G1383" t="s"/>
      <c r="H1383" t="s"/>
      <c r="I1383" t="s"/>
      <c r="J1383" t="n">
        <v>-0.7579</v>
      </c>
      <c r="K1383" t="n">
        <v>0.277</v>
      </c>
      <c r="L1383" t="n">
        <v>0.723</v>
      </c>
      <c r="M1383" t="n">
        <v>0</v>
      </c>
    </row>
    <row r="1384" spans="1:13">
      <c r="A1384" s="1">
        <f>HYPERLINK("http://www.twitter.com/NathanBLawrence/status/835539507424423937", "835539507424423937")</f>
        <v/>
      </c>
      <c r="B1384" s="2" t="n">
        <v>42791.72125</v>
      </c>
      <c r="C1384" t="n">
        <v>0</v>
      </c>
      <c r="D1384" t="n">
        <v>3</v>
      </c>
      <c r="E1384" t="s">
        <v>1390</v>
      </c>
      <c r="F1384">
        <f>HYPERLINK("http://pbs.twimg.com/media/C5ekd7FUsAAldYu.jpg", "http://pbs.twimg.com/media/C5ekd7FUsAAldYu.jpg")</f>
        <v/>
      </c>
      <c r="G1384" t="s"/>
      <c r="H1384" t="s"/>
      <c r="I1384" t="s"/>
      <c r="J1384" t="n">
        <v>0</v>
      </c>
      <c r="K1384" t="n">
        <v>0</v>
      </c>
      <c r="L1384" t="n">
        <v>1</v>
      </c>
      <c r="M1384" t="n">
        <v>0</v>
      </c>
    </row>
    <row r="1385" spans="1:13">
      <c r="A1385" s="1">
        <f>HYPERLINK("http://www.twitter.com/NathanBLawrence/status/835519001904177152", "835519001904177152")</f>
        <v/>
      </c>
      <c r="B1385" s="2" t="n">
        <v>42791.66466435185</v>
      </c>
      <c r="C1385" t="n">
        <v>0</v>
      </c>
      <c r="D1385" t="n">
        <v>6</v>
      </c>
      <c r="E1385" t="s">
        <v>1391</v>
      </c>
      <c r="F1385">
        <f>HYPERLINK("http://pbs.twimg.com/media/C5ha8zIVUAA1Zeu.jpg", "http://pbs.twimg.com/media/C5ha8zIVUAA1Zeu.jpg")</f>
        <v/>
      </c>
      <c r="G1385" t="s"/>
      <c r="H1385" t="s"/>
      <c r="I1385" t="s"/>
      <c r="J1385" t="n">
        <v>-0.2023</v>
      </c>
      <c r="K1385" t="n">
        <v>0.184</v>
      </c>
      <c r="L1385" t="n">
        <v>0.8159999999999999</v>
      </c>
      <c r="M1385" t="n">
        <v>0</v>
      </c>
    </row>
    <row r="1386" spans="1:13">
      <c r="A1386" s="1">
        <f>HYPERLINK("http://www.twitter.com/NathanBLawrence/status/835458411458359297", "835458411458359297")</f>
        <v/>
      </c>
      <c r="B1386" s="2" t="n">
        <v>42791.49747685185</v>
      </c>
      <c r="C1386" t="n">
        <v>0</v>
      </c>
      <c r="D1386" t="n">
        <v>0</v>
      </c>
      <c r="E1386" t="s">
        <v>1392</v>
      </c>
      <c r="F1386" t="s"/>
      <c r="G1386" t="s"/>
      <c r="H1386" t="s"/>
      <c r="I1386" t="s"/>
      <c r="J1386" t="n">
        <v>0</v>
      </c>
      <c r="K1386" t="n">
        <v>0</v>
      </c>
      <c r="L1386" t="n">
        <v>1</v>
      </c>
      <c r="M1386" t="n">
        <v>0</v>
      </c>
    </row>
    <row r="1387" spans="1:13">
      <c r="A1387" s="1">
        <f>HYPERLINK("http://www.twitter.com/NathanBLawrence/status/835326028520226817", "835326028520226817")</f>
        <v/>
      </c>
      <c r="B1387" s="2" t="n">
        <v>42791.13216435185</v>
      </c>
      <c r="C1387" t="n">
        <v>0</v>
      </c>
      <c r="D1387" t="n">
        <v>3</v>
      </c>
      <c r="E1387" t="s">
        <v>1393</v>
      </c>
      <c r="F1387" t="s"/>
      <c r="G1387" t="s"/>
      <c r="H1387" t="s"/>
      <c r="I1387" t="s"/>
      <c r="J1387" t="n">
        <v>-0.5255</v>
      </c>
      <c r="K1387" t="n">
        <v>0.151</v>
      </c>
      <c r="L1387" t="n">
        <v>0.849</v>
      </c>
      <c r="M1387" t="n">
        <v>0</v>
      </c>
    </row>
    <row r="1388" spans="1:13">
      <c r="A1388" s="1">
        <f>HYPERLINK("http://www.twitter.com/NathanBLawrence/status/835324834548711424", "835324834548711424")</f>
        <v/>
      </c>
      <c r="B1388" s="2" t="n">
        <v>42791.12886574074</v>
      </c>
      <c r="C1388" t="n">
        <v>0</v>
      </c>
      <c r="D1388" t="n">
        <v>1867</v>
      </c>
      <c r="E1388" t="s">
        <v>1394</v>
      </c>
      <c r="F1388" t="s"/>
      <c r="G1388" t="s"/>
      <c r="H1388" t="s"/>
      <c r="I1388" t="s"/>
      <c r="J1388" t="n">
        <v>0.2481</v>
      </c>
      <c r="K1388" t="n">
        <v>0.137</v>
      </c>
      <c r="L1388" t="n">
        <v>0.641</v>
      </c>
      <c r="M1388" t="n">
        <v>0.222</v>
      </c>
    </row>
    <row r="1389" spans="1:13">
      <c r="A1389" s="1">
        <f>HYPERLINK("http://www.twitter.com/NathanBLawrence/status/835302870576672768", "835302870576672768")</f>
        <v/>
      </c>
      <c r="B1389" s="2" t="n">
        <v>42791.06826388889</v>
      </c>
      <c r="C1389" t="n">
        <v>5</v>
      </c>
      <c r="D1389" t="n">
        <v>0</v>
      </c>
      <c r="E1389" t="s">
        <v>1395</v>
      </c>
      <c r="F1389" t="s"/>
      <c r="G1389" t="s"/>
      <c r="H1389" t="s"/>
      <c r="I1389" t="s"/>
      <c r="J1389" t="n">
        <v>0.75</v>
      </c>
      <c r="K1389" t="n">
        <v>0</v>
      </c>
      <c r="L1389" t="n">
        <v>0.701</v>
      </c>
      <c r="M1389" t="n">
        <v>0.299</v>
      </c>
    </row>
    <row r="1390" spans="1:13">
      <c r="A1390" s="1">
        <f>HYPERLINK("http://www.twitter.com/NathanBLawrence/status/835290151073026048", "835290151073026048")</f>
        <v/>
      </c>
      <c r="B1390" s="2" t="n">
        <v>42791.03315972222</v>
      </c>
      <c r="C1390" t="n">
        <v>0</v>
      </c>
      <c r="D1390" t="n">
        <v>2605</v>
      </c>
      <c r="E1390" t="s">
        <v>1396</v>
      </c>
      <c r="F1390" t="s"/>
      <c r="G1390" t="s"/>
      <c r="H1390" t="s"/>
      <c r="I1390" t="s"/>
      <c r="J1390" t="n">
        <v>0.281</v>
      </c>
      <c r="K1390" t="n">
        <v>0.099</v>
      </c>
      <c r="L1390" t="n">
        <v>0.722</v>
      </c>
      <c r="M1390" t="n">
        <v>0.18</v>
      </c>
    </row>
    <row r="1391" spans="1:13">
      <c r="A1391" s="1">
        <f>HYPERLINK("http://www.twitter.com/NathanBLawrence/status/835289986807250945", "835289986807250945")</f>
        <v/>
      </c>
      <c r="B1391" s="2" t="n">
        <v>42791.03270833333</v>
      </c>
      <c r="C1391" t="n">
        <v>0</v>
      </c>
      <c r="D1391" t="n">
        <v>136</v>
      </c>
      <c r="E1391" t="s">
        <v>1397</v>
      </c>
      <c r="F1391" t="s"/>
      <c r="G1391" t="s"/>
      <c r="H1391" t="s"/>
      <c r="I1391" t="s"/>
      <c r="J1391" t="n">
        <v>0.34</v>
      </c>
      <c r="K1391" t="n">
        <v>0</v>
      </c>
      <c r="L1391" t="n">
        <v>0.882</v>
      </c>
      <c r="M1391" t="n">
        <v>0.118</v>
      </c>
    </row>
    <row r="1392" spans="1:13">
      <c r="A1392" s="1">
        <f>HYPERLINK("http://www.twitter.com/NathanBLawrence/status/835250593887289344", "835250593887289344")</f>
        <v/>
      </c>
      <c r="B1392" s="2" t="n">
        <v>42790.92400462963</v>
      </c>
      <c r="C1392" t="n">
        <v>2</v>
      </c>
      <c r="D1392" t="n">
        <v>0</v>
      </c>
      <c r="E1392" t="s">
        <v>1398</v>
      </c>
      <c r="F1392" t="s"/>
      <c r="G1392" t="s"/>
      <c r="H1392" t="s"/>
      <c r="I1392" t="s"/>
      <c r="J1392" t="n">
        <v>0</v>
      </c>
      <c r="K1392" t="n">
        <v>0</v>
      </c>
      <c r="L1392" t="n">
        <v>1</v>
      </c>
      <c r="M1392" t="n">
        <v>0</v>
      </c>
    </row>
    <row r="1393" spans="1:13">
      <c r="A1393" s="1">
        <f>HYPERLINK("http://www.twitter.com/NathanBLawrence/status/835201078538948609", "835201078538948609")</f>
        <v/>
      </c>
      <c r="B1393" s="2" t="n">
        <v>42790.78737268518</v>
      </c>
      <c r="C1393" t="n">
        <v>2</v>
      </c>
      <c r="D1393" t="n">
        <v>0</v>
      </c>
      <c r="E1393" t="s">
        <v>1399</v>
      </c>
      <c r="F1393" t="s"/>
      <c r="G1393" t="s"/>
      <c r="H1393" t="s"/>
      <c r="I1393" t="s"/>
      <c r="J1393" t="n">
        <v>0.6696</v>
      </c>
      <c r="K1393" t="n">
        <v>0</v>
      </c>
      <c r="L1393" t="n">
        <v>0.471</v>
      </c>
      <c r="M1393" t="n">
        <v>0.529</v>
      </c>
    </row>
    <row r="1394" spans="1:13">
      <c r="A1394" s="1">
        <f>HYPERLINK("http://www.twitter.com/NathanBLawrence/status/835200289665912832", "835200289665912832")</f>
        <v/>
      </c>
      <c r="B1394" s="2" t="n">
        <v>42790.78518518519</v>
      </c>
      <c r="C1394" t="n">
        <v>0</v>
      </c>
      <c r="D1394" t="n">
        <v>2619</v>
      </c>
      <c r="E1394" t="s">
        <v>1400</v>
      </c>
      <c r="F1394" t="s"/>
      <c r="G1394" t="s"/>
      <c r="H1394" t="s"/>
      <c r="I1394" t="s"/>
      <c r="J1394" t="n">
        <v>-0.2732</v>
      </c>
      <c r="K1394" t="n">
        <v>0.11</v>
      </c>
      <c r="L1394" t="n">
        <v>0.89</v>
      </c>
      <c r="M1394" t="n">
        <v>0</v>
      </c>
    </row>
    <row r="1395" spans="1:13">
      <c r="A1395" s="1">
        <f>HYPERLINK("http://www.twitter.com/NathanBLawrence/status/834968077196488705", "834968077196488705")</f>
        <v/>
      </c>
      <c r="B1395" s="2" t="n">
        <v>42790.14440972222</v>
      </c>
      <c r="C1395" t="n">
        <v>0</v>
      </c>
      <c r="D1395" t="n">
        <v>15</v>
      </c>
      <c r="E1395" t="s">
        <v>1401</v>
      </c>
      <c r="F1395">
        <f>HYPERLINK("http://pbs.twimg.com/media/C5ZEYj9UYAA9IpS.jpg", "http://pbs.twimg.com/media/C5ZEYj9UYAA9IpS.jpg")</f>
        <v/>
      </c>
      <c r="G1395" t="s"/>
      <c r="H1395" t="s"/>
      <c r="I1395" t="s"/>
      <c r="J1395" t="n">
        <v>0</v>
      </c>
      <c r="K1395" t="n">
        <v>0</v>
      </c>
      <c r="L1395" t="n">
        <v>1</v>
      </c>
      <c r="M1395" t="n">
        <v>0</v>
      </c>
    </row>
    <row r="1396" spans="1:13">
      <c r="A1396" s="1">
        <f>HYPERLINK("http://www.twitter.com/NathanBLawrence/status/834964146550673408", "834964146550673408")</f>
        <v/>
      </c>
      <c r="B1396" s="2" t="n">
        <v>42790.13356481482</v>
      </c>
      <c r="C1396" t="n">
        <v>0</v>
      </c>
      <c r="D1396" t="n">
        <v>8</v>
      </c>
      <c r="E1396" t="s">
        <v>1402</v>
      </c>
      <c r="F1396" t="s"/>
      <c r="G1396" t="s"/>
      <c r="H1396" t="s"/>
      <c r="I1396" t="s"/>
      <c r="J1396" t="n">
        <v>0</v>
      </c>
      <c r="K1396" t="n">
        <v>0</v>
      </c>
      <c r="L1396" t="n">
        <v>1</v>
      </c>
      <c r="M1396" t="n">
        <v>0</v>
      </c>
    </row>
    <row r="1397" spans="1:13">
      <c r="A1397" s="1">
        <f>HYPERLINK("http://www.twitter.com/NathanBLawrence/status/834963987108401154", "834963987108401154")</f>
        <v/>
      </c>
      <c r="B1397" s="2" t="n">
        <v>42790.133125</v>
      </c>
      <c r="C1397" t="n">
        <v>0</v>
      </c>
      <c r="D1397" t="n">
        <v>3</v>
      </c>
      <c r="E1397" t="s">
        <v>1403</v>
      </c>
      <c r="F1397">
        <f>HYPERLINK("http://pbs.twimg.com/media/C5ZiryDWAAAKvyK.jpg", "http://pbs.twimg.com/media/C5ZiryDWAAAKvyK.jpg")</f>
        <v/>
      </c>
      <c r="G1397" t="s"/>
      <c r="H1397" t="s"/>
      <c r="I1397" t="s"/>
      <c r="J1397" t="n">
        <v>0.128</v>
      </c>
      <c r="K1397" t="n">
        <v>0</v>
      </c>
      <c r="L1397" t="n">
        <v>0.897</v>
      </c>
      <c r="M1397" t="n">
        <v>0.103</v>
      </c>
    </row>
    <row r="1398" spans="1:13">
      <c r="A1398" s="1">
        <f>HYPERLINK("http://www.twitter.com/NathanBLawrence/status/834894668412387328", "834894668412387328")</f>
        <v/>
      </c>
      <c r="B1398" s="2" t="n">
        <v>42789.94184027778</v>
      </c>
      <c r="C1398" t="n">
        <v>0</v>
      </c>
      <c r="D1398" t="n">
        <v>1351</v>
      </c>
      <c r="E1398" t="s">
        <v>1404</v>
      </c>
      <c r="F1398" t="s"/>
      <c r="G1398" t="s"/>
      <c r="H1398" t="s"/>
      <c r="I1398" t="s"/>
      <c r="J1398" t="n">
        <v>-0.7184</v>
      </c>
      <c r="K1398" t="n">
        <v>0.207</v>
      </c>
      <c r="L1398" t="n">
        <v>0.793</v>
      </c>
      <c r="M1398" t="n">
        <v>0</v>
      </c>
    </row>
    <row r="1399" spans="1:13">
      <c r="A1399" s="1">
        <f>HYPERLINK("http://www.twitter.com/NathanBLawrence/status/834873781344665600", "834873781344665600")</f>
        <v/>
      </c>
      <c r="B1399" s="2" t="n">
        <v>42789.88420138889</v>
      </c>
      <c r="C1399" t="n">
        <v>0</v>
      </c>
      <c r="D1399" t="n">
        <v>4603</v>
      </c>
      <c r="E1399" t="s">
        <v>1405</v>
      </c>
      <c r="F1399" t="s"/>
      <c r="G1399" t="s"/>
      <c r="H1399" t="s"/>
      <c r="I1399" t="s"/>
      <c r="J1399" t="n">
        <v>0.25</v>
      </c>
      <c r="K1399" t="n">
        <v>0</v>
      </c>
      <c r="L1399" t="n">
        <v>0.889</v>
      </c>
      <c r="M1399" t="n">
        <v>0.111</v>
      </c>
    </row>
    <row r="1400" spans="1:13">
      <c r="A1400" s="1">
        <f>HYPERLINK("http://www.twitter.com/NathanBLawrence/status/834839301741506560", "834839301741506560")</f>
        <v/>
      </c>
      <c r="B1400" s="2" t="n">
        <v>42789.78905092592</v>
      </c>
      <c r="C1400" t="n">
        <v>0</v>
      </c>
      <c r="D1400" t="n">
        <v>149</v>
      </c>
      <c r="E1400" t="s">
        <v>1406</v>
      </c>
      <c r="F1400">
        <f>HYPERLINK("http://pbs.twimg.com/media/C5N9XBWVYAEARH_.jpg", "http://pbs.twimg.com/media/C5N9XBWVYAEARH_.jpg")</f>
        <v/>
      </c>
      <c r="G1400" t="s"/>
      <c r="H1400" t="s"/>
      <c r="I1400" t="s"/>
      <c r="J1400" t="n">
        <v>0.3612</v>
      </c>
      <c r="K1400" t="n">
        <v>0</v>
      </c>
      <c r="L1400" t="n">
        <v>0.848</v>
      </c>
      <c r="M1400" t="n">
        <v>0.152</v>
      </c>
    </row>
    <row r="1401" spans="1:13">
      <c r="A1401" s="1">
        <f>HYPERLINK("http://www.twitter.com/NathanBLawrence/status/834834978777268224", "834834978777268224")</f>
        <v/>
      </c>
      <c r="B1401" s="2" t="n">
        <v>42789.77712962963</v>
      </c>
      <c r="C1401" t="n">
        <v>0</v>
      </c>
      <c r="D1401" t="n">
        <v>414</v>
      </c>
      <c r="E1401" t="s">
        <v>1407</v>
      </c>
      <c r="F1401" t="s"/>
      <c r="G1401" t="s"/>
      <c r="H1401" t="s"/>
      <c r="I1401" t="s"/>
      <c r="J1401" t="n">
        <v>-0.5574</v>
      </c>
      <c r="K1401" t="n">
        <v>0.419</v>
      </c>
      <c r="L1401" t="n">
        <v>0.581</v>
      </c>
      <c r="M1401" t="n">
        <v>0</v>
      </c>
    </row>
    <row r="1402" spans="1:13">
      <c r="A1402" s="1">
        <f>HYPERLINK("http://www.twitter.com/NathanBLawrence/status/834834245373816832", "834834245373816832")</f>
        <v/>
      </c>
      <c r="B1402" s="2" t="n">
        <v>42789.77510416666</v>
      </c>
      <c r="C1402" t="n">
        <v>0</v>
      </c>
      <c r="D1402" t="n">
        <v>1</v>
      </c>
      <c r="E1402" t="s">
        <v>1408</v>
      </c>
      <c r="F1402" t="s"/>
      <c r="G1402" t="s"/>
      <c r="H1402" t="s"/>
      <c r="I1402" t="s"/>
      <c r="J1402" t="n">
        <v>0.1779</v>
      </c>
      <c r="K1402" t="n">
        <v>0.141</v>
      </c>
      <c r="L1402" t="n">
        <v>0.678</v>
      </c>
      <c r="M1402" t="n">
        <v>0.181</v>
      </c>
    </row>
    <row r="1403" spans="1:13">
      <c r="A1403" s="1">
        <f>HYPERLINK("http://www.twitter.com/NathanBLawrence/status/834830901729181696", "834830901729181696")</f>
        <v/>
      </c>
      <c r="B1403" s="2" t="n">
        <v>42789.76587962963</v>
      </c>
      <c r="C1403" t="n">
        <v>0</v>
      </c>
      <c r="D1403" t="n">
        <v>1</v>
      </c>
      <c r="E1403" t="s">
        <v>1409</v>
      </c>
      <c r="F1403">
        <f>HYPERLINK("http://pbs.twimg.com/media/C5TpXrYUMAAThrS.jpg", "http://pbs.twimg.com/media/C5TpXrYUMAAThrS.jpg")</f>
        <v/>
      </c>
      <c r="G1403" t="s"/>
      <c r="H1403" t="s"/>
      <c r="I1403" t="s"/>
      <c r="J1403" t="n">
        <v>0</v>
      </c>
      <c r="K1403" t="n">
        <v>0</v>
      </c>
      <c r="L1403" t="n">
        <v>1</v>
      </c>
      <c r="M1403" t="n">
        <v>0</v>
      </c>
    </row>
    <row r="1404" spans="1:13">
      <c r="A1404" s="1">
        <f>HYPERLINK("http://www.twitter.com/NathanBLawrence/status/834830321099141120", "834830321099141120")</f>
        <v/>
      </c>
      <c r="B1404" s="2" t="n">
        <v>42789.76427083334</v>
      </c>
      <c r="C1404" t="n">
        <v>0</v>
      </c>
      <c r="D1404" t="n">
        <v>1</v>
      </c>
      <c r="E1404" t="s">
        <v>1410</v>
      </c>
      <c r="F1404" t="s"/>
      <c r="G1404" t="s"/>
      <c r="H1404" t="s"/>
      <c r="I1404" t="s"/>
      <c r="J1404" t="n">
        <v>0</v>
      </c>
      <c r="K1404" t="n">
        <v>0</v>
      </c>
      <c r="L1404" t="n">
        <v>1</v>
      </c>
      <c r="M1404" t="n">
        <v>0</v>
      </c>
    </row>
    <row r="1405" spans="1:13">
      <c r="A1405" s="1">
        <f>HYPERLINK("http://www.twitter.com/NathanBLawrence/status/834549667593584640", "834549667593584640")</f>
        <v/>
      </c>
      <c r="B1405" s="2" t="n">
        <v>42788.98981481481</v>
      </c>
      <c r="C1405" t="n">
        <v>1</v>
      </c>
      <c r="D1405" t="n">
        <v>0</v>
      </c>
      <c r="E1405" t="s">
        <v>1411</v>
      </c>
      <c r="F1405" t="s"/>
      <c r="G1405" t="s"/>
      <c r="H1405" t="s"/>
      <c r="I1405" t="s"/>
      <c r="J1405" t="n">
        <v>0</v>
      </c>
      <c r="K1405" t="n">
        <v>0</v>
      </c>
      <c r="L1405" t="n">
        <v>1</v>
      </c>
      <c r="M1405" t="n">
        <v>0</v>
      </c>
    </row>
    <row r="1406" spans="1:13">
      <c r="A1406" s="1">
        <f>HYPERLINK("http://www.twitter.com/NathanBLawrence/status/834547251368325122", "834547251368325122")</f>
        <v/>
      </c>
      <c r="B1406" s="2" t="n">
        <v>42788.98314814815</v>
      </c>
      <c r="C1406" t="n">
        <v>1</v>
      </c>
      <c r="D1406" t="n">
        <v>0</v>
      </c>
      <c r="E1406" t="s">
        <v>1412</v>
      </c>
      <c r="F1406" t="s"/>
      <c r="G1406" t="s"/>
      <c r="H1406" t="s"/>
      <c r="I1406" t="s"/>
      <c r="J1406" t="n">
        <v>0</v>
      </c>
      <c r="K1406" t="n">
        <v>0</v>
      </c>
      <c r="L1406" t="n">
        <v>1</v>
      </c>
      <c r="M1406" t="n">
        <v>0</v>
      </c>
    </row>
    <row r="1407" spans="1:13">
      <c r="A1407" s="1">
        <f>HYPERLINK("http://www.twitter.com/NathanBLawrence/status/834509767355818006", "834509767355818006")</f>
        <v/>
      </c>
      <c r="B1407" s="2" t="n">
        <v>42788.87971064815</v>
      </c>
      <c r="C1407" t="n">
        <v>0</v>
      </c>
      <c r="D1407" t="n">
        <v>0</v>
      </c>
      <c r="E1407" t="s">
        <v>1413</v>
      </c>
      <c r="F1407" t="s"/>
      <c r="G1407" t="s"/>
      <c r="H1407" t="s"/>
      <c r="I1407" t="s"/>
      <c r="J1407" t="n">
        <v>0</v>
      </c>
      <c r="K1407" t="n">
        <v>0</v>
      </c>
      <c r="L1407" t="n">
        <v>1</v>
      </c>
      <c r="M1407" t="n">
        <v>0</v>
      </c>
    </row>
    <row r="1408" spans="1:13">
      <c r="A1408" s="1">
        <f>HYPERLINK("http://www.twitter.com/NathanBLawrence/status/834472088278794240", "834472088278794240")</f>
        <v/>
      </c>
      <c r="B1408" s="2" t="n">
        <v>42788.77574074074</v>
      </c>
      <c r="C1408" t="n">
        <v>0</v>
      </c>
      <c r="D1408" t="n">
        <v>2</v>
      </c>
      <c r="E1408" t="s">
        <v>1414</v>
      </c>
      <c r="F1408">
        <f>HYPERLINK("http://pbs.twimg.com/media/C5CitVHVMAAj7zX.jpg", "http://pbs.twimg.com/media/C5CitVHVMAAj7zX.jpg")</f>
        <v/>
      </c>
      <c r="G1408" t="s"/>
      <c r="H1408" t="s"/>
      <c r="I1408" t="s"/>
      <c r="J1408" t="n">
        <v>0</v>
      </c>
      <c r="K1408" t="n">
        <v>0</v>
      </c>
      <c r="L1408" t="n">
        <v>1</v>
      </c>
      <c r="M1408" t="n">
        <v>0</v>
      </c>
    </row>
    <row r="1409" spans="1:13">
      <c r="A1409" s="1">
        <f>HYPERLINK("http://www.twitter.com/NathanBLawrence/status/834470396665745419", "834470396665745419")</f>
        <v/>
      </c>
      <c r="B1409" s="2" t="n">
        <v>42788.77106481481</v>
      </c>
      <c r="C1409" t="n">
        <v>0</v>
      </c>
      <c r="D1409" t="n">
        <v>1</v>
      </c>
      <c r="E1409" t="s">
        <v>1415</v>
      </c>
      <c r="F1409">
        <f>HYPERLINK("http://pbs.twimg.com/media/C5JV2LRUEAAUnLP.jpg", "http://pbs.twimg.com/media/C5JV2LRUEAAUnLP.jpg")</f>
        <v/>
      </c>
      <c r="G1409" t="s"/>
      <c r="H1409" t="s"/>
      <c r="I1409" t="s"/>
      <c r="J1409" t="n">
        <v>0</v>
      </c>
      <c r="K1409" t="n">
        <v>0</v>
      </c>
      <c r="L1409" t="n">
        <v>1</v>
      </c>
      <c r="M1409" t="n">
        <v>0</v>
      </c>
    </row>
    <row r="1410" spans="1:13">
      <c r="A1410" s="1">
        <f>HYPERLINK("http://www.twitter.com/NathanBLawrence/status/834460441514500096", "834460441514500096")</f>
        <v/>
      </c>
      <c r="B1410" s="2" t="n">
        <v>42788.74359953704</v>
      </c>
      <c r="C1410" t="n">
        <v>0</v>
      </c>
      <c r="D1410" t="n">
        <v>380</v>
      </c>
      <c r="E1410" t="s">
        <v>1416</v>
      </c>
      <c r="F1410">
        <f>HYPERLINK("http://pbs.twimg.com/media/C5SGd2gUYAIsckv.jpg", "http://pbs.twimg.com/media/C5SGd2gUYAIsckv.jpg")</f>
        <v/>
      </c>
      <c r="G1410">
        <f>HYPERLINK("http://pbs.twimg.com/media/C5SGgAjUkAAYbJc.jpg", "http://pbs.twimg.com/media/C5SGgAjUkAAYbJc.jpg")</f>
        <v/>
      </c>
      <c r="H1410" t="s"/>
      <c r="I1410" t="s"/>
      <c r="J1410" t="n">
        <v>0.4926</v>
      </c>
      <c r="K1410" t="n">
        <v>0</v>
      </c>
      <c r="L1410" t="n">
        <v>0.8139999999999999</v>
      </c>
      <c r="M1410" t="n">
        <v>0.186</v>
      </c>
    </row>
    <row r="1411" spans="1:13">
      <c r="A1411" s="1">
        <f>HYPERLINK("http://www.twitter.com/NathanBLawrence/status/834455703083417602", "834455703083417602")</f>
        <v/>
      </c>
      <c r="B1411" s="2" t="n">
        <v>42788.73052083333</v>
      </c>
      <c r="C1411" t="n">
        <v>0</v>
      </c>
      <c r="D1411" t="n">
        <v>929</v>
      </c>
      <c r="E1411" t="s">
        <v>1417</v>
      </c>
      <c r="F1411">
        <f>HYPERLINK("http://pbs.twimg.com/media/C5RL-_IUoAAwE2U.jpg", "http://pbs.twimg.com/media/C5RL-_IUoAAwE2U.jpg")</f>
        <v/>
      </c>
      <c r="G1411" t="s"/>
      <c r="H1411" t="s"/>
      <c r="I1411" t="s"/>
      <c r="J1411" t="n">
        <v>0</v>
      </c>
      <c r="K1411" t="n">
        <v>0</v>
      </c>
      <c r="L1411" t="n">
        <v>1</v>
      </c>
      <c r="M1411" t="n">
        <v>0</v>
      </c>
    </row>
    <row r="1412" spans="1:13">
      <c r="A1412" s="1">
        <f>HYPERLINK("http://www.twitter.com/NathanBLawrence/status/834435532243472384", "834435532243472384")</f>
        <v/>
      </c>
      <c r="B1412" s="2" t="n">
        <v>42788.67486111111</v>
      </c>
      <c r="C1412" t="n">
        <v>0</v>
      </c>
      <c r="D1412" t="n">
        <v>3318</v>
      </c>
      <c r="E1412" t="s">
        <v>1418</v>
      </c>
      <c r="F1412" t="s"/>
      <c r="G1412" t="s"/>
      <c r="H1412" t="s"/>
      <c r="I1412" t="s"/>
      <c r="J1412" t="n">
        <v>-0.8270999999999999</v>
      </c>
      <c r="K1412" t="n">
        <v>0.352</v>
      </c>
      <c r="L1412" t="n">
        <v>0.648</v>
      </c>
      <c r="M1412" t="n">
        <v>0</v>
      </c>
    </row>
    <row r="1413" spans="1:13">
      <c r="A1413" s="1">
        <f>HYPERLINK("http://www.twitter.com/NathanBLawrence/status/834430686568316928", "834430686568316928")</f>
        <v/>
      </c>
      <c r="B1413" s="2" t="n">
        <v>42788.66149305556</v>
      </c>
      <c r="C1413" t="n">
        <v>0</v>
      </c>
      <c r="D1413" t="n">
        <v>0</v>
      </c>
      <c r="E1413" t="s">
        <v>1419</v>
      </c>
      <c r="F1413" t="s"/>
      <c r="G1413" t="s"/>
      <c r="H1413" t="s"/>
      <c r="I1413" t="s"/>
      <c r="J1413" t="n">
        <v>0.6369</v>
      </c>
      <c r="K1413" t="n">
        <v>0</v>
      </c>
      <c r="L1413" t="n">
        <v>0.606</v>
      </c>
      <c r="M1413" t="n">
        <v>0.394</v>
      </c>
    </row>
    <row r="1414" spans="1:13">
      <c r="A1414" s="1">
        <f>HYPERLINK("http://www.twitter.com/NathanBLawrence/status/834422622888792064", "834422622888792064")</f>
        <v/>
      </c>
      <c r="B1414" s="2" t="n">
        <v>42788.63923611111</v>
      </c>
      <c r="C1414" t="n">
        <v>0</v>
      </c>
      <c r="D1414" t="n">
        <v>73</v>
      </c>
      <c r="E1414" t="s">
        <v>1420</v>
      </c>
      <c r="F1414" t="s"/>
      <c r="G1414" t="s"/>
      <c r="H1414" t="s"/>
      <c r="I1414" t="s"/>
      <c r="J1414" t="n">
        <v>-0.7297</v>
      </c>
      <c r="K1414" t="n">
        <v>0.389</v>
      </c>
      <c r="L1414" t="n">
        <v>0.456</v>
      </c>
      <c r="M1414" t="n">
        <v>0.156</v>
      </c>
    </row>
    <row r="1415" spans="1:13">
      <c r="A1415" s="1">
        <f>HYPERLINK("http://www.twitter.com/NathanBLawrence/status/834422295959597056", "834422295959597056")</f>
        <v/>
      </c>
      <c r="B1415" s="2" t="n">
        <v>42788.63833333334</v>
      </c>
      <c r="C1415" t="n">
        <v>0</v>
      </c>
      <c r="D1415" t="n">
        <v>449</v>
      </c>
      <c r="E1415" t="s">
        <v>1421</v>
      </c>
      <c r="F1415" t="s"/>
      <c r="G1415" t="s"/>
      <c r="H1415" t="s"/>
      <c r="I1415" t="s"/>
      <c r="J1415" t="n">
        <v>-0.25</v>
      </c>
      <c r="K1415" t="n">
        <v>0.202</v>
      </c>
      <c r="L1415" t="n">
        <v>0.642</v>
      </c>
      <c r="M1415" t="n">
        <v>0.156</v>
      </c>
    </row>
    <row r="1416" spans="1:13">
      <c r="A1416" s="1">
        <f>HYPERLINK("http://www.twitter.com/NathanBLawrence/status/834113331334090752", "834113331334090752")</f>
        <v/>
      </c>
      <c r="B1416" s="2" t="n">
        <v>42787.78575231481</v>
      </c>
      <c r="C1416" t="n">
        <v>0</v>
      </c>
      <c r="D1416" t="n">
        <v>553</v>
      </c>
      <c r="E1416" t="s">
        <v>1422</v>
      </c>
      <c r="F1416" t="s"/>
      <c r="G1416" t="s"/>
      <c r="H1416" t="s"/>
      <c r="I1416" t="s"/>
      <c r="J1416" t="n">
        <v>-0.1531</v>
      </c>
      <c r="K1416" t="n">
        <v>0.138</v>
      </c>
      <c r="L1416" t="n">
        <v>0.748</v>
      </c>
      <c r="M1416" t="n">
        <v>0.114</v>
      </c>
    </row>
    <row r="1417" spans="1:13">
      <c r="A1417" s="1">
        <f>HYPERLINK("http://www.twitter.com/NathanBLawrence/status/834099971435687936", "834099971435687936")</f>
        <v/>
      </c>
      <c r="B1417" s="2" t="n">
        <v>42787.74888888889</v>
      </c>
      <c r="C1417" t="n">
        <v>3</v>
      </c>
      <c r="D1417" t="n">
        <v>1</v>
      </c>
      <c r="E1417" t="s">
        <v>1423</v>
      </c>
      <c r="F1417">
        <f>HYPERLINK("http://pbs.twimg.com/media/C5NRerWUkAAuf5u.jpg", "http://pbs.twimg.com/media/C5NRerWUkAAuf5u.jpg")</f>
        <v/>
      </c>
      <c r="G1417" t="s"/>
      <c r="H1417" t="s"/>
      <c r="I1417" t="s"/>
      <c r="J1417" t="n">
        <v>0</v>
      </c>
      <c r="K1417" t="n">
        <v>0</v>
      </c>
      <c r="L1417" t="n">
        <v>1</v>
      </c>
      <c r="M1417" t="n">
        <v>0</v>
      </c>
    </row>
    <row r="1418" spans="1:13">
      <c r="A1418" s="1">
        <f>HYPERLINK("http://www.twitter.com/NathanBLawrence/status/834079111400284161", "834079111400284161")</f>
        <v/>
      </c>
      <c r="B1418" s="2" t="n">
        <v>42787.69133101852</v>
      </c>
      <c r="C1418" t="n">
        <v>1</v>
      </c>
      <c r="D1418" t="n">
        <v>1</v>
      </c>
      <c r="E1418" t="s">
        <v>1424</v>
      </c>
      <c r="F1418" t="s"/>
      <c r="G1418" t="s"/>
      <c r="H1418" t="s"/>
      <c r="I1418" t="s"/>
      <c r="J1418" t="n">
        <v>-0.126</v>
      </c>
      <c r="K1418" t="n">
        <v>0.134</v>
      </c>
      <c r="L1418" t="n">
        <v>0.751</v>
      </c>
      <c r="M1418" t="n">
        <v>0.115</v>
      </c>
    </row>
    <row r="1419" spans="1:13">
      <c r="A1419" s="1">
        <f>HYPERLINK("http://www.twitter.com/NathanBLawrence/status/834076575737987072", "834076575737987072")</f>
        <v/>
      </c>
      <c r="B1419" s="2" t="n">
        <v>42787.6843287037</v>
      </c>
      <c r="C1419" t="n">
        <v>0</v>
      </c>
      <c r="D1419" t="n">
        <v>149</v>
      </c>
      <c r="E1419" t="s">
        <v>1425</v>
      </c>
      <c r="F1419" t="s"/>
      <c r="G1419" t="s"/>
      <c r="H1419" t="s"/>
      <c r="I1419" t="s"/>
      <c r="J1419" t="n">
        <v>0</v>
      </c>
      <c r="K1419" t="n">
        <v>0</v>
      </c>
      <c r="L1419" t="n">
        <v>1</v>
      </c>
      <c r="M1419" t="n">
        <v>0</v>
      </c>
    </row>
    <row r="1420" spans="1:13">
      <c r="A1420" s="1">
        <f>HYPERLINK("http://www.twitter.com/NathanBLawrence/status/834069211228016640", "834069211228016640")</f>
        <v/>
      </c>
      <c r="B1420" s="2" t="n">
        <v>42787.66400462963</v>
      </c>
      <c r="C1420" t="n">
        <v>0</v>
      </c>
      <c r="D1420" t="n">
        <v>395</v>
      </c>
      <c r="E1420" t="s">
        <v>1426</v>
      </c>
      <c r="F1420" t="s"/>
      <c r="G1420" t="s"/>
      <c r="H1420" t="s"/>
      <c r="I1420" t="s"/>
      <c r="J1420" t="n">
        <v>0</v>
      </c>
      <c r="K1420" t="n">
        <v>0</v>
      </c>
      <c r="L1420" t="n">
        <v>1</v>
      </c>
      <c r="M1420" t="n">
        <v>0</v>
      </c>
    </row>
    <row r="1421" spans="1:13">
      <c r="A1421" s="1">
        <f>HYPERLINK("http://www.twitter.com/NathanBLawrence/status/834068813163401217", "834068813163401217")</f>
        <v/>
      </c>
      <c r="B1421" s="2" t="n">
        <v>42787.66290509259</v>
      </c>
      <c r="C1421" t="n">
        <v>0</v>
      </c>
      <c r="D1421" t="n">
        <v>360</v>
      </c>
      <c r="E1421" t="s">
        <v>1427</v>
      </c>
      <c r="F1421">
        <f>HYPERLINK("http://pbs.twimg.com/media/C5MuZ0OVYAETurf.jpg", "http://pbs.twimg.com/media/C5MuZ0OVYAETurf.jpg")</f>
        <v/>
      </c>
      <c r="G1421" t="s"/>
      <c r="H1421" t="s"/>
      <c r="I1421" t="s"/>
      <c r="J1421" t="n">
        <v>-0.4939</v>
      </c>
      <c r="K1421" t="n">
        <v>0.286</v>
      </c>
      <c r="L1421" t="n">
        <v>0.714</v>
      </c>
      <c r="M1421" t="n">
        <v>0</v>
      </c>
    </row>
    <row r="1422" spans="1:13">
      <c r="A1422" s="1">
        <f>HYPERLINK("http://www.twitter.com/NathanBLawrence/status/834066993821184001", "834066993821184001")</f>
        <v/>
      </c>
      <c r="B1422" s="2" t="n">
        <v>42787.65789351852</v>
      </c>
      <c r="C1422" t="n">
        <v>0</v>
      </c>
      <c r="D1422" t="n">
        <v>6555</v>
      </c>
      <c r="E1422" t="s">
        <v>1428</v>
      </c>
      <c r="F1422" t="s"/>
      <c r="G1422" t="s"/>
      <c r="H1422" t="s"/>
      <c r="I1422" t="s"/>
      <c r="J1422" t="n">
        <v>-0.5423</v>
      </c>
      <c r="K1422" t="n">
        <v>0.176</v>
      </c>
      <c r="L1422" t="n">
        <v>0.824</v>
      </c>
      <c r="M1422" t="n">
        <v>0</v>
      </c>
    </row>
    <row r="1423" spans="1:13">
      <c r="A1423" s="1">
        <f>HYPERLINK("http://www.twitter.com/NathanBLawrence/status/833919113827405825", "833919113827405825")</f>
        <v/>
      </c>
      <c r="B1423" s="2" t="n">
        <v>42787.24981481482</v>
      </c>
      <c r="C1423" t="n">
        <v>0</v>
      </c>
      <c r="D1423" t="n">
        <v>711</v>
      </c>
      <c r="E1423" t="s">
        <v>1429</v>
      </c>
      <c r="F1423">
        <f>HYPERLINK("http://pbs.twimg.com/media/C5KVYtZWMAACEHE.jpg", "http://pbs.twimg.com/media/C5KVYtZWMAACEHE.jpg")</f>
        <v/>
      </c>
      <c r="G1423" t="s"/>
      <c r="H1423" t="s"/>
      <c r="I1423" t="s"/>
      <c r="J1423" t="n">
        <v>0.2471</v>
      </c>
      <c r="K1423" t="n">
        <v>0.191</v>
      </c>
      <c r="L1423" t="n">
        <v>0.5629999999999999</v>
      </c>
      <c r="M1423" t="n">
        <v>0.246</v>
      </c>
    </row>
    <row r="1424" spans="1:13">
      <c r="A1424" s="1">
        <f>HYPERLINK("http://www.twitter.com/NathanBLawrence/status/833898442992795648", "833898442992795648")</f>
        <v/>
      </c>
      <c r="B1424" s="2" t="n">
        <v>42787.19277777777</v>
      </c>
      <c r="C1424" t="n">
        <v>0</v>
      </c>
      <c r="D1424" t="n">
        <v>0</v>
      </c>
      <c r="E1424" t="s">
        <v>1430</v>
      </c>
      <c r="F1424" t="s"/>
      <c r="G1424" t="s"/>
      <c r="H1424" t="s"/>
      <c r="I1424" t="s"/>
      <c r="J1424" t="n">
        <v>0.25</v>
      </c>
      <c r="K1424" t="n">
        <v>0.101</v>
      </c>
      <c r="L1424" t="n">
        <v>0.725</v>
      </c>
      <c r="M1424" t="n">
        <v>0.174</v>
      </c>
    </row>
    <row r="1425" spans="1:13">
      <c r="A1425" s="1">
        <f>HYPERLINK("http://www.twitter.com/NathanBLawrence/status/833797817223303168", "833797817223303168")</f>
        <v/>
      </c>
      <c r="B1425" s="2" t="n">
        <v>42786.91510416667</v>
      </c>
      <c r="C1425" t="n">
        <v>0</v>
      </c>
      <c r="D1425" t="n">
        <v>1</v>
      </c>
      <c r="E1425" t="s">
        <v>1431</v>
      </c>
      <c r="F1425">
        <f>HYPERLINK("http://pbs.twimg.com/media/C5CdQExUkAE9gNc.jpg", "http://pbs.twimg.com/media/C5CdQExUkAE9gNc.jpg")</f>
        <v/>
      </c>
      <c r="G1425" t="s"/>
      <c r="H1425" t="s"/>
      <c r="I1425" t="s"/>
      <c r="J1425" t="n">
        <v>0</v>
      </c>
      <c r="K1425" t="n">
        <v>0</v>
      </c>
      <c r="L1425" t="n">
        <v>1</v>
      </c>
      <c r="M1425" t="n">
        <v>0</v>
      </c>
    </row>
    <row r="1426" spans="1:13">
      <c r="A1426" s="1">
        <f>HYPERLINK("http://www.twitter.com/NathanBLawrence/status/833725257555013636", "833725257555013636")</f>
        <v/>
      </c>
      <c r="B1426" s="2" t="n">
        <v>42786.71487268519</v>
      </c>
      <c r="C1426" t="n">
        <v>0</v>
      </c>
      <c r="D1426" t="n">
        <v>2</v>
      </c>
      <c r="E1426" t="s">
        <v>1432</v>
      </c>
      <c r="F1426" t="s"/>
      <c r="G1426" t="s"/>
      <c r="H1426" t="s"/>
      <c r="I1426" t="s"/>
      <c r="J1426" t="n">
        <v>0</v>
      </c>
      <c r="K1426" t="n">
        <v>0</v>
      </c>
      <c r="L1426" t="n">
        <v>1</v>
      </c>
      <c r="M1426" t="n">
        <v>0</v>
      </c>
    </row>
    <row r="1427" spans="1:13">
      <c r="A1427" s="1">
        <f>HYPERLINK("http://www.twitter.com/NathanBLawrence/status/833715902592012290", "833715902592012290")</f>
        <v/>
      </c>
      <c r="B1427" s="2" t="n">
        <v>42786.6890625</v>
      </c>
      <c r="C1427" t="n">
        <v>0</v>
      </c>
      <c r="D1427" t="n">
        <v>38</v>
      </c>
      <c r="E1427" t="s">
        <v>1433</v>
      </c>
      <c r="F1427">
        <f>HYPERLINK("http://pbs.twimg.com/media/C5HjFquWMAIewje.jpg", "http://pbs.twimg.com/media/C5HjFquWMAIewje.jpg")</f>
        <v/>
      </c>
      <c r="G1427" t="s"/>
      <c r="H1427" t="s"/>
      <c r="I1427" t="s"/>
      <c r="J1427" t="n">
        <v>0</v>
      </c>
      <c r="K1427" t="n">
        <v>0</v>
      </c>
      <c r="L1427" t="n">
        <v>1</v>
      </c>
      <c r="M1427" t="n">
        <v>0</v>
      </c>
    </row>
    <row r="1428" spans="1:13">
      <c r="A1428" s="1">
        <f>HYPERLINK("http://www.twitter.com/NathanBLawrence/status/833715259538038788", "833715259538038788")</f>
        <v/>
      </c>
      <c r="B1428" s="2" t="n">
        <v>42786.68729166667</v>
      </c>
      <c r="C1428" t="n">
        <v>0</v>
      </c>
      <c r="D1428" t="n">
        <v>5763</v>
      </c>
      <c r="E1428" t="s">
        <v>1434</v>
      </c>
      <c r="F1428" t="s"/>
      <c r="G1428" t="s"/>
      <c r="H1428" t="s"/>
      <c r="I1428" t="s"/>
      <c r="J1428" t="n">
        <v>0.4854</v>
      </c>
      <c r="K1428" t="n">
        <v>0.076</v>
      </c>
      <c r="L1428" t="n">
        <v>0.765</v>
      </c>
      <c r="M1428" t="n">
        <v>0.159</v>
      </c>
    </row>
    <row r="1429" spans="1:13">
      <c r="A1429" s="1">
        <f>HYPERLINK("http://www.twitter.com/NathanBLawrence/status/833537453290033153", "833537453290033153")</f>
        <v/>
      </c>
      <c r="B1429" s="2" t="n">
        <v>42786.19663194445</v>
      </c>
      <c r="C1429" t="n">
        <v>0</v>
      </c>
      <c r="D1429" t="n">
        <v>3</v>
      </c>
      <c r="E1429" t="s">
        <v>1435</v>
      </c>
      <c r="F1429" t="s"/>
      <c r="G1429" t="s"/>
      <c r="H1429" t="s"/>
      <c r="I1429" t="s"/>
      <c r="J1429" t="n">
        <v>-0.8658</v>
      </c>
      <c r="K1429" t="n">
        <v>0.338</v>
      </c>
      <c r="L1429" t="n">
        <v>0.662</v>
      </c>
      <c r="M1429" t="n">
        <v>0</v>
      </c>
    </row>
    <row r="1430" spans="1:13">
      <c r="A1430" s="1">
        <f>HYPERLINK("http://www.twitter.com/NathanBLawrence/status/833494013151936512", "833494013151936512")</f>
        <v/>
      </c>
      <c r="B1430" s="2" t="n">
        <v>42786.07675925926</v>
      </c>
      <c r="C1430" t="n">
        <v>0</v>
      </c>
      <c r="D1430" t="n">
        <v>184</v>
      </c>
      <c r="E1430" t="s">
        <v>1436</v>
      </c>
      <c r="F1430">
        <f>HYPERLINK("http://pbs.twimg.com/media/C5CB4jqVUAY4Rq_.jpg", "http://pbs.twimg.com/media/C5CB4jqVUAY4Rq_.jpg")</f>
        <v/>
      </c>
      <c r="G1430" t="s"/>
      <c r="H1430" t="s"/>
      <c r="I1430" t="s"/>
      <c r="J1430" t="n">
        <v>0</v>
      </c>
      <c r="K1430" t="n">
        <v>0</v>
      </c>
      <c r="L1430" t="n">
        <v>1</v>
      </c>
      <c r="M1430" t="n">
        <v>0</v>
      </c>
    </row>
    <row r="1431" spans="1:13">
      <c r="A1431" s="1">
        <f>HYPERLINK("http://www.twitter.com/NathanBLawrence/status/833486175390355461", "833486175390355461")</f>
        <v/>
      </c>
      <c r="B1431" s="2" t="n">
        <v>42786.05513888889</v>
      </c>
      <c r="C1431" t="n">
        <v>0</v>
      </c>
      <c r="D1431" t="n">
        <v>146</v>
      </c>
      <c r="E1431" t="s">
        <v>1437</v>
      </c>
      <c r="F1431" t="s"/>
      <c r="G1431" t="s"/>
      <c r="H1431" t="s"/>
      <c r="I1431" t="s"/>
      <c r="J1431" t="n">
        <v>-0.128</v>
      </c>
      <c r="K1431" t="n">
        <v>0.13</v>
      </c>
      <c r="L1431" t="n">
        <v>0.762</v>
      </c>
      <c r="M1431" t="n">
        <v>0.108</v>
      </c>
    </row>
    <row r="1432" spans="1:13">
      <c r="A1432" s="1">
        <f>HYPERLINK("http://www.twitter.com/NathanBLawrence/status/833478017859072000", "833478017859072000")</f>
        <v/>
      </c>
      <c r="B1432" s="2" t="n">
        <v>42786.03262731482</v>
      </c>
      <c r="C1432" t="n">
        <v>0</v>
      </c>
      <c r="D1432" t="n">
        <v>0</v>
      </c>
      <c r="E1432" t="s">
        <v>1438</v>
      </c>
      <c r="F1432" t="s"/>
      <c r="G1432" t="s"/>
      <c r="H1432" t="s"/>
      <c r="I1432" t="s"/>
      <c r="J1432" t="n">
        <v>0.3612</v>
      </c>
      <c r="K1432" t="n">
        <v>0</v>
      </c>
      <c r="L1432" t="n">
        <v>0.783</v>
      </c>
      <c r="M1432" t="n">
        <v>0.217</v>
      </c>
    </row>
    <row r="1433" spans="1:13">
      <c r="A1433" s="1">
        <f>HYPERLINK("http://www.twitter.com/NathanBLawrence/status/833404196208640000", "833404196208640000")</f>
        <v/>
      </c>
      <c r="B1433" s="2" t="n">
        <v>42785.82891203704</v>
      </c>
      <c r="C1433" t="n">
        <v>0</v>
      </c>
      <c r="D1433" t="n">
        <v>2210</v>
      </c>
      <c r="E1433" t="s">
        <v>1439</v>
      </c>
      <c r="F1433" t="s"/>
      <c r="G1433" t="s"/>
      <c r="H1433" t="s"/>
      <c r="I1433" t="s"/>
      <c r="J1433" t="n">
        <v>0.2023</v>
      </c>
      <c r="K1433" t="n">
        <v>0</v>
      </c>
      <c r="L1433" t="n">
        <v>0.913</v>
      </c>
      <c r="M1433" t="n">
        <v>0.08699999999999999</v>
      </c>
    </row>
    <row r="1434" spans="1:13">
      <c r="A1434" s="1">
        <f>HYPERLINK("http://www.twitter.com/NathanBLawrence/status/833403704694939649", "833403704694939649")</f>
        <v/>
      </c>
      <c r="B1434" s="2" t="n">
        <v>42785.82755787037</v>
      </c>
      <c r="C1434" t="n">
        <v>0</v>
      </c>
      <c r="D1434" t="n">
        <v>330</v>
      </c>
      <c r="E1434" t="s">
        <v>1440</v>
      </c>
      <c r="F1434">
        <f>HYPERLINK("http://pbs.twimg.com/media/C5DUiUWUcAAbJ7r.jpg", "http://pbs.twimg.com/media/C5DUiUWUcAAbJ7r.jpg")</f>
        <v/>
      </c>
      <c r="G1434" t="s"/>
      <c r="H1434" t="s"/>
      <c r="I1434" t="s"/>
      <c r="J1434" t="n">
        <v>0.3818</v>
      </c>
      <c r="K1434" t="n">
        <v>0</v>
      </c>
      <c r="L1434" t="n">
        <v>0.841</v>
      </c>
      <c r="M1434" t="n">
        <v>0.159</v>
      </c>
    </row>
    <row r="1435" spans="1:13">
      <c r="A1435" s="1">
        <f>HYPERLINK("http://www.twitter.com/NathanBLawrence/status/833390028587991042", "833390028587991042")</f>
        <v/>
      </c>
      <c r="B1435" s="2" t="n">
        <v>42785.78982638889</v>
      </c>
      <c r="C1435" t="n">
        <v>0</v>
      </c>
      <c r="D1435" t="n">
        <v>1330</v>
      </c>
      <c r="E1435" t="s">
        <v>1441</v>
      </c>
      <c r="F1435" t="s"/>
      <c r="G1435" t="s"/>
      <c r="H1435" t="s"/>
      <c r="I1435" t="s"/>
      <c r="J1435" t="n">
        <v>-0.8516</v>
      </c>
      <c r="K1435" t="n">
        <v>0.367</v>
      </c>
      <c r="L1435" t="n">
        <v>0.633</v>
      </c>
      <c r="M1435" t="n">
        <v>0</v>
      </c>
    </row>
    <row r="1436" spans="1:13">
      <c r="A1436" s="1">
        <f>HYPERLINK("http://www.twitter.com/NathanBLawrence/status/833387136044892160", "833387136044892160")</f>
        <v/>
      </c>
      <c r="B1436" s="2" t="n">
        <v>42785.78184027778</v>
      </c>
      <c r="C1436" t="n">
        <v>2</v>
      </c>
      <c r="D1436" t="n">
        <v>1</v>
      </c>
      <c r="E1436" t="s">
        <v>1442</v>
      </c>
      <c r="F1436" t="s"/>
      <c r="G1436" t="s"/>
      <c r="H1436" t="s"/>
      <c r="I1436" t="s"/>
      <c r="J1436" t="n">
        <v>0</v>
      </c>
      <c r="K1436" t="n">
        <v>0</v>
      </c>
      <c r="L1436" t="n">
        <v>1</v>
      </c>
      <c r="M1436" t="n">
        <v>0</v>
      </c>
    </row>
    <row r="1437" spans="1:13">
      <c r="A1437" s="1">
        <f>HYPERLINK("http://www.twitter.com/NathanBLawrence/status/833386194683691008", "833386194683691008")</f>
        <v/>
      </c>
      <c r="B1437" s="2" t="n">
        <v>42785.77924768518</v>
      </c>
      <c r="C1437" t="n">
        <v>0</v>
      </c>
      <c r="D1437" t="n">
        <v>1</v>
      </c>
      <c r="E1437" t="s">
        <v>1443</v>
      </c>
      <c r="F1437">
        <f>HYPERLINK("http://pbs.twimg.com/media/C5C_K2BVcAE1DLS.jpg", "http://pbs.twimg.com/media/C5C_K2BVcAE1DLS.jpg")</f>
        <v/>
      </c>
      <c r="G1437" t="s"/>
      <c r="H1437" t="s"/>
      <c r="I1437" t="s"/>
      <c r="J1437" t="n">
        <v>0</v>
      </c>
      <c r="K1437" t="n">
        <v>0</v>
      </c>
      <c r="L1437" t="n">
        <v>1</v>
      </c>
      <c r="M1437" t="n">
        <v>0</v>
      </c>
    </row>
    <row r="1438" spans="1:13">
      <c r="A1438" s="1">
        <f>HYPERLINK("http://www.twitter.com/NathanBLawrence/status/833313245985402880", "833313245985402880")</f>
        <v/>
      </c>
      <c r="B1438" s="2" t="n">
        <v>42785.57793981482</v>
      </c>
      <c r="C1438" t="n">
        <v>0</v>
      </c>
      <c r="D1438" t="n">
        <v>2996</v>
      </c>
      <c r="E1438" t="s">
        <v>1444</v>
      </c>
      <c r="F1438">
        <f>HYPERLINK("http://pbs.twimg.com/media/C44W_9rWAAA8wTR.jpg", "http://pbs.twimg.com/media/C44W_9rWAAA8wTR.jpg")</f>
        <v/>
      </c>
      <c r="G1438" t="s"/>
      <c r="H1438" t="s"/>
      <c r="I1438" t="s"/>
      <c r="J1438" t="n">
        <v>0</v>
      </c>
      <c r="K1438" t="n">
        <v>0</v>
      </c>
      <c r="L1438" t="n">
        <v>1</v>
      </c>
      <c r="M1438" t="n">
        <v>0</v>
      </c>
    </row>
    <row r="1439" spans="1:13">
      <c r="A1439" s="1">
        <f>HYPERLINK("http://www.twitter.com/NathanBLawrence/status/833313191216214016", "833313191216214016")</f>
        <v/>
      </c>
      <c r="B1439" s="2" t="n">
        <v>42785.57778935185</v>
      </c>
      <c r="C1439" t="n">
        <v>0</v>
      </c>
      <c r="D1439" t="n">
        <v>12869</v>
      </c>
      <c r="E1439" t="s">
        <v>1445</v>
      </c>
      <c r="F1439">
        <f>HYPERLINK("http://pbs.twimg.com/media/C5BfzDlWMAEf9uG.jpg", "http://pbs.twimg.com/media/C5BfzDlWMAEf9uG.jpg")</f>
        <v/>
      </c>
      <c r="G1439" t="s"/>
      <c r="H1439" t="s"/>
      <c r="I1439" t="s"/>
      <c r="J1439" t="n">
        <v>0</v>
      </c>
      <c r="K1439" t="n">
        <v>0</v>
      </c>
      <c r="L1439" t="n">
        <v>1</v>
      </c>
      <c r="M1439" t="n">
        <v>0</v>
      </c>
    </row>
    <row r="1440" spans="1:13">
      <c r="A1440" s="1">
        <f>HYPERLINK("http://www.twitter.com/NathanBLawrence/status/833123060387610624", "833123060387610624")</f>
        <v/>
      </c>
      <c r="B1440" s="2" t="n">
        <v>42785.053125</v>
      </c>
      <c r="C1440" t="n">
        <v>7</v>
      </c>
      <c r="D1440" t="n">
        <v>2</v>
      </c>
      <c r="E1440" t="s">
        <v>1446</v>
      </c>
      <c r="F1440" t="s"/>
      <c r="G1440" t="s"/>
      <c r="H1440" t="s"/>
      <c r="I1440" t="s"/>
      <c r="J1440" t="n">
        <v>0</v>
      </c>
      <c r="K1440" t="n">
        <v>0</v>
      </c>
      <c r="L1440" t="n">
        <v>1</v>
      </c>
      <c r="M1440" t="n">
        <v>0</v>
      </c>
    </row>
    <row r="1441" spans="1:13">
      <c r="A1441" s="1">
        <f>HYPERLINK("http://www.twitter.com/NathanBLawrence/status/833122163465056261", "833122163465056261")</f>
        <v/>
      </c>
      <c r="B1441" s="2" t="n">
        <v>42785.05065972222</v>
      </c>
      <c r="C1441" t="n">
        <v>0</v>
      </c>
      <c r="D1441" t="n">
        <v>541</v>
      </c>
      <c r="E1441" t="s">
        <v>1447</v>
      </c>
      <c r="F1441">
        <f>HYPERLINK("http://pbs.twimg.com/media/C4_XVcsUcAAIJnG.jpg", "http://pbs.twimg.com/media/C4_XVcsUcAAIJnG.jpg")</f>
        <v/>
      </c>
      <c r="G1441" t="s"/>
      <c r="H1441" t="s"/>
      <c r="I1441" t="s"/>
      <c r="J1441" t="n">
        <v>-0.34</v>
      </c>
      <c r="K1441" t="n">
        <v>0.155</v>
      </c>
      <c r="L1441" t="n">
        <v>0.752</v>
      </c>
      <c r="M1441" t="n">
        <v>0.093</v>
      </c>
    </row>
    <row r="1442" spans="1:13">
      <c r="A1442" s="1">
        <f>HYPERLINK("http://www.twitter.com/NathanBLawrence/status/833118368660148224", "833118368660148224")</f>
        <v/>
      </c>
      <c r="B1442" s="2" t="n">
        <v>42785.04018518519</v>
      </c>
      <c r="C1442" t="n">
        <v>0</v>
      </c>
      <c r="D1442" t="n">
        <v>567</v>
      </c>
      <c r="E1442" t="s">
        <v>1448</v>
      </c>
      <c r="F1442" t="s"/>
      <c r="G1442" t="s"/>
      <c r="H1442" t="s"/>
      <c r="I1442" t="s"/>
      <c r="J1442" t="n">
        <v>-0.7009</v>
      </c>
      <c r="K1442" t="n">
        <v>0.279</v>
      </c>
      <c r="L1442" t="n">
        <v>0.721</v>
      </c>
      <c r="M1442" t="n">
        <v>0</v>
      </c>
    </row>
    <row r="1443" spans="1:13">
      <c r="A1443" s="1">
        <f>HYPERLINK("http://www.twitter.com/NathanBLawrence/status/833118057782460416", "833118057782460416")</f>
        <v/>
      </c>
      <c r="B1443" s="2" t="n">
        <v>42785.0393287037</v>
      </c>
      <c r="C1443" t="n">
        <v>0</v>
      </c>
      <c r="D1443" t="n">
        <v>1214</v>
      </c>
      <c r="E1443" t="s">
        <v>1449</v>
      </c>
      <c r="F1443">
        <f>HYPERLINK("http://pbs.twimg.com/media/C4_QfVMXAAA7OgB.jpg", "http://pbs.twimg.com/media/C4_QfVMXAAA7OgB.jpg")</f>
        <v/>
      </c>
      <c r="G1443" t="s"/>
      <c r="H1443" t="s"/>
      <c r="I1443" t="s"/>
      <c r="J1443" t="n">
        <v>0.3595</v>
      </c>
      <c r="K1443" t="n">
        <v>0</v>
      </c>
      <c r="L1443" t="n">
        <v>0.884</v>
      </c>
      <c r="M1443" t="n">
        <v>0.116</v>
      </c>
    </row>
    <row r="1444" spans="1:13">
      <c r="A1444" s="1">
        <f>HYPERLINK("http://www.twitter.com/NathanBLawrence/status/833115394680426496", "833115394680426496")</f>
        <v/>
      </c>
      <c r="B1444" s="2" t="n">
        <v>42785.03197916667</v>
      </c>
      <c r="C1444" t="n">
        <v>0</v>
      </c>
      <c r="D1444" t="n">
        <v>268</v>
      </c>
      <c r="E1444" t="s">
        <v>1450</v>
      </c>
      <c r="F1444" t="s"/>
      <c r="G1444" t="s"/>
      <c r="H1444" t="s"/>
      <c r="I1444" t="s"/>
      <c r="J1444" t="n">
        <v>0</v>
      </c>
      <c r="K1444" t="n">
        <v>0</v>
      </c>
      <c r="L1444" t="n">
        <v>1</v>
      </c>
      <c r="M1444" t="n">
        <v>0</v>
      </c>
    </row>
    <row r="1445" spans="1:13">
      <c r="A1445" s="1">
        <f>HYPERLINK("http://www.twitter.com/NathanBLawrence/status/833042665516195840", "833042665516195840")</f>
        <v/>
      </c>
      <c r="B1445" s="2" t="n">
        <v>42784.83128472222</v>
      </c>
      <c r="C1445" t="n">
        <v>0</v>
      </c>
      <c r="D1445" t="n">
        <v>1211</v>
      </c>
      <c r="E1445" t="s">
        <v>1451</v>
      </c>
      <c r="F1445" t="s"/>
      <c r="G1445" t="s"/>
      <c r="H1445" t="s"/>
      <c r="I1445" t="s"/>
      <c r="J1445" t="n">
        <v>0.3612</v>
      </c>
      <c r="K1445" t="n">
        <v>0</v>
      </c>
      <c r="L1445" t="n">
        <v>0.902</v>
      </c>
      <c r="M1445" t="n">
        <v>0.098</v>
      </c>
    </row>
    <row r="1446" spans="1:13">
      <c r="A1446" s="1">
        <f>HYPERLINK("http://www.twitter.com/NathanBLawrence/status/833025514742935561", "833025514742935561")</f>
        <v/>
      </c>
      <c r="B1446" s="2" t="n">
        <v>42784.78395833333</v>
      </c>
      <c r="C1446" t="n">
        <v>0</v>
      </c>
      <c r="D1446" t="n">
        <v>339</v>
      </c>
      <c r="E1446" t="s">
        <v>1452</v>
      </c>
      <c r="F1446" t="s"/>
      <c r="G1446" t="s"/>
      <c r="H1446" t="s"/>
      <c r="I1446" t="s"/>
      <c r="J1446" t="n">
        <v>0.3182</v>
      </c>
      <c r="K1446" t="n">
        <v>0.079</v>
      </c>
      <c r="L1446" t="n">
        <v>0.792</v>
      </c>
      <c r="M1446" t="n">
        <v>0.128</v>
      </c>
    </row>
    <row r="1447" spans="1:13">
      <c r="A1447" s="1">
        <f>HYPERLINK("http://www.twitter.com/NathanBLawrence/status/833020822319161348", "833020822319161348")</f>
        <v/>
      </c>
      <c r="B1447" s="2" t="n">
        <v>42784.77100694444</v>
      </c>
      <c r="C1447" t="n">
        <v>0</v>
      </c>
      <c r="D1447" t="n">
        <v>475</v>
      </c>
      <c r="E1447" t="s">
        <v>1453</v>
      </c>
      <c r="F1447" t="s"/>
      <c r="G1447" t="s"/>
      <c r="H1447" t="s"/>
      <c r="I1447" t="s"/>
      <c r="J1447" t="n">
        <v>-0.4019</v>
      </c>
      <c r="K1447" t="n">
        <v>0.236</v>
      </c>
      <c r="L1447" t="n">
        <v>0.644</v>
      </c>
      <c r="M1447" t="n">
        <v>0.12</v>
      </c>
    </row>
    <row r="1448" spans="1:13">
      <c r="A1448" s="1">
        <f>HYPERLINK("http://www.twitter.com/NathanBLawrence/status/833016640551923714", "833016640551923714")</f>
        <v/>
      </c>
      <c r="B1448" s="2" t="n">
        <v>42784.75946759259</v>
      </c>
      <c r="C1448" t="n">
        <v>0</v>
      </c>
      <c r="D1448" t="n">
        <v>1912</v>
      </c>
      <c r="E1448" t="s">
        <v>1454</v>
      </c>
      <c r="F1448">
        <f>HYPERLINK("http://pbs.twimg.com/media/C48LWIEUMAAVA7l.jpg", "http://pbs.twimg.com/media/C48LWIEUMAAVA7l.jpg")</f>
        <v/>
      </c>
      <c r="G1448" t="s"/>
      <c r="H1448" t="s"/>
      <c r="I1448" t="s"/>
      <c r="J1448" t="n">
        <v>0.0772</v>
      </c>
      <c r="K1448" t="n">
        <v>0.249</v>
      </c>
      <c r="L1448" t="n">
        <v>0.525</v>
      </c>
      <c r="M1448" t="n">
        <v>0.226</v>
      </c>
    </row>
    <row r="1449" spans="1:13">
      <c r="A1449" s="1">
        <f>HYPERLINK("http://www.twitter.com/NathanBLawrence/status/833015647986647042", "833015647986647042")</f>
        <v/>
      </c>
      <c r="B1449" s="2" t="n">
        <v>42784.75672453704</v>
      </c>
      <c r="C1449" t="n">
        <v>0</v>
      </c>
      <c r="D1449" t="n">
        <v>14738</v>
      </c>
      <c r="E1449" t="s">
        <v>1455</v>
      </c>
      <c r="F1449">
        <f>HYPERLINK("http://pbs.twimg.com/media/C48_h-WWYAAa-DO.jpg", "http://pbs.twimg.com/media/C48_h-WWYAAa-DO.jpg")</f>
        <v/>
      </c>
      <c r="G1449">
        <f>HYPERLINK("http://pbs.twimg.com/media/C48_iuCWcAMfFhW.jpg", "http://pbs.twimg.com/media/C48_iuCWcAMfFhW.jpg")</f>
        <v/>
      </c>
      <c r="H1449">
        <f>HYPERLINK("http://pbs.twimg.com/media/C48_jiaWEAEgi27.jpg", "http://pbs.twimg.com/media/C48_jiaWEAEgi27.jpg")</f>
        <v/>
      </c>
      <c r="I1449">
        <f>HYPERLINK("http://pbs.twimg.com/media/C48_kZQWYAA-1h2.jpg", "http://pbs.twimg.com/media/C48_kZQWYAA-1h2.jpg")</f>
        <v/>
      </c>
      <c r="J1449" t="n">
        <v>-0.7941</v>
      </c>
      <c r="K1449" t="n">
        <v>0.306</v>
      </c>
      <c r="L1449" t="n">
        <v>0.694</v>
      </c>
      <c r="M1449" t="n">
        <v>0</v>
      </c>
    </row>
    <row r="1450" spans="1:13">
      <c r="A1450" s="1">
        <f>HYPERLINK("http://www.twitter.com/NathanBLawrence/status/832963138618273792", "832963138618273792")</f>
        <v/>
      </c>
      <c r="B1450" s="2" t="n">
        <v>42784.6118287037</v>
      </c>
      <c r="C1450" t="n">
        <v>0</v>
      </c>
      <c r="D1450" t="n">
        <v>715</v>
      </c>
      <c r="E1450" t="s">
        <v>1456</v>
      </c>
      <c r="F1450" t="s"/>
      <c r="G1450" t="s"/>
      <c r="H1450" t="s"/>
      <c r="I1450" t="s"/>
      <c r="J1450" t="n">
        <v>0.1298</v>
      </c>
      <c r="K1450" t="n">
        <v>0.224</v>
      </c>
      <c r="L1450" t="n">
        <v>0.5679999999999999</v>
      </c>
      <c r="M1450" t="n">
        <v>0.208</v>
      </c>
    </row>
    <row r="1451" spans="1:13">
      <c r="A1451" s="1">
        <f>HYPERLINK("http://www.twitter.com/NathanBLawrence/status/832844442138714114", "832844442138714114")</f>
        <v/>
      </c>
      <c r="B1451" s="2" t="n">
        <v>42784.28429398148</v>
      </c>
      <c r="C1451" t="n">
        <v>0</v>
      </c>
      <c r="D1451" t="n">
        <v>0</v>
      </c>
      <c r="E1451" t="s">
        <v>1457</v>
      </c>
      <c r="F1451" t="s"/>
      <c r="G1451" t="s"/>
      <c r="H1451" t="s"/>
      <c r="I1451" t="s"/>
      <c r="J1451" t="n">
        <v>-0.7147</v>
      </c>
      <c r="K1451" t="n">
        <v>0.373</v>
      </c>
      <c r="L1451" t="n">
        <v>0.627</v>
      </c>
      <c r="M1451" t="n">
        <v>0</v>
      </c>
    </row>
    <row r="1452" spans="1:13">
      <c r="A1452" s="1">
        <f>HYPERLINK("http://www.twitter.com/NathanBLawrence/status/832811640546590720", "832811640546590720")</f>
        <v/>
      </c>
      <c r="B1452" s="2" t="n">
        <v>42784.19377314814</v>
      </c>
      <c r="C1452" t="n">
        <v>0</v>
      </c>
      <c r="D1452" t="n">
        <v>216</v>
      </c>
      <c r="E1452" t="s">
        <v>1458</v>
      </c>
      <c r="F1452" t="s"/>
      <c r="G1452" t="s"/>
      <c r="H1452" t="s"/>
      <c r="I1452" t="s"/>
      <c r="J1452" t="n">
        <v>0</v>
      </c>
      <c r="K1452" t="n">
        <v>0</v>
      </c>
      <c r="L1452" t="n">
        <v>1</v>
      </c>
      <c r="M1452" t="n">
        <v>0</v>
      </c>
    </row>
    <row r="1453" spans="1:13">
      <c r="A1453" s="1">
        <f>HYPERLINK("http://www.twitter.com/NathanBLawrence/status/832809681009586176", "832809681009586176")</f>
        <v/>
      </c>
      <c r="B1453" s="2" t="n">
        <v>42784.18836805555</v>
      </c>
      <c r="C1453" t="n">
        <v>0</v>
      </c>
      <c r="D1453" t="n">
        <v>0</v>
      </c>
      <c r="E1453" t="s">
        <v>1459</v>
      </c>
      <c r="F1453" t="s"/>
      <c r="G1453" t="s"/>
      <c r="H1453" t="s"/>
      <c r="I1453" t="s"/>
      <c r="J1453" t="n">
        <v>-0.5606</v>
      </c>
      <c r="K1453" t="n">
        <v>0.262</v>
      </c>
      <c r="L1453" t="n">
        <v>0.738</v>
      </c>
      <c r="M1453" t="n">
        <v>0</v>
      </c>
    </row>
    <row r="1454" spans="1:13">
      <c r="A1454" s="1">
        <f>HYPERLINK("http://www.twitter.com/NathanBLawrence/status/832808547498881026", "832808547498881026")</f>
        <v/>
      </c>
      <c r="B1454" s="2" t="n">
        <v>42784.18524305556</v>
      </c>
      <c r="C1454" t="n">
        <v>0</v>
      </c>
      <c r="D1454" t="n">
        <v>0</v>
      </c>
      <c r="E1454" t="s">
        <v>1460</v>
      </c>
      <c r="F1454" t="s"/>
      <c r="G1454" t="s"/>
      <c r="H1454" t="s"/>
      <c r="I1454" t="s"/>
      <c r="J1454" t="n">
        <v>0.9382</v>
      </c>
      <c r="K1454" t="n">
        <v>0</v>
      </c>
      <c r="L1454" t="n">
        <v>0.476</v>
      </c>
      <c r="M1454" t="n">
        <v>0.524</v>
      </c>
    </row>
    <row r="1455" spans="1:13">
      <c r="A1455" s="1">
        <f>HYPERLINK("http://www.twitter.com/NathanBLawrence/status/832805702636883968", "832805702636883968")</f>
        <v/>
      </c>
      <c r="B1455" s="2" t="n">
        <v>42784.17738425926</v>
      </c>
      <c r="C1455" t="n">
        <v>0</v>
      </c>
      <c r="D1455" t="n">
        <v>0</v>
      </c>
      <c r="E1455" t="s">
        <v>1461</v>
      </c>
      <c r="F1455" t="s"/>
      <c r="G1455" t="s"/>
      <c r="H1455" t="s"/>
      <c r="I1455" t="s"/>
      <c r="J1455" t="n">
        <v>0.8807</v>
      </c>
      <c r="K1455" t="n">
        <v>0</v>
      </c>
      <c r="L1455" t="n">
        <v>0.603</v>
      </c>
      <c r="M1455" t="n">
        <v>0.397</v>
      </c>
    </row>
    <row r="1456" spans="1:13">
      <c r="A1456" s="1">
        <f>HYPERLINK("http://www.twitter.com/NathanBLawrence/status/832805042692386817", "832805042692386817")</f>
        <v/>
      </c>
      <c r="B1456" s="2" t="n">
        <v>42784.17556712963</v>
      </c>
      <c r="C1456" t="n">
        <v>0</v>
      </c>
      <c r="D1456" t="n">
        <v>0</v>
      </c>
      <c r="E1456" t="s">
        <v>1462</v>
      </c>
      <c r="F1456" t="s"/>
      <c r="G1456" t="s"/>
      <c r="H1456" t="s"/>
      <c r="I1456" t="s"/>
      <c r="J1456" t="n">
        <v>-0.4588</v>
      </c>
      <c r="K1456" t="n">
        <v>0.25</v>
      </c>
      <c r="L1456" t="n">
        <v>0.75</v>
      </c>
      <c r="M1456" t="n">
        <v>0</v>
      </c>
    </row>
    <row r="1457" spans="1:13">
      <c r="A1457" s="1">
        <f>HYPERLINK("http://www.twitter.com/NathanBLawrence/status/832803599122124800", "832803599122124800")</f>
        <v/>
      </c>
      <c r="B1457" s="2" t="n">
        <v>42784.17158564815</v>
      </c>
      <c r="C1457" t="n">
        <v>0</v>
      </c>
      <c r="D1457" t="n">
        <v>129</v>
      </c>
      <c r="E1457" t="s">
        <v>1463</v>
      </c>
      <c r="F1457" t="s"/>
      <c r="G1457" t="s"/>
      <c r="H1457" t="s"/>
      <c r="I1457" t="s"/>
      <c r="J1457" t="n">
        <v>-0.0094</v>
      </c>
      <c r="K1457" t="n">
        <v>0.118</v>
      </c>
      <c r="L1457" t="n">
        <v>0.764</v>
      </c>
      <c r="M1457" t="n">
        <v>0.117</v>
      </c>
    </row>
    <row r="1458" spans="1:13">
      <c r="A1458" s="1">
        <f>HYPERLINK("http://www.twitter.com/NathanBLawrence/status/832803549243400192", "832803549243400192")</f>
        <v/>
      </c>
      <c r="B1458" s="2" t="n">
        <v>42784.17144675926</v>
      </c>
      <c r="C1458" t="n">
        <v>0</v>
      </c>
      <c r="D1458" t="n">
        <v>670</v>
      </c>
      <c r="E1458" t="s">
        <v>1464</v>
      </c>
      <c r="F1458" t="s"/>
      <c r="G1458" t="s"/>
      <c r="H1458" t="s"/>
      <c r="I1458" t="s"/>
      <c r="J1458" t="n">
        <v>-0.0603</v>
      </c>
      <c r="K1458" t="n">
        <v>0.097</v>
      </c>
      <c r="L1458" t="n">
        <v>0.8179999999999999</v>
      </c>
      <c r="M1458" t="n">
        <v>0.08500000000000001</v>
      </c>
    </row>
    <row r="1459" spans="1:13">
      <c r="A1459" s="1">
        <f>HYPERLINK("http://www.twitter.com/NathanBLawrence/status/832803394519592960", "832803394519592960")</f>
        <v/>
      </c>
      <c r="B1459" s="2" t="n">
        <v>42784.17101851852</v>
      </c>
      <c r="C1459" t="n">
        <v>0</v>
      </c>
      <c r="D1459" t="n">
        <v>435</v>
      </c>
      <c r="E1459" t="s">
        <v>1465</v>
      </c>
      <c r="F1459" t="s"/>
      <c r="G1459" t="s"/>
      <c r="H1459" t="s"/>
      <c r="I1459" t="s"/>
      <c r="J1459" t="n">
        <v>-0.5423</v>
      </c>
      <c r="K1459" t="n">
        <v>0.119</v>
      </c>
      <c r="L1459" t="n">
        <v>0.881</v>
      </c>
      <c r="M1459" t="n">
        <v>0</v>
      </c>
    </row>
    <row r="1460" spans="1:13">
      <c r="A1460" s="1">
        <f>HYPERLINK("http://www.twitter.com/NathanBLawrence/status/832779532537049088", "832779532537049088")</f>
        <v/>
      </c>
      <c r="B1460" s="2" t="n">
        <v>42784.10517361111</v>
      </c>
      <c r="C1460" t="n">
        <v>0</v>
      </c>
      <c r="D1460" t="n">
        <v>0</v>
      </c>
      <c r="E1460" t="s">
        <v>1466</v>
      </c>
      <c r="F1460" t="s"/>
      <c r="G1460" t="s"/>
      <c r="H1460" t="s"/>
      <c r="I1460" t="s"/>
      <c r="J1460" t="n">
        <v>0.3415</v>
      </c>
      <c r="K1460" t="n">
        <v>0</v>
      </c>
      <c r="L1460" t="n">
        <v>0.82</v>
      </c>
      <c r="M1460" t="n">
        <v>0.18</v>
      </c>
    </row>
    <row r="1461" spans="1:13">
      <c r="A1461" s="1">
        <f>HYPERLINK("http://www.twitter.com/NathanBLawrence/status/832775885405159424", "832775885405159424")</f>
        <v/>
      </c>
      <c r="B1461" s="2" t="n">
        <v>42784.09510416666</v>
      </c>
      <c r="C1461" t="n">
        <v>0</v>
      </c>
      <c r="D1461" t="n">
        <v>0</v>
      </c>
      <c r="E1461" t="s">
        <v>1467</v>
      </c>
      <c r="F1461" t="s"/>
      <c r="G1461" t="s"/>
      <c r="H1461" t="s"/>
      <c r="I1461" t="s"/>
      <c r="J1461" t="n">
        <v>0.68</v>
      </c>
      <c r="K1461" t="n">
        <v>0</v>
      </c>
      <c r="L1461" t="n">
        <v>0.797</v>
      </c>
      <c r="M1461" t="n">
        <v>0.203</v>
      </c>
    </row>
    <row r="1462" spans="1:13">
      <c r="A1462" s="1">
        <f>HYPERLINK("http://www.twitter.com/NathanBLawrence/status/832774761570660353", "832774761570660353")</f>
        <v/>
      </c>
      <c r="B1462" s="2" t="n">
        <v>42784.09201388889</v>
      </c>
      <c r="C1462" t="n">
        <v>0</v>
      </c>
      <c r="D1462" t="n">
        <v>0</v>
      </c>
      <c r="E1462" t="s">
        <v>1468</v>
      </c>
      <c r="F1462" t="s"/>
      <c r="G1462" t="s"/>
      <c r="H1462" t="s"/>
      <c r="I1462" t="s"/>
      <c r="J1462" t="n">
        <v>0.4019</v>
      </c>
      <c r="K1462" t="n">
        <v>0</v>
      </c>
      <c r="L1462" t="n">
        <v>0.722</v>
      </c>
      <c r="M1462" t="n">
        <v>0.278</v>
      </c>
    </row>
    <row r="1463" spans="1:13">
      <c r="A1463" s="1">
        <f>HYPERLINK("http://www.twitter.com/NathanBLawrence/status/832772865464422400", "832772865464422400")</f>
        <v/>
      </c>
      <c r="B1463" s="2" t="n">
        <v>42784.08677083333</v>
      </c>
      <c r="C1463" t="n">
        <v>1</v>
      </c>
      <c r="D1463" t="n">
        <v>1</v>
      </c>
      <c r="E1463" t="s">
        <v>1469</v>
      </c>
      <c r="F1463" t="s"/>
      <c r="G1463" t="s"/>
      <c r="H1463" t="s"/>
      <c r="I1463" t="s"/>
      <c r="J1463" t="n">
        <v>0.8982</v>
      </c>
      <c r="K1463" t="n">
        <v>0</v>
      </c>
      <c r="L1463" t="n">
        <v>0.54</v>
      </c>
      <c r="M1463" t="n">
        <v>0.46</v>
      </c>
    </row>
    <row r="1464" spans="1:13">
      <c r="A1464" s="1">
        <f>HYPERLINK("http://www.twitter.com/NathanBLawrence/status/832770472211259392", "832770472211259392")</f>
        <v/>
      </c>
      <c r="B1464" s="2" t="n">
        <v>42784.08017361111</v>
      </c>
      <c r="C1464" t="n">
        <v>0</v>
      </c>
      <c r="D1464" t="n">
        <v>0</v>
      </c>
      <c r="E1464" t="s">
        <v>1470</v>
      </c>
      <c r="F1464" t="s"/>
      <c r="G1464" t="s"/>
      <c r="H1464" t="s"/>
      <c r="I1464" t="s"/>
      <c r="J1464" t="n">
        <v>0.7506</v>
      </c>
      <c r="K1464" t="n">
        <v>0</v>
      </c>
      <c r="L1464" t="n">
        <v>0.67</v>
      </c>
      <c r="M1464" t="n">
        <v>0.33</v>
      </c>
    </row>
    <row r="1465" spans="1:13">
      <c r="A1465" s="1">
        <f>HYPERLINK("http://www.twitter.com/NathanBLawrence/status/832739874360979456", "832739874360979456")</f>
        <v/>
      </c>
      <c r="B1465" s="2" t="n">
        <v>42783.99574074074</v>
      </c>
      <c r="C1465" t="n">
        <v>0</v>
      </c>
      <c r="D1465" t="n">
        <v>912</v>
      </c>
      <c r="E1465" t="s">
        <v>1471</v>
      </c>
      <c r="F1465" t="s"/>
      <c r="G1465" t="s"/>
      <c r="H1465" t="s"/>
      <c r="I1465" t="s"/>
      <c r="J1465" t="n">
        <v>0.4168</v>
      </c>
      <c r="K1465" t="n">
        <v>0</v>
      </c>
      <c r="L1465" t="n">
        <v>0.8120000000000001</v>
      </c>
      <c r="M1465" t="n">
        <v>0.188</v>
      </c>
    </row>
    <row r="1466" spans="1:13">
      <c r="A1466" s="1">
        <f>HYPERLINK("http://www.twitter.com/NathanBLawrence/status/832715330774523904", "832715330774523904")</f>
        <v/>
      </c>
      <c r="B1466" s="2" t="n">
        <v>42783.92800925926</v>
      </c>
      <c r="C1466" t="n">
        <v>0</v>
      </c>
      <c r="D1466" t="n">
        <v>1458</v>
      </c>
      <c r="E1466" t="s">
        <v>1472</v>
      </c>
      <c r="F1466">
        <f>HYPERLINK("http://pbs.twimg.com/media/C45d9J_UMAMPhVF.jpg", "http://pbs.twimg.com/media/C45d9J_UMAMPhVF.jpg")</f>
        <v/>
      </c>
      <c r="G1466" t="s"/>
      <c r="H1466" t="s"/>
      <c r="I1466" t="s"/>
      <c r="J1466" t="n">
        <v>0.0172</v>
      </c>
      <c r="K1466" t="n">
        <v>0.15</v>
      </c>
      <c r="L1466" t="n">
        <v>0.697</v>
      </c>
      <c r="M1466" t="n">
        <v>0.153</v>
      </c>
    </row>
    <row r="1467" spans="1:13">
      <c r="A1467" s="1">
        <f>HYPERLINK("http://www.twitter.com/NathanBLawrence/status/832670105209184260", "832670105209184260")</f>
        <v/>
      </c>
      <c r="B1467" s="2" t="n">
        <v>42783.80321759259</v>
      </c>
      <c r="C1467" t="n">
        <v>0</v>
      </c>
      <c r="D1467" t="n">
        <v>507</v>
      </c>
      <c r="E1467" t="s">
        <v>1473</v>
      </c>
      <c r="F1467" t="s"/>
      <c r="G1467" t="s"/>
      <c r="H1467" t="s"/>
      <c r="I1467" t="s"/>
      <c r="J1467" t="n">
        <v>-0.6597</v>
      </c>
      <c r="K1467" t="n">
        <v>0.213</v>
      </c>
      <c r="L1467" t="n">
        <v>0.787</v>
      </c>
      <c r="M1467" t="n">
        <v>0</v>
      </c>
    </row>
    <row r="1468" spans="1:13">
      <c r="A1468" s="1">
        <f>HYPERLINK("http://www.twitter.com/NathanBLawrence/status/832661656861810688", "832661656861810688")</f>
        <v/>
      </c>
      <c r="B1468" s="2" t="n">
        <v>42783.77989583334</v>
      </c>
      <c r="C1468" t="n">
        <v>0</v>
      </c>
      <c r="D1468" t="n">
        <v>932</v>
      </c>
      <c r="E1468" t="s">
        <v>1474</v>
      </c>
      <c r="F1468" t="s"/>
      <c r="G1468" t="s"/>
      <c r="H1468" t="s"/>
      <c r="I1468" t="s"/>
      <c r="J1468" t="n">
        <v>0.4588</v>
      </c>
      <c r="K1468" t="n">
        <v>0</v>
      </c>
      <c r="L1468" t="n">
        <v>0.85</v>
      </c>
      <c r="M1468" t="n">
        <v>0.15</v>
      </c>
    </row>
    <row r="1469" spans="1:13">
      <c r="A1469" s="1">
        <f>HYPERLINK("http://www.twitter.com/NathanBLawrence/status/832656411691712512", "832656411691712512")</f>
        <v/>
      </c>
      <c r="B1469" s="2" t="n">
        <v>42783.76542824074</v>
      </c>
      <c r="C1469" t="n">
        <v>0</v>
      </c>
      <c r="D1469" t="n">
        <v>52</v>
      </c>
      <c r="E1469" t="s">
        <v>1475</v>
      </c>
      <c r="F1469" t="s"/>
      <c r="G1469" t="s"/>
      <c r="H1469" t="s"/>
      <c r="I1469" t="s"/>
      <c r="J1469" t="n">
        <v>0</v>
      </c>
      <c r="K1469" t="n">
        <v>0</v>
      </c>
      <c r="L1469" t="n">
        <v>1</v>
      </c>
      <c r="M1469" t="n">
        <v>0</v>
      </c>
    </row>
    <row r="1470" spans="1:13">
      <c r="A1470" s="1">
        <f>HYPERLINK("http://www.twitter.com/NathanBLawrence/status/832654625559846913", "832654625559846913")</f>
        <v/>
      </c>
      <c r="B1470" s="2" t="n">
        <v>42783.76049768519</v>
      </c>
      <c r="C1470" t="n">
        <v>0</v>
      </c>
      <c r="D1470" t="n">
        <v>1162</v>
      </c>
      <c r="E1470" t="s">
        <v>1476</v>
      </c>
      <c r="F1470" t="s"/>
      <c r="G1470" t="s"/>
      <c r="H1470" t="s"/>
      <c r="I1470" t="s"/>
      <c r="J1470" t="n">
        <v>-0.327</v>
      </c>
      <c r="K1470" t="n">
        <v>0.122</v>
      </c>
      <c r="L1470" t="n">
        <v>0.727</v>
      </c>
      <c r="M1470" t="n">
        <v>0.151</v>
      </c>
    </row>
    <row r="1471" spans="1:13">
      <c r="A1471" s="1">
        <f>HYPERLINK("http://www.twitter.com/NathanBLawrence/status/832653359513473025", "832653359513473025")</f>
        <v/>
      </c>
      <c r="B1471" s="2" t="n">
        <v>42783.75700231481</v>
      </c>
      <c r="C1471" t="n">
        <v>0</v>
      </c>
      <c r="D1471" t="n">
        <v>432</v>
      </c>
      <c r="E1471" t="s">
        <v>1477</v>
      </c>
      <c r="F1471">
        <f>HYPERLINK("http://pbs.twimg.com/media/C44sXnQVcAM4ob7.jpg", "http://pbs.twimg.com/media/C44sXnQVcAM4ob7.jpg")</f>
        <v/>
      </c>
      <c r="G1471" t="s"/>
      <c r="H1471" t="s"/>
      <c r="I1471" t="s"/>
      <c r="J1471" t="n">
        <v>0</v>
      </c>
      <c r="K1471" t="n">
        <v>0</v>
      </c>
      <c r="L1471" t="n">
        <v>1</v>
      </c>
      <c r="M1471" t="n">
        <v>0</v>
      </c>
    </row>
    <row r="1472" spans="1:13">
      <c r="A1472" s="1">
        <f>HYPERLINK("http://www.twitter.com/NathanBLawrence/status/832648997835677698", "832648997835677698")</f>
        <v/>
      </c>
      <c r="B1472" s="2" t="n">
        <v>42783.74496527778</v>
      </c>
      <c r="C1472" t="n">
        <v>0</v>
      </c>
      <c r="D1472" t="n">
        <v>0</v>
      </c>
      <c r="E1472" t="s">
        <v>1478</v>
      </c>
      <c r="F1472" t="s"/>
      <c r="G1472" t="s"/>
      <c r="H1472" t="s"/>
      <c r="I1472" t="s"/>
      <c r="J1472" t="n">
        <v>0.5859</v>
      </c>
      <c r="K1472" t="n">
        <v>0.115</v>
      </c>
      <c r="L1472" t="n">
        <v>0.615</v>
      </c>
      <c r="M1472" t="n">
        <v>0.27</v>
      </c>
    </row>
    <row r="1473" spans="1:13">
      <c r="A1473" s="1">
        <f>HYPERLINK("http://www.twitter.com/NathanBLawrence/status/832624739185160194", "832624739185160194")</f>
        <v/>
      </c>
      <c r="B1473" s="2" t="n">
        <v>42783.67802083334</v>
      </c>
      <c r="C1473" t="n">
        <v>0</v>
      </c>
      <c r="D1473" t="n">
        <v>0</v>
      </c>
      <c r="E1473" t="s">
        <v>1479</v>
      </c>
      <c r="F1473" t="s"/>
      <c r="G1473" t="s"/>
      <c r="H1473" t="s"/>
      <c r="I1473" t="s"/>
      <c r="J1473" t="n">
        <v>0.6124000000000001</v>
      </c>
      <c r="K1473" t="n">
        <v>0.119</v>
      </c>
      <c r="L1473" t="n">
        <v>0.628</v>
      </c>
      <c r="M1473" t="n">
        <v>0.253</v>
      </c>
    </row>
    <row r="1474" spans="1:13">
      <c r="A1474" s="1">
        <f>HYPERLINK("http://www.twitter.com/NathanBLawrence/status/832623039737065475", "832623039737065475")</f>
        <v/>
      </c>
      <c r="B1474" s="2" t="n">
        <v>42783.67333333333</v>
      </c>
      <c r="C1474" t="n">
        <v>0</v>
      </c>
      <c r="D1474" t="n">
        <v>0</v>
      </c>
      <c r="E1474" t="s">
        <v>1480</v>
      </c>
      <c r="F1474" t="s"/>
      <c r="G1474" t="s"/>
      <c r="H1474" t="s"/>
      <c r="I1474" t="s"/>
      <c r="J1474" t="n">
        <v>0</v>
      </c>
      <c r="K1474" t="n">
        <v>0</v>
      </c>
      <c r="L1474" t="n">
        <v>1</v>
      </c>
      <c r="M1474" t="n">
        <v>0</v>
      </c>
    </row>
    <row r="1475" spans="1:13">
      <c r="A1475" s="1">
        <f>HYPERLINK("http://www.twitter.com/NathanBLawrence/status/832385355437453312", "832385355437453312")</f>
        <v/>
      </c>
      <c r="B1475" s="2" t="n">
        <v>42783.0174537037</v>
      </c>
      <c r="C1475" t="n">
        <v>0</v>
      </c>
      <c r="D1475" t="n">
        <v>2934</v>
      </c>
      <c r="E1475" t="s">
        <v>1481</v>
      </c>
      <c r="F1475" t="s"/>
      <c r="G1475" t="s"/>
      <c r="H1475" t="s"/>
      <c r="I1475" t="s"/>
      <c r="J1475" t="n">
        <v>-0.5994</v>
      </c>
      <c r="K1475" t="n">
        <v>0.196</v>
      </c>
      <c r="L1475" t="n">
        <v>0.804</v>
      </c>
      <c r="M1475" t="n">
        <v>0</v>
      </c>
    </row>
    <row r="1476" spans="1:13">
      <c r="A1476" s="1">
        <f>HYPERLINK("http://www.twitter.com/NathanBLawrence/status/832372914783735810", "832372914783735810")</f>
        <v/>
      </c>
      <c r="B1476" s="2" t="n">
        <v>42782.983125</v>
      </c>
      <c r="C1476" t="n">
        <v>0</v>
      </c>
      <c r="D1476" t="n">
        <v>2705</v>
      </c>
      <c r="E1476" t="s">
        <v>1482</v>
      </c>
      <c r="F1476">
        <f>HYPERLINK("http://pbs.twimg.com/media/C40s15PVMAAeAfG.jpg", "http://pbs.twimg.com/media/C40s15PVMAAeAfG.jpg")</f>
        <v/>
      </c>
      <c r="G1476" t="s"/>
      <c r="H1476" t="s"/>
      <c r="I1476" t="s"/>
      <c r="J1476" t="n">
        <v>0</v>
      </c>
      <c r="K1476" t="n">
        <v>0</v>
      </c>
      <c r="L1476" t="n">
        <v>1</v>
      </c>
      <c r="M1476" t="n">
        <v>0</v>
      </c>
    </row>
    <row r="1477" spans="1:13">
      <c r="A1477" s="1">
        <f>HYPERLINK("http://www.twitter.com/NathanBLawrence/status/832372207640784896", "832372207640784896")</f>
        <v/>
      </c>
      <c r="B1477" s="2" t="n">
        <v>42782.98116898148</v>
      </c>
      <c r="C1477" t="n">
        <v>0</v>
      </c>
      <c r="D1477" t="n">
        <v>7624</v>
      </c>
      <c r="E1477" t="s">
        <v>1483</v>
      </c>
      <c r="F1477" t="s"/>
      <c r="G1477" t="s"/>
      <c r="H1477" t="s"/>
      <c r="I1477" t="s"/>
      <c r="J1477" t="n">
        <v>0.25</v>
      </c>
      <c r="K1477" t="n">
        <v>0.08699999999999999</v>
      </c>
      <c r="L1477" t="n">
        <v>0.78</v>
      </c>
      <c r="M1477" t="n">
        <v>0.133</v>
      </c>
    </row>
    <row r="1478" spans="1:13">
      <c r="A1478" s="1">
        <f>HYPERLINK("http://www.twitter.com/NathanBLawrence/status/832367640979062785", "832367640979062785")</f>
        <v/>
      </c>
      <c r="B1478" s="2" t="n">
        <v>42782.96856481482</v>
      </c>
      <c r="C1478" t="n">
        <v>0</v>
      </c>
      <c r="D1478" t="n">
        <v>1819</v>
      </c>
      <c r="E1478" t="s">
        <v>1484</v>
      </c>
      <c r="F1478" t="s"/>
      <c r="G1478" t="s"/>
      <c r="H1478" t="s"/>
      <c r="I1478" t="s"/>
      <c r="J1478" t="n">
        <v>-0.1779</v>
      </c>
      <c r="K1478" t="n">
        <v>0.154</v>
      </c>
      <c r="L1478" t="n">
        <v>0.724</v>
      </c>
      <c r="M1478" t="n">
        <v>0.122</v>
      </c>
    </row>
    <row r="1479" spans="1:13">
      <c r="A1479" s="1">
        <f>HYPERLINK("http://www.twitter.com/NathanBLawrence/status/832345051082653697", "832345051082653697")</f>
        <v/>
      </c>
      <c r="B1479" s="2" t="n">
        <v>42782.90623842592</v>
      </c>
      <c r="C1479" t="n">
        <v>0</v>
      </c>
      <c r="D1479" t="n">
        <v>3633</v>
      </c>
      <c r="E1479" t="s">
        <v>1485</v>
      </c>
      <c r="F1479">
        <f>HYPERLINK("http://pbs.twimg.com/media/C40UqhGUEAMeR9j.jpg", "http://pbs.twimg.com/media/C40UqhGUEAMeR9j.jpg")</f>
        <v/>
      </c>
      <c r="G1479" t="s"/>
      <c r="H1479" t="s"/>
      <c r="I1479" t="s"/>
      <c r="J1479" t="n">
        <v>0</v>
      </c>
      <c r="K1479" t="n">
        <v>0</v>
      </c>
      <c r="L1479" t="n">
        <v>1</v>
      </c>
      <c r="M1479" t="n">
        <v>0</v>
      </c>
    </row>
    <row r="1480" spans="1:13">
      <c r="A1480" s="1">
        <f>HYPERLINK("http://www.twitter.com/NathanBLawrence/status/832318992266125313", "832318992266125313")</f>
        <v/>
      </c>
      <c r="B1480" s="2" t="n">
        <v>42782.83432870371</v>
      </c>
      <c r="C1480" t="n">
        <v>0</v>
      </c>
      <c r="D1480" t="n">
        <v>0</v>
      </c>
      <c r="E1480" t="s">
        <v>1486</v>
      </c>
      <c r="F1480" t="s"/>
      <c r="G1480" t="s"/>
      <c r="H1480" t="s"/>
      <c r="I1480" t="s"/>
      <c r="J1480" t="n">
        <v>0</v>
      </c>
      <c r="K1480" t="n">
        <v>0</v>
      </c>
      <c r="L1480" t="n">
        <v>1</v>
      </c>
      <c r="M1480" t="n">
        <v>0</v>
      </c>
    </row>
    <row r="1481" spans="1:13">
      <c r="A1481" s="1">
        <f>HYPERLINK("http://www.twitter.com/NathanBLawrence/status/832317185108348928", "832317185108348928")</f>
        <v/>
      </c>
      <c r="B1481" s="2" t="n">
        <v>42782.82934027778</v>
      </c>
      <c r="C1481" t="n">
        <v>0</v>
      </c>
      <c r="D1481" t="n">
        <v>70</v>
      </c>
      <c r="E1481" t="s">
        <v>1487</v>
      </c>
      <c r="F1481" t="s"/>
      <c r="G1481" t="s"/>
      <c r="H1481" t="s"/>
      <c r="I1481" t="s"/>
      <c r="J1481" t="n">
        <v>0</v>
      </c>
      <c r="K1481" t="n">
        <v>0</v>
      </c>
      <c r="L1481" t="n">
        <v>1</v>
      </c>
      <c r="M1481" t="n">
        <v>0</v>
      </c>
    </row>
    <row r="1482" spans="1:13">
      <c r="A1482" s="1">
        <f>HYPERLINK("http://www.twitter.com/NathanBLawrence/status/832314308394631173", "832314308394631173")</f>
        <v/>
      </c>
      <c r="B1482" s="2" t="n">
        <v>42782.82140046296</v>
      </c>
      <c r="C1482" t="n">
        <v>0</v>
      </c>
      <c r="D1482" t="n">
        <v>1291</v>
      </c>
      <c r="E1482" t="s">
        <v>1488</v>
      </c>
      <c r="F1482" t="s"/>
      <c r="G1482" t="s"/>
      <c r="H1482" t="s"/>
      <c r="I1482" t="s"/>
      <c r="J1482" t="n">
        <v>0</v>
      </c>
      <c r="K1482" t="n">
        <v>0</v>
      </c>
      <c r="L1482" t="n">
        <v>1</v>
      </c>
      <c r="M1482" t="n">
        <v>0</v>
      </c>
    </row>
    <row r="1483" spans="1:13">
      <c r="A1483" s="1">
        <f>HYPERLINK("http://www.twitter.com/NathanBLawrence/status/832308814032596993", "832308814032596993")</f>
        <v/>
      </c>
      <c r="B1483" s="2" t="n">
        <v>42782.80623842592</v>
      </c>
      <c r="C1483" t="n">
        <v>0</v>
      </c>
      <c r="D1483" t="n">
        <v>3733</v>
      </c>
      <c r="E1483" t="s">
        <v>1489</v>
      </c>
      <c r="F1483">
        <f>HYPERLINK("http://pbs.twimg.com/media/C4zsh-AVMAAwZ9Z.jpg", "http://pbs.twimg.com/media/C4zsh-AVMAAwZ9Z.jpg")</f>
        <v/>
      </c>
      <c r="G1483">
        <f>HYPERLINK("http://pbs.twimg.com/media/C4zsh-EUkAEbfYn.jpg", "http://pbs.twimg.com/media/C4zsh-EUkAEbfYn.jpg")</f>
        <v/>
      </c>
      <c r="H1483">
        <f>HYPERLINK("http://pbs.twimg.com/media/C4zsh-CVcAE3WS5.jpg", "http://pbs.twimg.com/media/C4zsh-CVcAE3WS5.jpg")</f>
        <v/>
      </c>
      <c r="I1483" t="s"/>
      <c r="J1483" t="n">
        <v>0.6259</v>
      </c>
      <c r="K1483" t="n">
        <v>0</v>
      </c>
      <c r="L1483" t="n">
        <v>0.8120000000000001</v>
      </c>
      <c r="M1483" t="n">
        <v>0.188</v>
      </c>
    </row>
    <row r="1484" spans="1:13">
      <c r="A1484" s="1">
        <f>HYPERLINK("http://www.twitter.com/NathanBLawrence/status/832308349970575361", "832308349970575361")</f>
        <v/>
      </c>
      <c r="B1484" s="2" t="n">
        <v>42782.8049537037</v>
      </c>
      <c r="C1484" t="n">
        <v>0</v>
      </c>
      <c r="D1484" t="n">
        <v>1114</v>
      </c>
      <c r="E1484" t="s">
        <v>1490</v>
      </c>
      <c r="F1484" t="s"/>
      <c r="G1484" t="s"/>
      <c r="H1484" t="s"/>
      <c r="I1484" t="s"/>
      <c r="J1484" t="n">
        <v>0.8002</v>
      </c>
      <c r="K1484" t="n">
        <v>0</v>
      </c>
      <c r="L1484" t="n">
        <v>0.726</v>
      </c>
      <c r="M1484" t="n">
        <v>0.274</v>
      </c>
    </row>
    <row r="1485" spans="1:13">
      <c r="A1485" s="1">
        <f>HYPERLINK("http://www.twitter.com/NathanBLawrence/status/832293222764388352", "832293222764388352")</f>
        <v/>
      </c>
      <c r="B1485" s="2" t="n">
        <v>42782.76321759259</v>
      </c>
      <c r="C1485" t="n">
        <v>0</v>
      </c>
      <c r="D1485" t="n">
        <v>362</v>
      </c>
      <c r="E1485" t="s">
        <v>1491</v>
      </c>
      <c r="F1485" t="s"/>
      <c r="G1485" t="s"/>
      <c r="H1485" t="s"/>
      <c r="I1485" t="s"/>
      <c r="J1485" t="n">
        <v>0</v>
      </c>
      <c r="K1485" t="n">
        <v>0</v>
      </c>
      <c r="L1485" t="n">
        <v>1</v>
      </c>
      <c r="M1485" t="n">
        <v>0</v>
      </c>
    </row>
    <row r="1486" spans="1:13">
      <c r="A1486" s="1">
        <f>HYPERLINK("http://www.twitter.com/NathanBLawrence/status/832292291905724417", "832292291905724417")</f>
        <v/>
      </c>
      <c r="B1486" s="2" t="n">
        <v>42782.76064814815</v>
      </c>
      <c r="C1486" t="n">
        <v>1</v>
      </c>
      <c r="D1486" t="n">
        <v>0</v>
      </c>
      <c r="E1486" t="s">
        <v>1492</v>
      </c>
      <c r="F1486" t="s"/>
      <c r="G1486" t="s"/>
      <c r="H1486" t="s"/>
      <c r="I1486" t="s"/>
      <c r="J1486" t="n">
        <v>-0.308</v>
      </c>
      <c r="K1486" t="n">
        <v>0.131</v>
      </c>
      <c r="L1486" t="n">
        <v>0.869</v>
      </c>
      <c r="M1486" t="n">
        <v>0</v>
      </c>
    </row>
    <row r="1487" spans="1:13">
      <c r="A1487" s="1">
        <f>HYPERLINK("http://www.twitter.com/NathanBLawrence/status/832273234557075457", "832273234557075457")</f>
        <v/>
      </c>
      <c r="B1487" s="2" t="n">
        <v>42782.70805555556</v>
      </c>
      <c r="C1487" t="n">
        <v>0</v>
      </c>
      <c r="D1487" t="n">
        <v>0</v>
      </c>
      <c r="E1487" t="s">
        <v>1493</v>
      </c>
      <c r="F1487" t="s"/>
      <c r="G1487" t="s"/>
      <c r="H1487" t="s"/>
      <c r="I1487" t="s"/>
      <c r="J1487" t="n">
        <v>0.7845</v>
      </c>
      <c r="K1487" t="n">
        <v>0.081</v>
      </c>
      <c r="L1487" t="n">
        <v>0.601</v>
      </c>
      <c r="M1487" t="n">
        <v>0.318</v>
      </c>
    </row>
    <row r="1488" spans="1:13">
      <c r="A1488" s="1">
        <f>HYPERLINK("http://www.twitter.com/NathanBLawrence/status/832266180975063045", "832266180975063045")</f>
        <v/>
      </c>
      <c r="B1488" s="2" t="n">
        <v>42782.68858796296</v>
      </c>
      <c r="C1488" t="n">
        <v>0</v>
      </c>
      <c r="D1488" t="n">
        <v>1729</v>
      </c>
      <c r="E1488" t="s">
        <v>1494</v>
      </c>
      <c r="F1488">
        <f>HYPERLINK("http://pbs.twimg.com/media/C4vy-CwWMAAiuEz.jpg", "http://pbs.twimg.com/media/C4vy-CwWMAAiuEz.jpg")</f>
        <v/>
      </c>
      <c r="G1488" t="s"/>
      <c r="H1488" t="s"/>
      <c r="I1488" t="s"/>
      <c r="J1488" t="n">
        <v>-0.3382</v>
      </c>
      <c r="K1488" t="n">
        <v>0.094</v>
      </c>
      <c r="L1488" t="n">
        <v>0.906</v>
      </c>
      <c r="M1488" t="n">
        <v>0</v>
      </c>
    </row>
    <row r="1489" spans="1:13">
      <c r="A1489" s="1">
        <f>HYPERLINK("http://www.twitter.com/NathanBLawrence/status/832262270570868737", "832262270570868737")</f>
        <v/>
      </c>
      <c r="B1489" s="2" t="n">
        <v>42782.67780092593</v>
      </c>
      <c r="C1489" t="n">
        <v>0</v>
      </c>
      <c r="D1489" t="n">
        <v>170</v>
      </c>
      <c r="E1489" t="s">
        <v>1495</v>
      </c>
      <c r="F1489" t="s"/>
      <c r="G1489" t="s"/>
      <c r="H1489" t="s"/>
      <c r="I1489" t="s"/>
      <c r="J1489" t="n">
        <v>0</v>
      </c>
      <c r="K1489" t="n">
        <v>0</v>
      </c>
      <c r="L1489" t="n">
        <v>1</v>
      </c>
      <c r="M1489" t="n">
        <v>0</v>
      </c>
    </row>
    <row r="1490" spans="1:13">
      <c r="A1490" s="1">
        <f>HYPERLINK("http://www.twitter.com/NathanBLawrence/status/832255589866692609", "832255589866692609")</f>
        <v/>
      </c>
      <c r="B1490" s="2" t="n">
        <v>42782.65936342593</v>
      </c>
      <c r="C1490" t="n">
        <v>0</v>
      </c>
      <c r="D1490" t="n">
        <v>1036</v>
      </c>
      <c r="E1490" t="s">
        <v>1496</v>
      </c>
      <c r="F1490" t="s"/>
      <c r="G1490" t="s"/>
      <c r="H1490" t="s"/>
      <c r="I1490" t="s"/>
      <c r="J1490" t="n">
        <v>-0.3818</v>
      </c>
      <c r="K1490" t="n">
        <v>0.213</v>
      </c>
      <c r="L1490" t="n">
        <v>0.672</v>
      </c>
      <c r="M1490" t="n">
        <v>0.116</v>
      </c>
    </row>
    <row r="1491" spans="1:13">
      <c r="A1491" s="1">
        <f>HYPERLINK("http://www.twitter.com/NathanBLawrence/status/832244110492889092", "832244110492889092")</f>
        <v/>
      </c>
      <c r="B1491" s="2" t="n">
        <v>42782.62768518519</v>
      </c>
      <c r="C1491" t="n">
        <v>0</v>
      </c>
      <c r="D1491" t="n">
        <v>386</v>
      </c>
      <c r="E1491" t="s">
        <v>1497</v>
      </c>
      <c r="F1491" t="s"/>
      <c r="G1491" t="s"/>
      <c r="H1491" t="s"/>
      <c r="I1491" t="s"/>
      <c r="J1491" t="n">
        <v>0</v>
      </c>
      <c r="K1491" t="n">
        <v>0</v>
      </c>
      <c r="L1491" t="n">
        <v>1</v>
      </c>
      <c r="M1491" t="n">
        <v>0</v>
      </c>
    </row>
    <row r="1492" spans="1:13">
      <c r="A1492" s="1">
        <f>HYPERLINK("http://www.twitter.com/NathanBLawrence/status/832243719885770752", "832243719885770752")</f>
        <v/>
      </c>
      <c r="B1492" s="2" t="n">
        <v>42782.62660879629</v>
      </c>
      <c r="C1492" t="n">
        <v>0</v>
      </c>
      <c r="D1492" t="n">
        <v>1661</v>
      </c>
      <c r="E1492" t="s">
        <v>1498</v>
      </c>
      <c r="F1492" t="s"/>
      <c r="G1492" t="s"/>
      <c r="H1492" t="s"/>
      <c r="I1492" t="s"/>
      <c r="J1492" t="n">
        <v>-0.4404</v>
      </c>
      <c r="K1492" t="n">
        <v>0.151</v>
      </c>
      <c r="L1492" t="n">
        <v>0.849</v>
      </c>
      <c r="M1492" t="n">
        <v>0</v>
      </c>
    </row>
    <row r="1493" spans="1:13">
      <c r="A1493" s="1">
        <f>HYPERLINK("http://www.twitter.com/NathanBLawrence/status/832123769644793856", "832123769644793856")</f>
        <v/>
      </c>
      <c r="B1493" s="2" t="n">
        <v>42782.29561342593</v>
      </c>
      <c r="C1493" t="n">
        <v>0</v>
      </c>
      <c r="D1493" t="n">
        <v>280</v>
      </c>
      <c r="E1493" t="s">
        <v>1499</v>
      </c>
      <c r="F1493" t="s"/>
      <c r="G1493" t="s"/>
      <c r="H1493" t="s"/>
      <c r="I1493" t="s"/>
      <c r="J1493" t="n">
        <v>0.128</v>
      </c>
      <c r="K1493" t="n">
        <v>0.174</v>
      </c>
      <c r="L1493" t="n">
        <v>0.632</v>
      </c>
      <c r="M1493" t="n">
        <v>0.194</v>
      </c>
    </row>
    <row r="1494" spans="1:13">
      <c r="A1494" s="1">
        <f>HYPERLINK("http://www.twitter.com/NathanBLawrence/status/832109939648843778", "832109939648843778")</f>
        <v/>
      </c>
      <c r="B1494" s="2" t="n">
        <v>42782.25745370371</v>
      </c>
      <c r="C1494" t="n">
        <v>0</v>
      </c>
      <c r="D1494" t="n">
        <v>10</v>
      </c>
      <c r="E1494" t="s">
        <v>1500</v>
      </c>
      <c r="F1494" t="s"/>
      <c r="G1494" t="s"/>
      <c r="H1494" t="s"/>
      <c r="I1494" t="s"/>
      <c r="J1494" t="n">
        <v>-0.296</v>
      </c>
      <c r="K1494" t="n">
        <v>0.104</v>
      </c>
      <c r="L1494" t="n">
        <v>0.896</v>
      </c>
      <c r="M1494" t="n">
        <v>0</v>
      </c>
    </row>
    <row r="1495" spans="1:13">
      <c r="A1495" s="1">
        <f>HYPERLINK("http://www.twitter.com/NathanBLawrence/status/832109186641174529", "832109186641174529")</f>
        <v/>
      </c>
      <c r="B1495" s="2" t="n">
        <v>42782.25537037037</v>
      </c>
      <c r="C1495" t="n">
        <v>0</v>
      </c>
      <c r="D1495" t="n">
        <v>884</v>
      </c>
      <c r="E1495" t="s">
        <v>1501</v>
      </c>
      <c r="F1495" t="s"/>
      <c r="G1495" t="s"/>
      <c r="H1495" t="s"/>
      <c r="I1495" t="s"/>
      <c r="J1495" t="n">
        <v>0</v>
      </c>
      <c r="K1495" t="n">
        <v>0</v>
      </c>
      <c r="L1495" t="n">
        <v>1</v>
      </c>
      <c r="M1495" t="n">
        <v>0</v>
      </c>
    </row>
    <row r="1496" spans="1:13">
      <c r="A1496" s="1">
        <f>HYPERLINK("http://www.twitter.com/NathanBLawrence/status/832084383762878464", "832084383762878464")</f>
        <v/>
      </c>
      <c r="B1496" s="2" t="n">
        <v>42782.18693287037</v>
      </c>
      <c r="C1496" t="n">
        <v>0</v>
      </c>
      <c r="D1496" t="n">
        <v>1338</v>
      </c>
      <c r="E1496" t="s">
        <v>1502</v>
      </c>
      <c r="F1496" t="s"/>
      <c r="G1496" t="s"/>
      <c r="H1496" t="s"/>
      <c r="I1496" t="s"/>
      <c r="J1496" t="n">
        <v>0.4767</v>
      </c>
      <c r="K1496" t="n">
        <v>0</v>
      </c>
      <c r="L1496" t="n">
        <v>0.795</v>
      </c>
      <c r="M1496" t="n">
        <v>0.205</v>
      </c>
    </row>
    <row r="1497" spans="1:13">
      <c r="A1497" s="1">
        <f>HYPERLINK("http://www.twitter.com/NathanBLawrence/status/832058287453589504", "832058287453589504")</f>
        <v/>
      </c>
      <c r="B1497" s="2" t="n">
        <v>42782.11491898148</v>
      </c>
      <c r="C1497" t="n">
        <v>3</v>
      </c>
      <c r="D1497" t="n">
        <v>0</v>
      </c>
      <c r="E1497" t="s">
        <v>1503</v>
      </c>
      <c r="F1497" t="s"/>
      <c r="G1497" t="s"/>
      <c r="H1497" t="s"/>
      <c r="I1497" t="s"/>
      <c r="J1497" t="n">
        <v>-0.6381</v>
      </c>
      <c r="K1497" t="n">
        <v>0.303</v>
      </c>
      <c r="L1497" t="n">
        <v>0.697</v>
      </c>
      <c r="M1497" t="n">
        <v>0</v>
      </c>
    </row>
    <row r="1498" spans="1:13">
      <c r="A1498" s="1">
        <f>HYPERLINK("http://www.twitter.com/NathanBLawrence/status/832055423649902593", "832055423649902593")</f>
        <v/>
      </c>
      <c r="B1498" s="2" t="n">
        <v>42782.10701388889</v>
      </c>
      <c r="C1498" t="n">
        <v>0</v>
      </c>
      <c r="D1498" t="n">
        <v>3939</v>
      </c>
      <c r="E1498" t="s">
        <v>1504</v>
      </c>
      <c r="F1498">
        <f>HYPERLINK("http://pbs.twimg.com/media/C4wK3skUYAADA0N.jpg", "http://pbs.twimg.com/media/C4wK3skUYAADA0N.jpg")</f>
        <v/>
      </c>
      <c r="G1498" t="s"/>
      <c r="H1498" t="s"/>
      <c r="I1498" t="s"/>
      <c r="J1498" t="n">
        <v>0.4767</v>
      </c>
      <c r="K1498" t="n">
        <v>0</v>
      </c>
      <c r="L1498" t="n">
        <v>0.838</v>
      </c>
      <c r="M1498" t="n">
        <v>0.162</v>
      </c>
    </row>
    <row r="1499" spans="1:13">
      <c r="A1499" s="1">
        <f>HYPERLINK("http://www.twitter.com/NathanBLawrence/status/831922847190761472", "831922847190761472")</f>
        <v/>
      </c>
      <c r="B1499" s="2" t="n">
        <v>42781.74116898148</v>
      </c>
      <c r="C1499" t="n">
        <v>0</v>
      </c>
      <c r="D1499" t="n">
        <v>4966</v>
      </c>
      <c r="E1499" t="s">
        <v>1505</v>
      </c>
      <c r="F1499">
        <f>HYPERLINK("http://pbs.twimg.com/media/C4uPwNlUEAAZm8h.jpg", "http://pbs.twimg.com/media/C4uPwNlUEAAZm8h.jpg")</f>
        <v/>
      </c>
      <c r="G1499">
        <f>HYPERLINK("http://pbs.twimg.com/media/C4uPxCGUoAEp4cj.jpg", "http://pbs.twimg.com/media/C4uPxCGUoAEp4cj.jpg")</f>
        <v/>
      </c>
      <c r="H1499" t="s"/>
      <c r="I1499" t="s"/>
      <c r="J1499" t="n">
        <v>-0.6801</v>
      </c>
      <c r="K1499" t="n">
        <v>0.268</v>
      </c>
      <c r="L1499" t="n">
        <v>0.732</v>
      </c>
      <c r="M1499" t="n">
        <v>0</v>
      </c>
    </row>
    <row r="1500" spans="1:13">
      <c r="A1500" s="1">
        <f>HYPERLINK("http://www.twitter.com/NathanBLawrence/status/831919074745733121", "831919074745733121")</f>
        <v/>
      </c>
      <c r="B1500" s="2" t="n">
        <v>42781.73076388889</v>
      </c>
      <c r="C1500" t="n">
        <v>0</v>
      </c>
      <c r="D1500" t="n">
        <v>950</v>
      </c>
      <c r="E1500" t="s">
        <v>1506</v>
      </c>
      <c r="F1500" t="s"/>
      <c r="G1500" t="s"/>
      <c r="H1500" t="s"/>
      <c r="I1500" t="s"/>
      <c r="J1500" t="n">
        <v>-0.34</v>
      </c>
      <c r="K1500" t="n">
        <v>0.098</v>
      </c>
      <c r="L1500" t="n">
        <v>0.902</v>
      </c>
      <c r="M1500" t="n">
        <v>0</v>
      </c>
    </row>
    <row r="1501" spans="1:13">
      <c r="A1501" s="1">
        <f>HYPERLINK("http://www.twitter.com/NathanBLawrence/status/831909606448300035", "831909606448300035")</f>
        <v/>
      </c>
      <c r="B1501" s="2" t="n">
        <v>42781.70462962963</v>
      </c>
      <c r="C1501" t="n">
        <v>16</v>
      </c>
      <c r="D1501" t="n">
        <v>1</v>
      </c>
      <c r="E1501" t="s">
        <v>1507</v>
      </c>
      <c r="F1501" t="s"/>
      <c r="G1501" t="s"/>
      <c r="H1501" t="s"/>
      <c r="I1501" t="s"/>
      <c r="J1501" t="n">
        <v>0.3182</v>
      </c>
      <c r="K1501" t="n">
        <v>0</v>
      </c>
      <c r="L1501" t="n">
        <v>0.874</v>
      </c>
      <c r="M1501" t="n">
        <v>0.126</v>
      </c>
    </row>
    <row r="1502" spans="1:13">
      <c r="A1502" s="1">
        <f>HYPERLINK("http://www.twitter.com/NathanBLawrence/status/831874021914456064", "831874021914456064")</f>
        <v/>
      </c>
      <c r="B1502" s="2" t="n">
        <v>42781.60643518518</v>
      </c>
      <c r="C1502" t="n">
        <v>0</v>
      </c>
      <c r="D1502" t="n">
        <v>11033</v>
      </c>
      <c r="E1502" t="s">
        <v>1508</v>
      </c>
      <c r="F1502" t="s"/>
      <c r="G1502" t="s"/>
      <c r="H1502" t="s"/>
      <c r="I1502" t="s"/>
      <c r="J1502" t="n">
        <v>0.5859</v>
      </c>
      <c r="K1502" t="n">
        <v>0.08699999999999999</v>
      </c>
      <c r="L1502" t="n">
        <v>0.667</v>
      </c>
      <c r="M1502" t="n">
        <v>0.247</v>
      </c>
    </row>
    <row r="1503" spans="1:13">
      <c r="A1503" s="1">
        <f>HYPERLINK("http://www.twitter.com/NathanBLawrence/status/831871788208553984", "831871788208553984")</f>
        <v/>
      </c>
      <c r="B1503" s="2" t="n">
        <v>42781.60027777778</v>
      </c>
      <c r="C1503" t="n">
        <v>0</v>
      </c>
      <c r="D1503" t="n">
        <v>595</v>
      </c>
      <c r="E1503" t="s">
        <v>1509</v>
      </c>
      <c r="F1503" t="s"/>
      <c r="G1503" t="s"/>
      <c r="H1503" t="s"/>
      <c r="I1503" t="s"/>
      <c r="J1503" t="n">
        <v>-0.357</v>
      </c>
      <c r="K1503" t="n">
        <v>0.101</v>
      </c>
      <c r="L1503" t="n">
        <v>0.899</v>
      </c>
      <c r="M1503" t="n">
        <v>0</v>
      </c>
    </row>
    <row r="1504" spans="1:13">
      <c r="A1504" s="1">
        <f>HYPERLINK("http://www.twitter.com/NathanBLawrence/status/831703779644948480", "831703779644948480")</f>
        <v/>
      </c>
      <c r="B1504" s="2" t="n">
        <v>42781.13666666667</v>
      </c>
      <c r="C1504" t="n">
        <v>1</v>
      </c>
      <c r="D1504" t="n">
        <v>0</v>
      </c>
      <c r="E1504" t="s">
        <v>1510</v>
      </c>
      <c r="F1504" t="s"/>
      <c r="G1504" t="s"/>
      <c r="H1504" t="s"/>
      <c r="I1504" t="s"/>
      <c r="J1504" t="n">
        <v>0.0772</v>
      </c>
      <c r="K1504" t="n">
        <v>0</v>
      </c>
      <c r="L1504" t="n">
        <v>0.947</v>
      </c>
      <c r="M1504" t="n">
        <v>0.053</v>
      </c>
    </row>
    <row r="1505" spans="1:13">
      <c r="A1505" s="1">
        <f>HYPERLINK("http://www.twitter.com/NathanBLawrence/status/831702352411389953", "831702352411389953")</f>
        <v/>
      </c>
      <c r="B1505" s="2" t="n">
        <v>42781.13271990741</v>
      </c>
      <c r="C1505" t="n">
        <v>1</v>
      </c>
      <c r="D1505" t="n">
        <v>0</v>
      </c>
      <c r="E1505" t="s">
        <v>1511</v>
      </c>
      <c r="F1505" t="s"/>
      <c r="G1505" t="s"/>
      <c r="H1505" t="s"/>
      <c r="I1505" t="s"/>
      <c r="J1505" t="n">
        <v>0</v>
      </c>
      <c r="K1505" t="n">
        <v>0</v>
      </c>
      <c r="L1505" t="n">
        <v>1</v>
      </c>
      <c r="M1505" t="n">
        <v>0</v>
      </c>
    </row>
    <row r="1506" spans="1:13">
      <c r="A1506" s="1">
        <f>HYPERLINK("http://www.twitter.com/NathanBLawrence/status/831692323436257284", "831692323436257284")</f>
        <v/>
      </c>
      <c r="B1506" s="2" t="n">
        <v>42781.1050462963</v>
      </c>
      <c r="C1506" t="n">
        <v>0</v>
      </c>
      <c r="D1506" t="n">
        <v>2667</v>
      </c>
      <c r="E1506" t="s">
        <v>1512</v>
      </c>
      <c r="F1506">
        <f>HYPERLINK("http://pbs.twimg.com/media/C4qnLzTUkAAXW3_.jpg", "http://pbs.twimg.com/media/C4qnLzTUkAAXW3_.jpg")</f>
        <v/>
      </c>
      <c r="G1506" t="s"/>
      <c r="H1506" t="s"/>
      <c r="I1506" t="s"/>
      <c r="J1506" t="n">
        <v>0.1007</v>
      </c>
      <c r="K1506" t="n">
        <v>0.138</v>
      </c>
      <c r="L1506" t="n">
        <v>0.706</v>
      </c>
      <c r="M1506" t="n">
        <v>0.156</v>
      </c>
    </row>
    <row r="1507" spans="1:13">
      <c r="A1507" s="1">
        <f>HYPERLINK("http://www.twitter.com/NathanBLawrence/status/831653500039880705", "831653500039880705")</f>
        <v/>
      </c>
      <c r="B1507" s="2" t="n">
        <v>42780.99791666667</v>
      </c>
      <c r="C1507" t="n">
        <v>0</v>
      </c>
      <c r="D1507" t="n">
        <v>1198</v>
      </c>
      <c r="E1507" t="s">
        <v>1513</v>
      </c>
      <c r="F1507" t="s"/>
      <c r="G1507" t="s"/>
      <c r="H1507" t="s"/>
      <c r="I1507" t="s"/>
      <c r="J1507" t="n">
        <v>-0.5256</v>
      </c>
      <c r="K1507" t="n">
        <v>0.166</v>
      </c>
      <c r="L1507" t="n">
        <v>0.834</v>
      </c>
      <c r="M1507" t="n">
        <v>0</v>
      </c>
    </row>
    <row r="1508" spans="1:13">
      <c r="A1508" s="1">
        <f>HYPERLINK("http://www.twitter.com/NathanBLawrence/status/831653156127924224", "831653156127924224")</f>
        <v/>
      </c>
      <c r="B1508" s="2" t="n">
        <v>42780.99696759259</v>
      </c>
      <c r="C1508" t="n">
        <v>0</v>
      </c>
      <c r="D1508" t="n">
        <v>4632</v>
      </c>
      <c r="E1508" t="s">
        <v>1514</v>
      </c>
      <c r="F1508">
        <f>HYPERLINK("http://pbs.twimg.com/media/C4nxMRlVYAMlvkW.jpg", "http://pbs.twimg.com/media/C4nxMRlVYAMlvkW.jpg")</f>
        <v/>
      </c>
      <c r="G1508" t="s"/>
      <c r="H1508" t="s"/>
      <c r="I1508" t="s"/>
      <c r="J1508" t="n">
        <v>0</v>
      </c>
      <c r="K1508" t="n">
        <v>0</v>
      </c>
      <c r="L1508" t="n">
        <v>1</v>
      </c>
      <c r="M1508" t="n">
        <v>0</v>
      </c>
    </row>
    <row r="1509" spans="1:13">
      <c r="A1509" s="1">
        <f>HYPERLINK("http://www.twitter.com/NathanBLawrence/status/831650591281704960", "831650591281704960")</f>
        <v/>
      </c>
      <c r="B1509" s="2" t="n">
        <v>42780.98988425926</v>
      </c>
      <c r="C1509" t="n">
        <v>0</v>
      </c>
      <c r="D1509" t="n">
        <v>72</v>
      </c>
      <c r="E1509" t="s">
        <v>1515</v>
      </c>
      <c r="F1509" t="s"/>
      <c r="G1509" t="s"/>
      <c r="H1509" t="s"/>
      <c r="I1509" t="s"/>
      <c r="J1509" t="n">
        <v>0.4767</v>
      </c>
      <c r="K1509" t="n">
        <v>0</v>
      </c>
      <c r="L1509" t="n">
        <v>0.8070000000000001</v>
      </c>
      <c r="M1509" t="n">
        <v>0.193</v>
      </c>
    </row>
    <row r="1510" spans="1:13">
      <c r="A1510" s="1">
        <f>HYPERLINK("http://www.twitter.com/NathanBLawrence/status/831629902755545088", "831629902755545088")</f>
        <v/>
      </c>
      <c r="B1510" s="2" t="n">
        <v>42780.93280092593</v>
      </c>
      <c r="C1510" t="n">
        <v>0</v>
      </c>
      <c r="D1510" t="n">
        <v>1922</v>
      </c>
      <c r="E1510" t="s">
        <v>1516</v>
      </c>
      <c r="F1510" t="s"/>
      <c r="G1510" t="s"/>
      <c r="H1510" t="s"/>
      <c r="I1510" t="s"/>
      <c r="J1510" t="n">
        <v>0.5859</v>
      </c>
      <c r="K1510" t="n">
        <v>0</v>
      </c>
      <c r="L1510" t="n">
        <v>0.798</v>
      </c>
      <c r="M1510" t="n">
        <v>0.202</v>
      </c>
    </row>
    <row r="1511" spans="1:13">
      <c r="A1511" s="1">
        <f>HYPERLINK("http://www.twitter.com/NathanBLawrence/status/831583955480612864", "831583955480612864")</f>
        <v/>
      </c>
      <c r="B1511" s="2" t="n">
        <v>42780.80600694445</v>
      </c>
      <c r="C1511" t="n">
        <v>0</v>
      </c>
      <c r="D1511" t="n">
        <v>240</v>
      </c>
      <c r="E1511" t="s">
        <v>1517</v>
      </c>
      <c r="F1511" t="s"/>
      <c r="G1511" t="s"/>
      <c r="H1511" t="s"/>
      <c r="I1511" t="s"/>
      <c r="J1511" t="n">
        <v>0</v>
      </c>
      <c r="K1511" t="n">
        <v>0</v>
      </c>
      <c r="L1511" t="n">
        <v>1</v>
      </c>
      <c r="M1511" t="n">
        <v>0</v>
      </c>
    </row>
    <row r="1512" spans="1:13">
      <c r="A1512" s="1">
        <f>HYPERLINK("http://www.twitter.com/NathanBLawrence/status/831583096885620741", "831583096885620741")</f>
        <v/>
      </c>
      <c r="B1512" s="2" t="n">
        <v>42780.80364583333</v>
      </c>
      <c r="C1512" t="n">
        <v>0</v>
      </c>
      <c r="D1512" t="n">
        <v>722</v>
      </c>
      <c r="E1512" t="s">
        <v>1518</v>
      </c>
      <c r="F1512" t="s"/>
      <c r="G1512" t="s"/>
      <c r="H1512" t="s"/>
      <c r="I1512" t="s"/>
      <c r="J1512" t="n">
        <v>-0.2342</v>
      </c>
      <c r="K1512" t="n">
        <v>0.26</v>
      </c>
      <c r="L1512" t="n">
        <v>0.5669999999999999</v>
      </c>
      <c r="M1512" t="n">
        <v>0.173</v>
      </c>
    </row>
    <row r="1513" spans="1:13">
      <c r="A1513" s="1">
        <f>HYPERLINK("http://www.twitter.com/NathanBLawrence/status/831582017389199360", "831582017389199360")</f>
        <v/>
      </c>
      <c r="B1513" s="2" t="n">
        <v>42780.80065972222</v>
      </c>
      <c r="C1513" t="n">
        <v>1</v>
      </c>
      <c r="D1513" t="n">
        <v>0</v>
      </c>
      <c r="E1513" t="s">
        <v>1519</v>
      </c>
      <c r="F1513" t="s"/>
      <c r="G1513" t="s"/>
      <c r="H1513" t="s"/>
      <c r="I1513" t="s"/>
      <c r="J1513" t="n">
        <v>0.8357</v>
      </c>
      <c r="K1513" t="n">
        <v>0</v>
      </c>
      <c r="L1513" t="n">
        <v>0.612</v>
      </c>
      <c r="M1513" t="n">
        <v>0.388</v>
      </c>
    </row>
    <row r="1514" spans="1:13">
      <c r="A1514" s="1">
        <f>HYPERLINK("http://www.twitter.com/NathanBLawrence/status/831534039404335104", "831534039404335104")</f>
        <v/>
      </c>
      <c r="B1514" s="2" t="n">
        <v>42780.66826388889</v>
      </c>
      <c r="C1514" t="n">
        <v>0</v>
      </c>
      <c r="D1514" t="n">
        <v>1648</v>
      </c>
      <c r="E1514" t="s">
        <v>1520</v>
      </c>
      <c r="F1514" t="s"/>
      <c r="G1514" t="s"/>
      <c r="H1514" t="s"/>
      <c r="I1514" t="s"/>
      <c r="J1514" t="n">
        <v>-0.7096</v>
      </c>
      <c r="K1514" t="n">
        <v>0.17</v>
      </c>
      <c r="L1514" t="n">
        <v>0.83</v>
      </c>
      <c r="M1514" t="n">
        <v>0</v>
      </c>
    </row>
    <row r="1515" spans="1:13">
      <c r="A1515" s="1">
        <f>HYPERLINK("http://www.twitter.com/NathanBLawrence/status/831520288559026178", "831520288559026178")</f>
        <v/>
      </c>
      <c r="B1515" s="2" t="n">
        <v>42780.63032407407</v>
      </c>
      <c r="C1515" t="n">
        <v>0</v>
      </c>
      <c r="D1515" t="n">
        <v>4860</v>
      </c>
      <c r="E1515" t="s">
        <v>1521</v>
      </c>
      <c r="F1515" t="s"/>
      <c r="G1515" t="s"/>
      <c r="H1515" t="s"/>
      <c r="I1515" t="s"/>
      <c r="J1515" t="n">
        <v>0.0258</v>
      </c>
      <c r="K1515" t="n">
        <v>0.111</v>
      </c>
      <c r="L1515" t="n">
        <v>0.773</v>
      </c>
      <c r="M1515" t="n">
        <v>0.116</v>
      </c>
    </row>
    <row r="1516" spans="1:13">
      <c r="A1516" s="1">
        <f>HYPERLINK("http://www.twitter.com/NathanBLawrence/status/831512366986719232", "831512366986719232")</f>
        <v/>
      </c>
      <c r="B1516" s="2" t="n">
        <v>42780.60846064815</v>
      </c>
      <c r="C1516" t="n">
        <v>0</v>
      </c>
      <c r="D1516" t="n">
        <v>0</v>
      </c>
      <c r="E1516" t="s">
        <v>1522</v>
      </c>
      <c r="F1516" t="s"/>
      <c r="G1516" t="s"/>
      <c r="H1516" t="s"/>
      <c r="I1516" t="s"/>
      <c r="J1516" t="n">
        <v>0.3382</v>
      </c>
      <c r="K1516" t="n">
        <v>0</v>
      </c>
      <c r="L1516" t="n">
        <v>0.556</v>
      </c>
      <c r="M1516" t="n">
        <v>0.444</v>
      </c>
    </row>
    <row r="1517" spans="1:13">
      <c r="A1517" s="1">
        <f>HYPERLINK("http://www.twitter.com/NathanBLawrence/status/831367693466992642", "831367693466992642")</f>
        <v/>
      </c>
      <c r="B1517" s="2" t="n">
        <v>42780.20923611111</v>
      </c>
      <c r="C1517" t="n">
        <v>9</v>
      </c>
      <c r="D1517" t="n">
        <v>10</v>
      </c>
      <c r="E1517" t="s">
        <v>1523</v>
      </c>
      <c r="F1517" t="s"/>
      <c r="G1517" t="s"/>
      <c r="H1517" t="s"/>
      <c r="I1517" t="s"/>
      <c r="J1517" t="n">
        <v>-0.4215</v>
      </c>
      <c r="K1517" t="n">
        <v>0.183</v>
      </c>
      <c r="L1517" t="n">
        <v>0.8169999999999999</v>
      </c>
      <c r="M1517" t="n">
        <v>0</v>
      </c>
    </row>
    <row r="1518" spans="1:13">
      <c r="A1518" s="1">
        <f>HYPERLINK("http://www.twitter.com/NathanBLawrence/status/831359217818861568", "831359217818861568")</f>
        <v/>
      </c>
      <c r="B1518" s="2" t="n">
        <v>42780.18585648148</v>
      </c>
      <c r="C1518" t="n">
        <v>0</v>
      </c>
      <c r="D1518" t="n">
        <v>0</v>
      </c>
      <c r="E1518" t="s">
        <v>1524</v>
      </c>
      <c r="F1518" t="s"/>
      <c r="G1518" t="s"/>
      <c r="H1518" t="s"/>
      <c r="I1518" t="s"/>
      <c r="J1518" t="n">
        <v>-0.4767</v>
      </c>
      <c r="K1518" t="n">
        <v>0.608</v>
      </c>
      <c r="L1518" t="n">
        <v>0.392</v>
      </c>
      <c r="M1518" t="n">
        <v>0</v>
      </c>
    </row>
    <row r="1519" spans="1:13">
      <c r="A1519" s="1">
        <f>HYPERLINK("http://www.twitter.com/NathanBLawrence/status/831354714272972800", "831354714272972800")</f>
        <v/>
      </c>
      <c r="B1519" s="2" t="n">
        <v>42780.17342592592</v>
      </c>
      <c r="C1519" t="n">
        <v>0</v>
      </c>
      <c r="D1519" t="n">
        <v>313</v>
      </c>
      <c r="E1519" t="s">
        <v>1525</v>
      </c>
      <c r="F1519" t="s"/>
      <c r="G1519" t="s"/>
      <c r="H1519" t="s"/>
      <c r="I1519" t="s"/>
      <c r="J1519" t="n">
        <v>-0.296</v>
      </c>
      <c r="K1519" t="n">
        <v>0.104</v>
      </c>
      <c r="L1519" t="n">
        <v>0.896</v>
      </c>
      <c r="M1519" t="n">
        <v>0</v>
      </c>
    </row>
    <row r="1520" spans="1:13">
      <c r="A1520" s="1">
        <f>HYPERLINK("http://www.twitter.com/NathanBLawrence/status/831321329655746560", "831321329655746560")</f>
        <v/>
      </c>
      <c r="B1520" s="2" t="n">
        <v>42780.0812962963</v>
      </c>
      <c r="C1520" t="n">
        <v>0</v>
      </c>
      <c r="D1520" t="n">
        <v>1128</v>
      </c>
      <c r="E1520" t="s">
        <v>1526</v>
      </c>
      <c r="F1520" t="s"/>
      <c r="G1520" t="s"/>
      <c r="H1520" t="s"/>
      <c r="I1520" t="s"/>
      <c r="J1520" t="n">
        <v>-0.4019</v>
      </c>
      <c r="K1520" t="n">
        <v>0.109</v>
      </c>
      <c r="L1520" t="n">
        <v>0.891</v>
      </c>
      <c r="M1520" t="n">
        <v>0</v>
      </c>
    </row>
    <row r="1521" spans="1:13">
      <c r="A1521" s="1">
        <f>HYPERLINK("http://www.twitter.com/NathanBLawrence/status/831311237745147904", "831311237745147904")</f>
        <v/>
      </c>
      <c r="B1521" s="2" t="n">
        <v>42780.05344907408</v>
      </c>
      <c r="C1521" t="n">
        <v>0</v>
      </c>
      <c r="D1521" t="n">
        <v>0</v>
      </c>
      <c r="E1521" t="s">
        <v>1527</v>
      </c>
      <c r="F1521" t="s"/>
      <c r="G1521" t="s"/>
      <c r="H1521" t="s"/>
      <c r="I1521" t="s"/>
      <c r="J1521" t="n">
        <v>0</v>
      </c>
      <c r="K1521" t="n">
        <v>0</v>
      </c>
      <c r="L1521" t="n">
        <v>1</v>
      </c>
      <c r="M1521" t="n">
        <v>0</v>
      </c>
    </row>
    <row r="1522" spans="1:13">
      <c r="A1522" s="1">
        <f>HYPERLINK("http://www.twitter.com/NathanBLawrence/status/831305606891966464", "831305606891966464")</f>
        <v/>
      </c>
      <c r="B1522" s="2" t="n">
        <v>42780.03791666667</v>
      </c>
      <c r="C1522" t="n">
        <v>0</v>
      </c>
      <c r="D1522" t="n">
        <v>24</v>
      </c>
      <c r="E1522" t="s">
        <v>1528</v>
      </c>
      <c r="F1522" t="s"/>
      <c r="G1522" t="s"/>
      <c r="H1522" t="s"/>
      <c r="I1522" t="s"/>
      <c r="J1522" t="n">
        <v>-0.886</v>
      </c>
      <c r="K1522" t="n">
        <v>0.51</v>
      </c>
      <c r="L1522" t="n">
        <v>0.49</v>
      </c>
      <c r="M1522" t="n">
        <v>0</v>
      </c>
    </row>
    <row r="1523" spans="1:13">
      <c r="A1523" s="1">
        <f>HYPERLINK("http://www.twitter.com/NathanBLawrence/status/831304048305373184", "831304048305373184")</f>
        <v/>
      </c>
      <c r="B1523" s="2" t="n">
        <v>42780.03361111111</v>
      </c>
      <c r="C1523" t="n">
        <v>0</v>
      </c>
      <c r="D1523" t="n">
        <v>59</v>
      </c>
      <c r="E1523" t="s">
        <v>1529</v>
      </c>
      <c r="F1523">
        <f>HYPERLINK("http://pbs.twimg.com/media/C4lhsGYXAAAm9hR.jpg", "http://pbs.twimg.com/media/C4lhsGYXAAAm9hR.jpg")</f>
        <v/>
      </c>
      <c r="G1523" t="s"/>
      <c r="H1523" t="s"/>
      <c r="I1523" t="s"/>
      <c r="J1523" t="n">
        <v>0</v>
      </c>
      <c r="K1523" t="n">
        <v>0</v>
      </c>
      <c r="L1523" t="n">
        <v>1</v>
      </c>
      <c r="M1523" t="n">
        <v>0</v>
      </c>
    </row>
    <row r="1524" spans="1:13">
      <c r="A1524" s="1">
        <f>HYPERLINK("http://www.twitter.com/NathanBLawrence/status/831301984712085505", "831301984712085505")</f>
        <v/>
      </c>
      <c r="B1524" s="2" t="n">
        <v>42780.02791666667</v>
      </c>
      <c r="C1524" t="n">
        <v>0</v>
      </c>
      <c r="D1524" t="n">
        <v>7</v>
      </c>
      <c r="E1524" t="s">
        <v>1530</v>
      </c>
      <c r="F1524" t="s"/>
      <c r="G1524" t="s"/>
      <c r="H1524" t="s"/>
      <c r="I1524" t="s"/>
      <c r="J1524" t="n">
        <v>0</v>
      </c>
      <c r="K1524" t="n">
        <v>0</v>
      </c>
      <c r="L1524" t="n">
        <v>1</v>
      </c>
      <c r="M1524" t="n">
        <v>0</v>
      </c>
    </row>
    <row r="1525" spans="1:13">
      <c r="A1525" s="1">
        <f>HYPERLINK("http://www.twitter.com/NathanBLawrence/status/831301611024691200", "831301611024691200")</f>
        <v/>
      </c>
      <c r="B1525" s="2" t="n">
        <v>42780.02688657407</v>
      </c>
      <c r="C1525" t="n">
        <v>0</v>
      </c>
      <c r="D1525" t="n">
        <v>483</v>
      </c>
      <c r="E1525" t="s">
        <v>1531</v>
      </c>
      <c r="F1525">
        <f>HYPERLINK("http://pbs.twimg.com/media/C4lYfIsVUAEfy6N.jpg", "http://pbs.twimg.com/media/C4lYfIsVUAEfy6N.jpg")</f>
        <v/>
      </c>
      <c r="G1525" t="s"/>
      <c r="H1525" t="s"/>
      <c r="I1525" t="s"/>
      <c r="J1525" t="n">
        <v>0</v>
      </c>
      <c r="K1525" t="n">
        <v>0</v>
      </c>
      <c r="L1525" t="n">
        <v>1</v>
      </c>
      <c r="M1525" t="n">
        <v>0</v>
      </c>
    </row>
    <row r="1526" spans="1:13">
      <c r="A1526" s="1">
        <f>HYPERLINK("http://www.twitter.com/NathanBLawrence/status/831300768166731778", "831300768166731778")</f>
        <v/>
      </c>
      <c r="B1526" s="2" t="n">
        <v>42780.02456018519</v>
      </c>
      <c r="C1526" t="n">
        <v>0</v>
      </c>
      <c r="D1526" t="n">
        <v>28</v>
      </c>
      <c r="E1526" t="s">
        <v>1532</v>
      </c>
      <c r="F1526" t="s"/>
      <c r="G1526" t="s"/>
      <c r="H1526" t="s"/>
      <c r="I1526" t="s"/>
      <c r="J1526" t="n">
        <v>0</v>
      </c>
      <c r="K1526" t="n">
        <v>0</v>
      </c>
      <c r="L1526" t="n">
        <v>1</v>
      </c>
      <c r="M1526" t="n">
        <v>0</v>
      </c>
    </row>
    <row r="1527" spans="1:13">
      <c r="A1527" s="1">
        <f>HYPERLINK("http://www.twitter.com/NathanBLawrence/status/831300494945550336", "831300494945550336")</f>
        <v/>
      </c>
      <c r="B1527" s="2" t="n">
        <v>42780.02380787037</v>
      </c>
      <c r="C1527" t="n">
        <v>0</v>
      </c>
      <c r="D1527" t="n">
        <v>65</v>
      </c>
      <c r="E1527" t="s">
        <v>1533</v>
      </c>
      <c r="F1527" t="s"/>
      <c r="G1527" t="s"/>
      <c r="H1527" t="s"/>
      <c r="I1527" t="s"/>
      <c r="J1527" t="n">
        <v>-0.296</v>
      </c>
      <c r="K1527" t="n">
        <v>0.099</v>
      </c>
      <c r="L1527" t="n">
        <v>0.901</v>
      </c>
      <c r="M1527" t="n">
        <v>0</v>
      </c>
    </row>
    <row r="1528" spans="1:13">
      <c r="A1528" s="1">
        <f>HYPERLINK("http://www.twitter.com/NathanBLawrence/status/831300053012733952", "831300053012733952")</f>
        <v/>
      </c>
      <c r="B1528" s="2" t="n">
        <v>42780.02259259259</v>
      </c>
      <c r="C1528" t="n">
        <v>0</v>
      </c>
      <c r="D1528" t="n">
        <v>34</v>
      </c>
      <c r="E1528" t="s">
        <v>1534</v>
      </c>
      <c r="F1528">
        <f>HYPERLINK("http://pbs.twimg.com/media/C4ldHYxW8AAyVW8.jpg", "http://pbs.twimg.com/media/C4ldHYxW8AAyVW8.jpg")</f>
        <v/>
      </c>
      <c r="G1528" t="s"/>
      <c r="H1528" t="s"/>
      <c r="I1528" t="s"/>
      <c r="J1528" t="n">
        <v>0</v>
      </c>
      <c r="K1528" t="n">
        <v>0</v>
      </c>
      <c r="L1528" t="n">
        <v>1</v>
      </c>
      <c r="M1528" t="n">
        <v>0</v>
      </c>
    </row>
    <row r="1529" spans="1:13">
      <c r="A1529" s="1">
        <f>HYPERLINK("http://www.twitter.com/NathanBLawrence/status/831298930331832321", "831298930331832321")</f>
        <v/>
      </c>
      <c r="B1529" s="2" t="n">
        <v>42780.01949074074</v>
      </c>
      <c r="C1529" t="n">
        <v>0</v>
      </c>
      <c r="D1529" t="n">
        <v>32</v>
      </c>
      <c r="E1529" t="s">
        <v>1535</v>
      </c>
      <c r="F1529" t="s"/>
      <c r="G1529" t="s"/>
      <c r="H1529" t="s"/>
      <c r="I1529" t="s"/>
      <c r="J1529" t="n">
        <v>0</v>
      </c>
      <c r="K1529" t="n">
        <v>0</v>
      </c>
      <c r="L1529" t="n">
        <v>1</v>
      </c>
      <c r="M1529" t="n">
        <v>0</v>
      </c>
    </row>
    <row r="1530" spans="1:13">
      <c r="A1530" s="1">
        <f>HYPERLINK("http://www.twitter.com/NathanBLawrence/status/831297251272179712", "831297251272179712")</f>
        <v/>
      </c>
      <c r="B1530" s="2" t="n">
        <v>42780.01486111111</v>
      </c>
      <c r="C1530" t="n">
        <v>0</v>
      </c>
      <c r="D1530" t="n">
        <v>754</v>
      </c>
      <c r="E1530" t="s">
        <v>1536</v>
      </c>
      <c r="F1530">
        <f>HYPERLINK("http://pbs.twimg.com/media/C4Pm0jyWIAABHoB.jpg", "http://pbs.twimg.com/media/C4Pm0jyWIAABHoB.jpg")</f>
        <v/>
      </c>
      <c r="G1530" t="s"/>
      <c r="H1530" t="s"/>
      <c r="I1530" t="s"/>
      <c r="J1530" t="n">
        <v>0</v>
      </c>
      <c r="K1530" t="n">
        <v>0</v>
      </c>
      <c r="L1530" t="n">
        <v>1</v>
      </c>
      <c r="M1530" t="n">
        <v>0</v>
      </c>
    </row>
    <row r="1531" spans="1:13">
      <c r="A1531" s="1">
        <f>HYPERLINK("http://www.twitter.com/NathanBLawrence/status/831296615625396225", "831296615625396225")</f>
        <v/>
      </c>
      <c r="B1531" s="2" t="n">
        <v>42780.01310185185</v>
      </c>
      <c r="C1531" t="n">
        <v>0</v>
      </c>
      <c r="D1531" t="n">
        <v>106</v>
      </c>
      <c r="E1531" t="s">
        <v>1537</v>
      </c>
      <c r="F1531">
        <f>HYPERLINK("http://pbs.twimg.com/media/C4ladwLVUAAZD3k.jpg", "http://pbs.twimg.com/media/C4ladwLVUAAZD3k.jpg")</f>
        <v/>
      </c>
      <c r="G1531" t="s"/>
      <c r="H1531" t="s"/>
      <c r="I1531" t="s"/>
      <c r="J1531" t="n">
        <v>0</v>
      </c>
      <c r="K1531" t="n">
        <v>0</v>
      </c>
      <c r="L1531" t="n">
        <v>1</v>
      </c>
      <c r="M1531" t="n">
        <v>0</v>
      </c>
    </row>
    <row r="1532" spans="1:13">
      <c r="A1532" s="1">
        <f>HYPERLINK("http://www.twitter.com/NathanBLawrence/status/831295724600061953", "831295724600061953")</f>
        <v/>
      </c>
      <c r="B1532" s="2" t="n">
        <v>42780.01064814815</v>
      </c>
      <c r="C1532" t="n">
        <v>0</v>
      </c>
      <c r="D1532" t="n">
        <v>53</v>
      </c>
      <c r="E1532" t="s">
        <v>1538</v>
      </c>
      <c r="F1532">
        <f>HYPERLINK("http://pbs.twimg.com/media/C4jDab6UEAEllal.jpg", "http://pbs.twimg.com/media/C4jDab6UEAEllal.jpg")</f>
        <v/>
      </c>
      <c r="G1532" t="s"/>
      <c r="H1532" t="s"/>
      <c r="I1532" t="s"/>
      <c r="J1532" t="n">
        <v>0</v>
      </c>
      <c r="K1532" t="n">
        <v>0</v>
      </c>
      <c r="L1532" t="n">
        <v>1</v>
      </c>
      <c r="M1532" t="n">
        <v>0</v>
      </c>
    </row>
    <row r="1533" spans="1:13">
      <c r="A1533" s="1">
        <f>HYPERLINK("http://www.twitter.com/NathanBLawrence/status/831295375122300928", "831295375122300928")</f>
        <v/>
      </c>
      <c r="B1533" s="2" t="n">
        <v>42780.00967592592</v>
      </c>
      <c r="C1533" t="n">
        <v>0</v>
      </c>
      <c r="D1533" t="n">
        <v>1173</v>
      </c>
      <c r="E1533" t="s">
        <v>1539</v>
      </c>
      <c r="F1533">
        <f>HYPERLINK("http://pbs.twimg.com/media/C4lT_ksWAAIUO42.jpg", "http://pbs.twimg.com/media/C4lT_ksWAAIUO42.jpg")</f>
        <v/>
      </c>
      <c r="G1533" t="s"/>
      <c r="H1533" t="s"/>
      <c r="I1533" t="s"/>
      <c r="J1533" t="n">
        <v>0</v>
      </c>
      <c r="K1533" t="n">
        <v>0</v>
      </c>
      <c r="L1533" t="n">
        <v>1</v>
      </c>
      <c r="M1533" t="n">
        <v>0</v>
      </c>
    </row>
    <row r="1534" spans="1:13">
      <c r="A1534" s="1">
        <f>HYPERLINK("http://www.twitter.com/NathanBLawrence/status/831210007970582529", "831210007970582529")</f>
        <v/>
      </c>
      <c r="B1534" s="2" t="n">
        <v>42779.77410879629</v>
      </c>
      <c r="C1534" t="n">
        <v>0</v>
      </c>
      <c r="D1534" t="n">
        <v>134</v>
      </c>
      <c r="E1534" t="s">
        <v>1540</v>
      </c>
      <c r="F1534" t="s"/>
      <c r="G1534" t="s"/>
      <c r="H1534" t="s"/>
      <c r="I1534" t="s"/>
      <c r="J1534" t="n">
        <v>0.6908</v>
      </c>
      <c r="K1534" t="n">
        <v>0</v>
      </c>
      <c r="L1534" t="n">
        <v>0.759</v>
      </c>
      <c r="M1534" t="n">
        <v>0.241</v>
      </c>
    </row>
    <row r="1535" spans="1:13">
      <c r="A1535" s="1">
        <f>HYPERLINK("http://www.twitter.com/NathanBLawrence/status/830893847672680452", "830893847672680452")</f>
        <v/>
      </c>
      <c r="B1535" s="2" t="n">
        <v>42778.90167824074</v>
      </c>
      <c r="C1535" t="n">
        <v>0</v>
      </c>
      <c r="D1535" t="n">
        <v>0</v>
      </c>
      <c r="E1535" t="s">
        <v>1541</v>
      </c>
      <c r="F1535" t="s"/>
      <c r="G1535" t="s"/>
      <c r="H1535" t="s"/>
      <c r="I1535" t="s"/>
      <c r="J1535" t="n">
        <v>0</v>
      </c>
      <c r="K1535" t="n">
        <v>0</v>
      </c>
      <c r="L1535" t="n">
        <v>1</v>
      </c>
      <c r="M1535" t="n">
        <v>0</v>
      </c>
    </row>
    <row r="1536" spans="1:13">
      <c r="A1536" s="1">
        <f>HYPERLINK("http://www.twitter.com/NathanBLawrence/status/830890291859222528", "830890291859222528")</f>
        <v/>
      </c>
      <c r="B1536" s="2" t="n">
        <v>42778.89186342592</v>
      </c>
      <c r="C1536" t="n">
        <v>0</v>
      </c>
      <c r="D1536" t="n">
        <v>0</v>
      </c>
      <c r="E1536" t="s">
        <v>1542</v>
      </c>
      <c r="F1536" t="s"/>
      <c r="G1536" t="s"/>
      <c r="H1536" t="s"/>
      <c r="I1536" t="s"/>
      <c r="J1536" t="n">
        <v>0</v>
      </c>
      <c r="K1536" t="n">
        <v>0</v>
      </c>
      <c r="L1536" t="n">
        <v>1</v>
      </c>
      <c r="M1536" t="n">
        <v>0</v>
      </c>
    </row>
    <row r="1537" spans="1:13">
      <c r="A1537" s="1">
        <f>HYPERLINK("http://www.twitter.com/NathanBLawrence/status/830885118969577477", "830885118969577477")</f>
        <v/>
      </c>
      <c r="B1537" s="2" t="n">
        <v>42778.87759259259</v>
      </c>
      <c r="C1537" t="n">
        <v>0</v>
      </c>
      <c r="D1537" t="n">
        <v>223</v>
      </c>
      <c r="E1537" t="s">
        <v>1543</v>
      </c>
      <c r="F1537" t="s"/>
      <c r="G1537" t="s"/>
      <c r="H1537" t="s"/>
      <c r="I1537" t="s"/>
      <c r="J1537" t="n">
        <v>0</v>
      </c>
      <c r="K1537" t="n">
        <v>0</v>
      </c>
      <c r="L1537" t="n">
        <v>1</v>
      </c>
      <c r="M1537" t="n">
        <v>0</v>
      </c>
    </row>
    <row r="1538" spans="1:13">
      <c r="A1538" s="1">
        <f>HYPERLINK("http://www.twitter.com/NathanBLawrence/status/830879927717199873", "830879927717199873")</f>
        <v/>
      </c>
      <c r="B1538" s="2" t="n">
        <v>42778.86326388889</v>
      </c>
      <c r="C1538" t="n">
        <v>0</v>
      </c>
      <c r="D1538" t="n">
        <v>0</v>
      </c>
      <c r="E1538" t="s">
        <v>1544</v>
      </c>
      <c r="F1538" t="s"/>
      <c r="G1538" t="s"/>
      <c r="H1538" t="s"/>
      <c r="I1538" t="s"/>
      <c r="J1538" t="n">
        <v>0.8622</v>
      </c>
      <c r="K1538" t="n">
        <v>0</v>
      </c>
      <c r="L1538" t="n">
        <v>0.482</v>
      </c>
      <c r="M1538" t="n">
        <v>0.518</v>
      </c>
    </row>
    <row r="1539" spans="1:13">
      <c r="A1539" s="1">
        <f>HYPERLINK("http://www.twitter.com/NathanBLawrence/status/830762914982264832", "830762914982264832")</f>
        <v/>
      </c>
      <c r="B1539" s="2" t="n">
        <v>42778.54037037037</v>
      </c>
      <c r="C1539" t="n">
        <v>0</v>
      </c>
      <c r="D1539" t="n">
        <v>125</v>
      </c>
      <c r="E1539" t="s">
        <v>1545</v>
      </c>
      <c r="F1539">
        <f>HYPERLINK("http://pbs.twimg.com/media/C4P05DhWQAAKr56.jpg", "http://pbs.twimg.com/media/C4P05DhWQAAKr56.jpg")</f>
        <v/>
      </c>
      <c r="G1539" t="s"/>
      <c r="H1539" t="s"/>
      <c r="I1539" t="s"/>
      <c r="J1539" t="n">
        <v>0.7717000000000001</v>
      </c>
      <c r="K1539" t="n">
        <v>0</v>
      </c>
      <c r="L1539" t="n">
        <v>0.6909999999999999</v>
      </c>
      <c r="M1539" t="n">
        <v>0.309</v>
      </c>
    </row>
    <row r="1540" spans="1:13">
      <c r="A1540" s="1">
        <f>HYPERLINK("http://www.twitter.com/NathanBLawrence/status/830500542258544644", "830500542258544644")</f>
        <v/>
      </c>
      <c r="B1540" s="2" t="n">
        <v>42777.81635416667</v>
      </c>
      <c r="C1540" t="n">
        <v>5</v>
      </c>
      <c r="D1540" t="n">
        <v>0</v>
      </c>
      <c r="E1540" t="s">
        <v>1546</v>
      </c>
      <c r="F1540" t="s"/>
      <c r="G1540" t="s"/>
      <c r="H1540" t="s"/>
      <c r="I1540" t="s"/>
      <c r="J1540" t="n">
        <v>-0.0572</v>
      </c>
      <c r="K1540" t="n">
        <v>0.064</v>
      </c>
      <c r="L1540" t="n">
        <v>0.9360000000000001</v>
      </c>
      <c r="M1540" t="n">
        <v>0</v>
      </c>
    </row>
    <row r="1541" spans="1:13">
      <c r="A1541" s="1">
        <f>HYPERLINK("http://www.twitter.com/NathanBLawrence/status/830457742129299456", "830457742129299456")</f>
        <v/>
      </c>
      <c r="B1541" s="2" t="n">
        <v>42777.69825231482</v>
      </c>
      <c r="C1541" t="n">
        <v>0</v>
      </c>
      <c r="D1541" t="n">
        <v>4163</v>
      </c>
      <c r="E1541" t="s">
        <v>1547</v>
      </c>
      <c r="F1541" t="s"/>
      <c r="G1541" t="s"/>
      <c r="H1541" t="s"/>
      <c r="I1541" t="s"/>
      <c r="J1541" t="n">
        <v>0.5984</v>
      </c>
      <c r="K1541" t="n">
        <v>0.081</v>
      </c>
      <c r="L1541" t="n">
        <v>0.696</v>
      </c>
      <c r="M1541" t="n">
        <v>0.223</v>
      </c>
    </row>
    <row r="1542" spans="1:13">
      <c r="A1542" s="1">
        <f>HYPERLINK("http://www.twitter.com/NathanBLawrence/status/830440026785853443", "830440026785853443")</f>
        <v/>
      </c>
      <c r="B1542" s="2" t="n">
        <v>42777.64936342592</v>
      </c>
      <c r="C1542" t="n">
        <v>0</v>
      </c>
      <c r="D1542" t="n">
        <v>44</v>
      </c>
      <c r="E1542" t="s">
        <v>1548</v>
      </c>
      <c r="F1542">
        <f>HYPERLINK("http://pbs.twimg.com/media/C4POC7AUkAAT2y-.jpg", "http://pbs.twimg.com/media/C4POC7AUkAAT2y-.jpg")</f>
        <v/>
      </c>
      <c r="G1542" t="s"/>
      <c r="H1542" t="s"/>
      <c r="I1542" t="s"/>
      <c r="J1542" t="n">
        <v>0</v>
      </c>
      <c r="K1542" t="n">
        <v>0</v>
      </c>
      <c r="L1542" t="n">
        <v>1</v>
      </c>
      <c r="M1542" t="n">
        <v>0</v>
      </c>
    </row>
    <row r="1543" spans="1:13">
      <c r="A1543" s="1">
        <f>HYPERLINK("http://www.twitter.com/NathanBLawrence/status/830243509215051778", "830243509215051778")</f>
        <v/>
      </c>
      <c r="B1543" s="2" t="n">
        <v>42777.10708333334</v>
      </c>
      <c r="C1543" t="n">
        <v>0</v>
      </c>
      <c r="D1543" t="n">
        <v>171</v>
      </c>
      <c r="E1543" t="s">
        <v>1549</v>
      </c>
      <c r="F1543">
        <f>HYPERLINK("http://pbs.twimg.com/media/C4WGVp5VYAErBaE.jpg", "http://pbs.twimg.com/media/C4WGVp5VYAErBaE.jpg")</f>
        <v/>
      </c>
      <c r="G1543" t="s"/>
      <c r="H1543" t="s"/>
      <c r="I1543" t="s"/>
      <c r="J1543" t="n">
        <v>0.4404</v>
      </c>
      <c r="K1543" t="n">
        <v>0</v>
      </c>
      <c r="L1543" t="n">
        <v>0.8179999999999999</v>
      </c>
      <c r="M1543" t="n">
        <v>0.182</v>
      </c>
    </row>
    <row r="1544" spans="1:13">
      <c r="A1544" s="1">
        <f>HYPERLINK("http://www.twitter.com/NathanBLawrence/status/830138749803696128", "830138749803696128")</f>
        <v/>
      </c>
      <c r="B1544" s="2" t="n">
        <v>42776.81799768518</v>
      </c>
      <c r="C1544" t="n">
        <v>0</v>
      </c>
      <c r="D1544" t="n">
        <v>0</v>
      </c>
      <c r="E1544" t="s">
        <v>1550</v>
      </c>
      <c r="F1544" t="s"/>
      <c r="G1544" t="s"/>
      <c r="H1544" t="s"/>
      <c r="I1544" t="s"/>
      <c r="J1544" t="n">
        <v>0.4678</v>
      </c>
      <c r="K1544" t="n">
        <v>0.141</v>
      </c>
      <c r="L1544" t="n">
        <v>0.644</v>
      </c>
      <c r="M1544" t="n">
        <v>0.215</v>
      </c>
    </row>
    <row r="1545" spans="1:13">
      <c r="A1545" s="1">
        <f>HYPERLINK("http://www.twitter.com/NathanBLawrence/status/830115340147376133", "830115340147376133")</f>
        <v/>
      </c>
      <c r="B1545" s="2" t="n">
        <v>42776.75340277778</v>
      </c>
      <c r="C1545" t="n">
        <v>0</v>
      </c>
      <c r="D1545" t="n">
        <v>5850</v>
      </c>
      <c r="E1545" t="s">
        <v>1551</v>
      </c>
      <c r="F1545" t="s"/>
      <c r="G1545" t="s"/>
      <c r="H1545" t="s"/>
      <c r="I1545" t="s"/>
      <c r="J1545" t="n">
        <v>0</v>
      </c>
      <c r="K1545" t="n">
        <v>0</v>
      </c>
      <c r="L1545" t="n">
        <v>1</v>
      </c>
      <c r="M1545" t="n">
        <v>0</v>
      </c>
    </row>
    <row r="1546" spans="1:13">
      <c r="A1546" s="1">
        <f>HYPERLINK("http://www.twitter.com/NathanBLawrence/status/830112925352394753", "830112925352394753")</f>
        <v/>
      </c>
      <c r="B1546" s="2" t="n">
        <v>42776.74673611111</v>
      </c>
      <c r="C1546" t="n">
        <v>0</v>
      </c>
      <c r="D1546" t="n">
        <v>0</v>
      </c>
      <c r="E1546" t="s">
        <v>1552</v>
      </c>
      <c r="F1546" t="s"/>
      <c r="G1546" t="s"/>
      <c r="H1546" t="s"/>
      <c r="I1546" t="s"/>
      <c r="J1546" t="n">
        <v>0.2714</v>
      </c>
      <c r="K1546" t="n">
        <v>0.159</v>
      </c>
      <c r="L1546" t="n">
        <v>0.628</v>
      </c>
      <c r="M1546" t="n">
        <v>0.212</v>
      </c>
    </row>
    <row r="1547" spans="1:13">
      <c r="A1547" s="1">
        <f>HYPERLINK("http://www.twitter.com/NathanBLawrence/status/830091793710665730", "830091793710665730")</f>
        <v/>
      </c>
      <c r="B1547" s="2" t="n">
        <v>42776.68842592592</v>
      </c>
      <c r="C1547" t="n">
        <v>0</v>
      </c>
      <c r="D1547" t="n">
        <v>4907</v>
      </c>
      <c r="E1547" t="s">
        <v>1553</v>
      </c>
      <c r="F1547">
        <f>HYPERLINK("http://pbs.twimg.com/media/C4QAvtzWIAkKSbp.jpg", "http://pbs.twimg.com/media/C4QAvtzWIAkKSbp.jpg")</f>
        <v/>
      </c>
      <c r="G1547" t="s"/>
      <c r="H1547" t="s"/>
      <c r="I1547" t="s"/>
      <c r="J1547" t="n">
        <v>-0.5255</v>
      </c>
      <c r="K1547" t="n">
        <v>0.151</v>
      </c>
      <c r="L1547" t="n">
        <v>0.849</v>
      </c>
      <c r="M1547" t="n">
        <v>0</v>
      </c>
    </row>
    <row r="1548" spans="1:13">
      <c r="A1548" s="1">
        <f>HYPERLINK("http://www.twitter.com/NathanBLawrence/status/829878302068318208", "829878302068318208")</f>
        <v/>
      </c>
      <c r="B1548" s="2" t="n">
        <v>42776.09930555556</v>
      </c>
      <c r="C1548" t="n">
        <v>0</v>
      </c>
      <c r="D1548" t="n">
        <v>1459</v>
      </c>
      <c r="E1548" t="s">
        <v>1554</v>
      </c>
      <c r="F1548" t="s"/>
      <c r="G1548" t="s"/>
      <c r="H1548" t="s"/>
      <c r="I1548" t="s"/>
      <c r="J1548" t="n">
        <v>0.1027</v>
      </c>
      <c r="K1548" t="n">
        <v>0.154</v>
      </c>
      <c r="L1548" t="n">
        <v>0.639</v>
      </c>
      <c r="M1548" t="n">
        <v>0.207</v>
      </c>
    </row>
    <row r="1549" spans="1:13">
      <c r="A1549" s="1">
        <f>HYPERLINK("http://www.twitter.com/NathanBLawrence/status/829837174447173633", "829837174447173633")</f>
        <v/>
      </c>
      <c r="B1549" s="2" t="n">
        <v>42775.98581018519</v>
      </c>
      <c r="C1549" t="n">
        <v>0</v>
      </c>
      <c r="D1549" t="n">
        <v>63631</v>
      </c>
      <c r="E1549" t="s">
        <v>1555</v>
      </c>
      <c r="F1549" t="s"/>
      <c r="G1549" t="s"/>
      <c r="H1549" t="s"/>
      <c r="I1549" t="s"/>
      <c r="J1549" t="n">
        <v>0.5306999999999999</v>
      </c>
      <c r="K1549" t="n">
        <v>0</v>
      </c>
      <c r="L1549" t="n">
        <v>0.791</v>
      </c>
      <c r="M1549" t="n">
        <v>0.209</v>
      </c>
    </row>
    <row r="1550" spans="1:13">
      <c r="A1550" s="1">
        <f>HYPERLINK("http://www.twitter.com/NathanBLawrence/status/829525802756759554", "829525802756759554")</f>
        <v/>
      </c>
      <c r="B1550" s="2" t="n">
        <v>42775.12658564815</v>
      </c>
      <c r="C1550" t="n">
        <v>0</v>
      </c>
      <c r="D1550" t="n">
        <v>1611</v>
      </c>
      <c r="E1550" t="s">
        <v>1556</v>
      </c>
      <c r="F1550" t="s"/>
      <c r="G1550" t="s"/>
      <c r="H1550" t="s"/>
      <c r="I1550" t="s"/>
      <c r="J1550" t="n">
        <v>0.4926</v>
      </c>
      <c r="K1550" t="n">
        <v>0</v>
      </c>
      <c r="L1550" t="n">
        <v>0.842</v>
      </c>
      <c r="M1550" t="n">
        <v>0.158</v>
      </c>
    </row>
    <row r="1551" spans="1:13">
      <c r="A1551" s="1">
        <f>HYPERLINK("http://www.twitter.com/NathanBLawrence/status/829063542984888320", "829063542984888320")</f>
        <v/>
      </c>
      <c r="B1551" s="2" t="n">
        <v>42773.85099537037</v>
      </c>
      <c r="C1551" t="n">
        <v>0</v>
      </c>
      <c r="D1551" t="n">
        <v>0</v>
      </c>
      <c r="E1551" t="s">
        <v>1557</v>
      </c>
      <c r="F1551" t="s"/>
      <c r="G1551" t="s"/>
      <c r="H1551" t="s"/>
      <c r="I1551" t="s"/>
      <c r="J1551" t="n">
        <v>0.1531</v>
      </c>
      <c r="K1551" t="n">
        <v>0.167</v>
      </c>
      <c r="L1551" t="n">
        <v>0.602</v>
      </c>
      <c r="M1551" t="n">
        <v>0.231</v>
      </c>
    </row>
    <row r="1552" spans="1:13">
      <c r="A1552" s="1">
        <f>HYPERLINK("http://www.twitter.com/NathanBLawrence/status/829042751807295488", "829042751807295488")</f>
        <v/>
      </c>
      <c r="B1552" s="2" t="n">
        <v>42773.79362268518</v>
      </c>
      <c r="C1552" t="n">
        <v>0</v>
      </c>
      <c r="D1552" t="n">
        <v>0</v>
      </c>
      <c r="E1552" t="s">
        <v>1558</v>
      </c>
      <c r="F1552" t="s"/>
      <c r="G1552" t="s"/>
      <c r="H1552" t="s"/>
      <c r="I1552" t="s"/>
      <c r="J1552" t="n">
        <v>0.4199</v>
      </c>
      <c r="K1552" t="n">
        <v>0</v>
      </c>
      <c r="L1552" t="n">
        <v>0.763</v>
      </c>
      <c r="M1552" t="n">
        <v>0.237</v>
      </c>
    </row>
    <row r="1553" spans="1:13">
      <c r="A1553" s="1">
        <f>HYPERLINK("http://www.twitter.com/NathanBLawrence/status/828993137007874050", "828993137007874050")</f>
        <v/>
      </c>
      <c r="B1553" s="2" t="n">
        <v>42773.65671296296</v>
      </c>
      <c r="C1553" t="n">
        <v>0</v>
      </c>
      <c r="D1553" t="n">
        <v>1532</v>
      </c>
      <c r="E1553" t="s">
        <v>1559</v>
      </c>
      <c r="F1553">
        <f>HYPERLINK("http://pbs.twimg.com/media/C4CJmIMVYAExDS8.jpg", "http://pbs.twimg.com/media/C4CJmIMVYAExDS8.jpg")</f>
        <v/>
      </c>
      <c r="G1553" t="s"/>
      <c r="H1553" t="s"/>
      <c r="I1553" t="s"/>
      <c r="J1553" t="n">
        <v>-0.7506</v>
      </c>
      <c r="K1553" t="n">
        <v>0.33</v>
      </c>
      <c r="L1553" t="n">
        <v>0.67</v>
      </c>
      <c r="M1553" t="n">
        <v>0</v>
      </c>
    </row>
    <row r="1554" spans="1:13">
      <c r="A1554" s="1">
        <f>HYPERLINK("http://www.twitter.com/NathanBLawrence/status/828992376232374276", "828992376232374276")</f>
        <v/>
      </c>
      <c r="B1554" s="2" t="n">
        <v>42773.65461805555</v>
      </c>
      <c r="C1554" t="n">
        <v>0</v>
      </c>
      <c r="D1554" t="n">
        <v>81</v>
      </c>
      <c r="E1554" t="s">
        <v>1560</v>
      </c>
      <c r="F1554" t="s"/>
      <c r="G1554" t="s"/>
      <c r="H1554" t="s"/>
      <c r="I1554" t="s"/>
      <c r="J1554" t="n">
        <v>0</v>
      </c>
      <c r="K1554" t="n">
        <v>0</v>
      </c>
      <c r="L1554" t="n">
        <v>1</v>
      </c>
      <c r="M1554" t="n">
        <v>0</v>
      </c>
    </row>
    <row r="1555" spans="1:13">
      <c r="A1555" s="1">
        <f>HYPERLINK("http://www.twitter.com/NathanBLawrence/status/828986378868359168", "828986378868359168")</f>
        <v/>
      </c>
      <c r="B1555" s="2" t="n">
        <v>42773.63806712963</v>
      </c>
      <c r="C1555" t="n">
        <v>0</v>
      </c>
      <c r="D1555" t="n">
        <v>1217</v>
      </c>
      <c r="E1555" t="s">
        <v>1561</v>
      </c>
      <c r="F1555" t="s"/>
      <c r="G1555" t="s"/>
      <c r="H1555" t="s"/>
      <c r="I1555" t="s"/>
      <c r="J1555" t="n">
        <v>0.7351</v>
      </c>
      <c r="K1555" t="n">
        <v>0</v>
      </c>
      <c r="L1555" t="n">
        <v>0.754</v>
      </c>
      <c r="M1555" t="n">
        <v>0.246</v>
      </c>
    </row>
    <row r="1556" spans="1:13">
      <c r="A1556" s="1">
        <f>HYPERLINK("http://www.twitter.com/NathanBLawrence/status/828983805113466884", "828983805113466884")</f>
        <v/>
      </c>
      <c r="B1556" s="2" t="n">
        <v>42773.63096064814</v>
      </c>
      <c r="C1556" t="n">
        <v>0</v>
      </c>
      <c r="D1556" t="n">
        <v>469</v>
      </c>
      <c r="E1556" t="s">
        <v>1562</v>
      </c>
      <c r="F1556" t="s"/>
      <c r="G1556" t="s"/>
      <c r="H1556" t="s"/>
      <c r="I1556" t="s"/>
      <c r="J1556" t="n">
        <v>-0.2023</v>
      </c>
      <c r="K1556" t="n">
        <v>0.114</v>
      </c>
      <c r="L1556" t="n">
        <v>0.886</v>
      </c>
      <c r="M1556" t="n">
        <v>0</v>
      </c>
    </row>
    <row r="1557" spans="1:13">
      <c r="A1557" s="1">
        <f>HYPERLINK("http://www.twitter.com/NathanBLawrence/status/828688967742668803", "828688967742668803")</f>
        <v/>
      </c>
      <c r="B1557" s="2" t="n">
        <v>42772.81736111111</v>
      </c>
      <c r="C1557" t="n">
        <v>0</v>
      </c>
      <c r="D1557" t="n">
        <v>602</v>
      </c>
      <c r="E1557" t="s">
        <v>1563</v>
      </c>
      <c r="F1557">
        <f>HYPERLINK("http://pbs.twimg.com/media/C3_16XyWQAESF0E.jpg", "http://pbs.twimg.com/media/C3_16XyWQAESF0E.jpg")</f>
        <v/>
      </c>
      <c r="G1557" t="s"/>
      <c r="H1557" t="s"/>
      <c r="I1557" t="s"/>
      <c r="J1557" t="n">
        <v>-0.5719</v>
      </c>
      <c r="K1557" t="n">
        <v>0.255</v>
      </c>
      <c r="L1557" t="n">
        <v>0.627</v>
      </c>
      <c r="M1557" t="n">
        <v>0.118</v>
      </c>
    </row>
    <row r="1558" spans="1:13">
      <c r="A1558" s="1">
        <f>HYPERLINK("http://www.twitter.com/NathanBLawrence/status/828672078253608962", "828672078253608962")</f>
        <v/>
      </c>
      <c r="B1558" s="2" t="n">
        <v>42772.77076388889</v>
      </c>
      <c r="C1558" t="n">
        <v>0</v>
      </c>
      <c r="D1558" t="n">
        <v>954</v>
      </c>
      <c r="E1558" t="s">
        <v>1564</v>
      </c>
      <c r="F1558">
        <f>HYPERLINK("http://pbs.twimg.com/media/C3_-sVkVcAko6Jt.jpg", "http://pbs.twimg.com/media/C3_-sVkVcAko6Jt.jpg")</f>
        <v/>
      </c>
      <c r="G1558" t="s"/>
      <c r="H1558" t="s"/>
      <c r="I1558" t="s"/>
      <c r="J1558" t="n">
        <v>0</v>
      </c>
      <c r="K1558" t="n">
        <v>0</v>
      </c>
      <c r="L1558" t="n">
        <v>1</v>
      </c>
      <c r="M1558" t="n">
        <v>0</v>
      </c>
    </row>
    <row r="1559" spans="1:13">
      <c r="A1559" s="1">
        <f>HYPERLINK("http://www.twitter.com/NathanBLawrence/status/828649609979424771", "828649609979424771")</f>
        <v/>
      </c>
      <c r="B1559" s="2" t="n">
        <v>42772.70876157407</v>
      </c>
      <c r="C1559" t="n">
        <v>0</v>
      </c>
      <c r="D1559" t="n">
        <v>0</v>
      </c>
      <c r="E1559" t="s">
        <v>1565</v>
      </c>
      <c r="F1559" t="s"/>
      <c r="G1559" t="s"/>
      <c r="H1559" t="s"/>
      <c r="I1559" t="s"/>
      <c r="J1559" t="n">
        <v>0.6249</v>
      </c>
      <c r="K1559" t="n">
        <v>0</v>
      </c>
      <c r="L1559" t="n">
        <v>0.773</v>
      </c>
      <c r="M1559" t="n">
        <v>0.227</v>
      </c>
    </row>
    <row r="1560" spans="1:13">
      <c r="A1560" s="1">
        <f>HYPERLINK("http://www.twitter.com/NathanBLawrence/status/828648698599071744", "828648698599071744")</f>
        <v/>
      </c>
      <c r="B1560" s="2" t="n">
        <v>42772.70623842593</v>
      </c>
      <c r="C1560" t="n">
        <v>0</v>
      </c>
      <c r="D1560" t="n">
        <v>39</v>
      </c>
      <c r="E1560" t="s">
        <v>1566</v>
      </c>
      <c r="F1560" t="s"/>
      <c r="G1560" t="s"/>
      <c r="H1560" t="s"/>
      <c r="I1560" t="s"/>
      <c r="J1560" t="n">
        <v>-0.8225</v>
      </c>
      <c r="K1560" t="n">
        <v>0.364</v>
      </c>
      <c r="L1560" t="n">
        <v>0.636</v>
      </c>
      <c r="M1560" t="n">
        <v>0</v>
      </c>
    </row>
    <row r="1561" spans="1:13">
      <c r="A1561" s="1">
        <f>HYPERLINK("http://www.twitter.com/NathanBLawrence/status/828437080950845440", "828437080950845440")</f>
        <v/>
      </c>
      <c r="B1561" s="2" t="n">
        <v>42772.12229166667</v>
      </c>
      <c r="C1561" t="n">
        <v>0</v>
      </c>
      <c r="D1561" t="n">
        <v>248</v>
      </c>
      <c r="E1561" t="s">
        <v>1567</v>
      </c>
      <c r="F1561" t="s"/>
      <c r="G1561" t="s"/>
      <c r="H1561" t="s"/>
      <c r="I1561" t="s"/>
      <c r="J1561" t="n">
        <v>-0.4451</v>
      </c>
      <c r="K1561" t="n">
        <v>0.21</v>
      </c>
      <c r="L1561" t="n">
        <v>0.71</v>
      </c>
      <c r="M1561" t="n">
        <v>0.08</v>
      </c>
    </row>
    <row r="1562" spans="1:13">
      <c r="A1562" s="1">
        <f>HYPERLINK("http://www.twitter.com/NathanBLawrence/status/828416872626393089", "828416872626393089")</f>
        <v/>
      </c>
      <c r="B1562" s="2" t="n">
        <v>42772.06652777778</v>
      </c>
      <c r="C1562" t="n">
        <v>0</v>
      </c>
      <c r="D1562" t="n">
        <v>3610</v>
      </c>
      <c r="E1562" t="s">
        <v>1568</v>
      </c>
      <c r="F1562">
        <f>HYPERLINK("http://pbs.twimg.com/media/C38bT0hWMAAI-Lj.jpg", "http://pbs.twimg.com/media/C38bT0hWMAAI-Lj.jpg")</f>
        <v/>
      </c>
      <c r="G1562" t="s"/>
      <c r="H1562" t="s"/>
      <c r="I1562" t="s"/>
      <c r="J1562" t="n">
        <v>0.3612</v>
      </c>
      <c r="K1562" t="n">
        <v>0</v>
      </c>
      <c r="L1562" t="n">
        <v>0.848</v>
      </c>
      <c r="M1562" t="n">
        <v>0.152</v>
      </c>
    </row>
    <row r="1563" spans="1:13">
      <c r="A1563" s="1">
        <f>HYPERLINK("http://www.twitter.com/NathanBLawrence/status/828302771581513729", "828302771581513729")</f>
        <v/>
      </c>
      <c r="B1563" s="2" t="n">
        <v>42771.75166666666</v>
      </c>
      <c r="C1563" t="n">
        <v>2</v>
      </c>
      <c r="D1563" t="n">
        <v>0</v>
      </c>
      <c r="E1563" t="s">
        <v>1569</v>
      </c>
      <c r="F1563" t="s"/>
      <c r="G1563" t="s"/>
      <c r="H1563" t="s"/>
      <c r="I1563" t="s"/>
      <c r="J1563" t="n">
        <v>0</v>
      </c>
      <c r="K1563" t="n">
        <v>0</v>
      </c>
      <c r="L1563" t="n">
        <v>1</v>
      </c>
      <c r="M1563" t="n">
        <v>0</v>
      </c>
    </row>
    <row r="1564" spans="1:13">
      <c r="A1564" s="1">
        <f>HYPERLINK("http://www.twitter.com/NathanBLawrence/status/828298588996435969", "828298588996435969")</f>
        <v/>
      </c>
      <c r="B1564" s="2" t="n">
        <v>42771.74012731481</v>
      </c>
      <c r="C1564" t="n">
        <v>1</v>
      </c>
      <c r="D1564" t="n">
        <v>0</v>
      </c>
      <c r="E1564" t="s">
        <v>1570</v>
      </c>
      <c r="F1564" t="s"/>
      <c r="G1564" t="s"/>
      <c r="H1564" t="s"/>
      <c r="I1564" t="s"/>
      <c r="J1564" t="n">
        <v>-0.6688</v>
      </c>
      <c r="K1564" t="n">
        <v>0.407</v>
      </c>
      <c r="L1564" t="n">
        <v>0.593</v>
      </c>
      <c r="M1564" t="n">
        <v>0</v>
      </c>
    </row>
    <row r="1565" spans="1:13">
      <c r="A1565" s="1">
        <f>HYPERLINK("http://www.twitter.com/NathanBLawrence/status/828297095895535617", "828297095895535617")</f>
        <v/>
      </c>
      <c r="B1565" s="2" t="n">
        <v>42771.73600694445</v>
      </c>
      <c r="C1565" t="n">
        <v>1</v>
      </c>
      <c r="D1565" t="n">
        <v>0</v>
      </c>
      <c r="E1565" t="s">
        <v>1571</v>
      </c>
      <c r="F1565" t="s"/>
      <c r="G1565" t="s"/>
      <c r="H1565" t="s"/>
      <c r="I1565" t="s"/>
      <c r="J1565" t="n">
        <v>0.6996</v>
      </c>
      <c r="K1565" t="n">
        <v>0</v>
      </c>
      <c r="L1565" t="n">
        <v>0.6919999999999999</v>
      </c>
      <c r="M1565" t="n">
        <v>0.308</v>
      </c>
    </row>
    <row r="1566" spans="1:13">
      <c r="A1566" s="1">
        <f>HYPERLINK("http://www.twitter.com/NathanBLawrence/status/828285783815647233", "828285783815647233")</f>
        <v/>
      </c>
      <c r="B1566" s="2" t="n">
        <v>42771.70479166666</v>
      </c>
      <c r="C1566" t="n">
        <v>1</v>
      </c>
      <c r="D1566" t="n">
        <v>0</v>
      </c>
      <c r="E1566" t="s">
        <v>1572</v>
      </c>
      <c r="F1566" t="s"/>
      <c r="G1566" t="s"/>
      <c r="H1566" t="s"/>
      <c r="I1566" t="s"/>
      <c r="J1566" t="n">
        <v>0.4753</v>
      </c>
      <c r="K1566" t="n">
        <v>0</v>
      </c>
      <c r="L1566" t="n">
        <v>0.721</v>
      </c>
      <c r="M1566" t="n">
        <v>0.279</v>
      </c>
    </row>
    <row r="1567" spans="1:13">
      <c r="A1567" s="1">
        <f>HYPERLINK("http://www.twitter.com/NathanBLawrence/status/828285672767254529", "828285672767254529")</f>
        <v/>
      </c>
      <c r="B1567" s="2" t="n">
        <v>42771.70447916666</v>
      </c>
      <c r="C1567" t="n">
        <v>0</v>
      </c>
      <c r="D1567" t="n">
        <v>0</v>
      </c>
      <c r="E1567" t="s">
        <v>1573</v>
      </c>
      <c r="F1567" t="s"/>
      <c r="G1567" t="s"/>
      <c r="H1567" t="s"/>
      <c r="I1567" t="s"/>
      <c r="J1567" t="n">
        <v>0.4753</v>
      </c>
      <c r="K1567" t="n">
        <v>0</v>
      </c>
      <c r="L1567" t="n">
        <v>0.66</v>
      </c>
      <c r="M1567" t="n">
        <v>0.34</v>
      </c>
    </row>
    <row r="1568" spans="1:13">
      <c r="A1568" s="1">
        <f>HYPERLINK("http://www.twitter.com/NathanBLawrence/status/828056022707208193", "828056022707208193")</f>
        <v/>
      </c>
      <c r="B1568" s="2" t="n">
        <v>42771.07077546296</v>
      </c>
      <c r="C1568" t="n">
        <v>0</v>
      </c>
      <c r="D1568" t="n">
        <v>6260</v>
      </c>
      <c r="E1568" t="s">
        <v>1574</v>
      </c>
      <c r="F1568">
        <f>HYPERLINK("http://pbs.twimg.com/media/C33UnxJVcAEQdxW.jpg", "http://pbs.twimg.com/media/C33UnxJVcAEQdxW.jpg")</f>
        <v/>
      </c>
      <c r="G1568" t="s"/>
      <c r="H1568" t="s"/>
      <c r="I1568" t="s"/>
      <c r="J1568" t="n">
        <v>0.765</v>
      </c>
      <c r="K1568" t="n">
        <v>0</v>
      </c>
      <c r="L1568" t="n">
        <v>0.769</v>
      </c>
      <c r="M1568" t="n">
        <v>0.231</v>
      </c>
    </row>
    <row r="1569" spans="1:13">
      <c r="A1569" s="1">
        <f>HYPERLINK("http://www.twitter.com/NathanBLawrence/status/827989913832476672", "827989913832476672")</f>
        <v/>
      </c>
      <c r="B1569" s="2" t="n">
        <v>42770.88834490741</v>
      </c>
      <c r="C1569" t="n">
        <v>0</v>
      </c>
      <c r="D1569" t="n">
        <v>2</v>
      </c>
      <c r="E1569" t="s">
        <v>1575</v>
      </c>
      <c r="F1569">
        <f>HYPERLINK("http://pbs.twimg.com/media/C32Qa-HWYAAX3fb.jpg", "http://pbs.twimg.com/media/C32Qa-HWYAAX3fb.jpg")</f>
        <v/>
      </c>
      <c r="G1569" t="s"/>
      <c r="H1569" t="s"/>
      <c r="I1569" t="s"/>
      <c r="J1569" t="n">
        <v>0</v>
      </c>
      <c r="K1569" t="n">
        <v>0</v>
      </c>
      <c r="L1569" t="n">
        <v>1</v>
      </c>
      <c r="M1569" t="n">
        <v>0</v>
      </c>
    </row>
    <row r="1570" spans="1:13">
      <c r="A1570" s="1">
        <f>HYPERLINK("http://www.twitter.com/NathanBLawrence/status/827986779726893057", "827986779726893057")</f>
        <v/>
      </c>
      <c r="B1570" s="2" t="n">
        <v>42770.87969907407</v>
      </c>
      <c r="C1570" t="n">
        <v>0</v>
      </c>
      <c r="D1570" t="n">
        <v>352</v>
      </c>
      <c r="E1570" t="s">
        <v>1576</v>
      </c>
      <c r="F1570">
        <f>HYPERLINK("http://pbs.twimg.com/media/C31wifbXUAITKqI.jpg", "http://pbs.twimg.com/media/C31wifbXUAITKqI.jpg")</f>
        <v/>
      </c>
      <c r="G1570" t="s"/>
      <c r="H1570" t="s"/>
      <c r="I1570" t="s"/>
      <c r="J1570" t="n">
        <v>0</v>
      </c>
      <c r="K1570" t="n">
        <v>0</v>
      </c>
      <c r="L1570" t="n">
        <v>1</v>
      </c>
      <c r="M1570" t="n">
        <v>0</v>
      </c>
    </row>
    <row r="1571" spans="1:13">
      <c r="A1571" s="1">
        <f>HYPERLINK("http://www.twitter.com/NathanBLawrence/status/827921595108835328", "827921595108835328")</f>
        <v/>
      </c>
      <c r="B1571" s="2" t="n">
        <v>42770.69981481481</v>
      </c>
      <c r="C1571" t="n">
        <v>0</v>
      </c>
      <c r="D1571" t="n">
        <v>1385</v>
      </c>
      <c r="E1571" t="s">
        <v>1577</v>
      </c>
      <c r="F1571" t="s"/>
      <c r="G1571" t="s"/>
      <c r="H1571" t="s"/>
      <c r="I1571" t="s"/>
      <c r="J1571" t="n">
        <v>-0.765</v>
      </c>
      <c r="K1571" t="n">
        <v>0.248</v>
      </c>
      <c r="L1571" t="n">
        <v>0.752</v>
      </c>
      <c r="M1571" t="n">
        <v>0</v>
      </c>
    </row>
    <row r="1572" spans="1:13">
      <c r="A1572" s="1">
        <f>HYPERLINK("http://www.twitter.com/NathanBLawrence/status/827919496065249280", "827919496065249280")</f>
        <v/>
      </c>
      <c r="B1572" s="2" t="n">
        <v>42770.69402777778</v>
      </c>
      <c r="C1572" t="n">
        <v>0</v>
      </c>
      <c r="D1572" t="n">
        <v>192</v>
      </c>
      <c r="E1572" t="s">
        <v>1578</v>
      </c>
      <c r="F1572" t="s"/>
      <c r="G1572" t="s"/>
      <c r="H1572" t="s"/>
      <c r="I1572" t="s"/>
      <c r="J1572" t="n">
        <v>0.4588</v>
      </c>
      <c r="K1572" t="n">
        <v>0.08599999999999999</v>
      </c>
      <c r="L1572" t="n">
        <v>0.6830000000000001</v>
      </c>
      <c r="M1572" t="n">
        <v>0.23</v>
      </c>
    </row>
    <row r="1573" spans="1:13">
      <c r="A1573" s="1">
        <f>HYPERLINK("http://www.twitter.com/NathanBLawrence/status/827917140032360449", "827917140032360449")</f>
        <v/>
      </c>
      <c r="B1573" s="2" t="n">
        <v>42770.68752314815</v>
      </c>
      <c r="C1573" t="n">
        <v>0</v>
      </c>
      <c r="D1573" t="n">
        <v>183</v>
      </c>
      <c r="E1573" t="s">
        <v>1579</v>
      </c>
      <c r="F1573" t="s"/>
      <c r="G1573" t="s"/>
      <c r="H1573" t="s"/>
      <c r="I1573" t="s"/>
      <c r="J1573" t="n">
        <v>0</v>
      </c>
      <c r="K1573" t="n">
        <v>0</v>
      </c>
      <c r="L1573" t="n">
        <v>1</v>
      </c>
      <c r="M1573" t="n">
        <v>0</v>
      </c>
    </row>
    <row r="1574" spans="1:13">
      <c r="A1574" s="1">
        <f>HYPERLINK("http://www.twitter.com/NathanBLawrence/status/827913484700700673", "827913484700700673")</f>
        <v/>
      </c>
      <c r="B1574" s="2" t="n">
        <v>42770.67744212963</v>
      </c>
      <c r="C1574" t="n">
        <v>0</v>
      </c>
      <c r="D1574" t="n">
        <v>25</v>
      </c>
      <c r="E1574" t="s">
        <v>1580</v>
      </c>
      <c r="F1574" t="s"/>
      <c r="G1574" t="s"/>
      <c r="H1574" t="s"/>
      <c r="I1574" t="s"/>
      <c r="J1574" t="n">
        <v>-0.5994</v>
      </c>
      <c r="K1574" t="n">
        <v>0.302</v>
      </c>
      <c r="L1574" t="n">
        <v>0.698</v>
      </c>
      <c r="M1574" t="n">
        <v>0</v>
      </c>
    </row>
    <row r="1575" spans="1:13">
      <c r="A1575" s="1">
        <f>HYPERLINK("http://www.twitter.com/NathanBLawrence/status/827911638489714688", "827911638489714688")</f>
        <v/>
      </c>
      <c r="B1575" s="2" t="n">
        <v>42770.67234953704</v>
      </c>
      <c r="C1575" t="n">
        <v>0</v>
      </c>
      <c r="D1575" t="n">
        <v>4476</v>
      </c>
      <c r="E1575" t="s">
        <v>1581</v>
      </c>
      <c r="F1575">
        <f>HYPERLINK("http://pbs.twimg.com/media/C3u_xA7WcAQFQ7J.jpg", "http://pbs.twimg.com/media/C3u_xA7WcAQFQ7J.jpg")</f>
        <v/>
      </c>
      <c r="G1575" t="s"/>
      <c r="H1575" t="s"/>
      <c r="I1575" t="s"/>
      <c r="J1575" t="n">
        <v>-0.3818</v>
      </c>
      <c r="K1575" t="n">
        <v>0.106</v>
      </c>
      <c r="L1575" t="n">
        <v>0.894</v>
      </c>
      <c r="M1575" t="n">
        <v>0</v>
      </c>
    </row>
    <row r="1576" spans="1:13">
      <c r="A1576" s="1">
        <f>HYPERLINK("http://www.twitter.com/NathanBLawrence/status/827908225840377857", "827908225840377857")</f>
        <v/>
      </c>
      <c r="B1576" s="2" t="n">
        <v>42770.66292824074</v>
      </c>
      <c r="C1576" t="n">
        <v>0</v>
      </c>
      <c r="D1576" t="n">
        <v>509</v>
      </c>
      <c r="E1576" t="s">
        <v>1582</v>
      </c>
      <c r="F1576" t="s"/>
      <c r="G1576" t="s"/>
      <c r="H1576" t="s"/>
      <c r="I1576" t="s"/>
      <c r="J1576" t="n">
        <v>0.2382</v>
      </c>
      <c r="K1576" t="n">
        <v>0</v>
      </c>
      <c r="L1576" t="n">
        <v>0.919</v>
      </c>
      <c r="M1576" t="n">
        <v>0.081</v>
      </c>
    </row>
    <row r="1577" spans="1:13">
      <c r="A1577" s="1">
        <f>HYPERLINK("http://www.twitter.com/NathanBLawrence/status/827735044886233088", "827735044886233088")</f>
        <v/>
      </c>
      <c r="B1577" s="2" t="n">
        <v>42770.18503472222</v>
      </c>
      <c r="C1577" t="n">
        <v>0</v>
      </c>
      <c r="D1577" t="n">
        <v>5</v>
      </c>
      <c r="E1577" t="s">
        <v>1583</v>
      </c>
      <c r="F1577">
        <f>HYPERLINK("http://pbs.twimg.com/media/C3yw_PPUYAIPwAq.jpg", "http://pbs.twimg.com/media/C3yw_PPUYAIPwAq.jpg")</f>
        <v/>
      </c>
      <c r="G1577" t="s"/>
      <c r="H1577" t="s"/>
      <c r="I1577" t="s"/>
      <c r="J1577" t="n">
        <v>-0.8453000000000001</v>
      </c>
      <c r="K1577" t="n">
        <v>0.325</v>
      </c>
      <c r="L1577" t="n">
        <v>0.675</v>
      </c>
      <c r="M1577" t="n">
        <v>0</v>
      </c>
    </row>
    <row r="1578" spans="1:13">
      <c r="A1578" s="1">
        <f>HYPERLINK("http://www.twitter.com/NathanBLawrence/status/827734897951404034", "827734897951404034")</f>
        <v/>
      </c>
      <c r="B1578" s="2" t="n">
        <v>42770.18462962963</v>
      </c>
      <c r="C1578" t="n">
        <v>0</v>
      </c>
      <c r="D1578" t="n">
        <v>27</v>
      </c>
      <c r="E1578" t="s">
        <v>1584</v>
      </c>
      <c r="F1578" t="s"/>
      <c r="G1578" t="s"/>
      <c r="H1578" t="s"/>
      <c r="I1578" t="s"/>
      <c r="J1578" t="n">
        <v>-0.1779</v>
      </c>
      <c r="K1578" t="n">
        <v>0.08599999999999999</v>
      </c>
      <c r="L1578" t="n">
        <v>0.914</v>
      </c>
      <c r="M1578" t="n">
        <v>0</v>
      </c>
    </row>
    <row r="1579" spans="1:13">
      <c r="A1579" s="1">
        <f>HYPERLINK("http://www.twitter.com/NathanBLawrence/status/827725172203515904", "827725172203515904")</f>
        <v/>
      </c>
      <c r="B1579" s="2" t="n">
        <v>42770.15780092592</v>
      </c>
      <c r="C1579" t="n">
        <v>0</v>
      </c>
      <c r="D1579" t="n">
        <v>5186</v>
      </c>
      <c r="E1579" t="s">
        <v>1585</v>
      </c>
      <c r="F1579" t="s"/>
      <c r="G1579" t="s"/>
      <c r="H1579" t="s"/>
      <c r="I1579" t="s"/>
      <c r="J1579" t="n">
        <v>-0.552</v>
      </c>
      <c r="K1579" t="n">
        <v>0.324</v>
      </c>
      <c r="L1579" t="n">
        <v>0.501</v>
      </c>
      <c r="M1579" t="n">
        <v>0.175</v>
      </c>
    </row>
    <row r="1580" spans="1:13">
      <c r="A1580" s="1">
        <f>HYPERLINK("http://www.twitter.com/NathanBLawrence/status/827614439260168192", "827614439260168192")</f>
        <v/>
      </c>
      <c r="B1580" s="2" t="n">
        <v>42769.85223379629</v>
      </c>
      <c r="C1580" t="n">
        <v>0</v>
      </c>
      <c r="D1580" t="n">
        <v>1651</v>
      </c>
      <c r="E1580" t="s">
        <v>1586</v>
      </c>
      <c r="F1580" t="s"/>
      <c r="G1580" t="s"/>
      <c r="H1580" t="s"/>
      <c r="I1580" t="s"/>
      <c r="J1580" t="n">
        <v>0</v>
      </c>
      <c r="K1580" t="n">
        <v>0</v>
      </c>
      <c r="L1580" t="n">
        <v>1</v>
      </c>
      <c r="M1580" t="n">
        <v>0</v>
      </c>
    </row>
    <row r="1581" spans="1:13">
      <c r="A1581" s="1">
        <f>HYPERLINK("http://www.twitter.com/NathanBLawrence/status/827614231394709504", "827614231394709504")</f>
        <v/>
      </c>
      <c r="B1581" s="2" t="n">
        <v>42769.85165509259</v>
      </c>
      <c r="C1581" t="n">
        <v>0</v>
      </c>
      <c r="D1581" t="n">
        <v>228</v>
      </c>
      <c r="E1581" t="s">
        <v>1587</v>
      </c>
      <c r="F1581" t="s"/>
      <c r="G1581" t="s"/>
      <c r="H1581" t="s"/>
      <c r="I1581" t="s"/>
      <c r="J1581" t="n">
        <v>0.7443</v>
      </c>
      <c r="K1581" t="n">
        <v>0.077</v>
      </c>
      <c r="L1581" t="n">
        <v>0.669</v>
      </c>
      <c r="M1581" t="n">
        <v>0.255</v>
      </c>
    </row>
    <row r="1582" spans="1:13">
      <c r="A1582" s="1">
        <f>HYPERLINK("http://www.twitter.com/NathanBLawrence/status/827613781643649025", "827613781643649025")</f>
        <v/>
      </c>
      <c r="B1582" s="2" t="n">
        <v>42769.85041666667</v>
      </c>
      <c r="C1582" t="n">
        <v>0</v>
      </c>
      <c r="D1582" t="n">
        <v>1107</v>
      </c>
      <c r="E1582" t="s">
        <v>1588</v>
      </c>
      <c r="F1582">
        <f>HYPERLINK("http://pbs.twimg.com/media/C3xEvSKXUAAofKU.jpg", "http://pbs.twimg.com/media/C3xEvSKXUAAofKU.jpg")</f>
        <v/>
      </c>
      <c r="G1582" t="s"/>
      <c r="H1582" t="s"/>
      <c r="I1582" t="s"/>
      <c r="J1582" t="n">
        <v>-0.1531</v>
      </c>
      <c r="K1582" t="n">
        <v>0.241</v>
      </c>
      <c r="L1582" t="n">
        <v>0.556</v>
      </c>
      <c r="M1582" t="n">
        <v>0.204</v>
      </c>
    </row>
    <row r="1583" spans="1:13">
      <c r="A1583" s="1">
        <f>HYPERLINK("http://www.twitter.com/NathanBLawrence/status/827573933113229312", "827573933113229312")</f>
        <v/>
      </c>
      <c r="B1583" s="2" t="n">
        <v>42769.74045138889</v>
      </c>
      <c r="C1583" t="n">
        <v>0</v>
      </c>
      <c r="D1583" t="n">
        <v>586</v>
      </c>
      <c r="E1583" t="s">
        <v>1589</v>
      </c>
      <c r="F1583" t="s"/>
      <c r="G1583" t="s"/>
      <c r="H1583" t="s"/>
      <c r="I1583" t="s"/>
      <c r="J1583" t="n">
        <v>-0.6399</v>
      </c>
      <c r="K1583" t="n">
        <v>0.232</v>
      </c>
      <c r="L1583" t="n">
        <v>0.768</v>
      </c>
      <c r="M1583" t="n">
        <v>0</v>
      </c>
    </row>
    <row r="1584" spans="1:13">
      <c r="A1584" s="1">
        <f>HYPERLINK("http://www.twitter.com/NathanBLawrence/status/827572427798478852", "827572427798478852")</f>
        <v/>
      </c>
      <c r="B1584" s="2" t="n">
        <v>42769.73629629629</v>
      </c>
      <c r="C1584" t="n">
        <v>0</v>
      </c>
      <c r="D1584" t="n">
        <v>88</v>
      </c>
      <c r="E1584" t="s">
        <v>1590</v>
      </c>
      <c r="F1584">
        <f>HYPERLINK("http://pbs.twimg.com/media/C3wMuBrWIAI0-qb.jpg", "http://pbs.twimg.com/media/C3wMuBrWIAI0-qb.jpg")</f>
        <v/>
      </c>
      <c r="G1584" t="s"/>
      <c r="H1584" t="s"/>
      <c r="I1584" t="s"/>
      <c r="J1584" t="n">
        <v>0</v>
      </c>
      <c r="K1584" t="n">
        <v>0</v>
      </c>
      <c r="L1584" t="n">
        <v>1</v>
      </c>
      <c r="M1584" t="n">
        <v>0</v>
      </c>
    </row>
    <row r="1585" spans="1:13">
      <c r="A1585" s="1">
        <f>HYPERLINK("http://www.twitter.com/NathanBLawrence/status/827569738847027200", "827569738847027200")</f>
        <v/>
      </c>
      <c r="B1585" s="2" t="n">
        <v>42769.72887731482</v>
      </c>
      <c r="C1585" t="n">
        <v>0</v>
      </c>
      <c r="D1585" t="n">
        <v>240</v>
      </c>
      <c r="E1585" t="s">
        <v>1591</v>
      </c>
      <c r="F1585" t="s"/>
      <c r="G1585" t="s"/>
      <c r="H1585" t="s"/>
      <c r="I1585" t="s"/>
      <c r="J1585" t="n">
        <v>-0.6556</v>
      </c>
      <c r="K1585" t="n">
        <v>0.299</v>
      </c>
      <c r="L1585" t="n">
        <v>0.543</v>
      </c>
      <c r="M1585" t="n">
        <v>0.159</v>
      </c>
    </row>
    <row r="1586" spans="1:13">
      <c r="A1586" s="1">
        <f>HYPERLINK("http://www.twitter.com/NathanBLawrence/status/827549091026632704", "827549091026632704")</f>
        <v/>
      </c>
      <c r="B1586" s="2" t="n">
        <v>42769.67190972222</v>
      </c>
      <c r="C1586" t="n">
        <v>0</v>
      </c>
      <c r="D1586" t="n">
        <v>35</v>
      </c>
      <c r="E1586" t="s">
        <v>1592</v>
      </c>
      <c r="F1586">
        <f>HYPERLINK("http://pbs.twimg.com/media/C3r232_WEAYLt8T.jpg", "http://pbs.twimg.com/media/C3r232_WEAYLt8T.jpg")</f>
        <v/>
      </c>
      <c r="G1586" t="s"/>
      <c r="H1586" t="s"/>
      <c r="I1586" t="s"/>
      <c r="J1586" t="n">
        <v>0</v>
      </c>
      <c r="K1586" t="n">
        <v>0</v>
      </c>
      <c r="L1586" t="n">
        <v>1</v>
      </c>
      <c r="M1586" t="n">
        <v>0</v>
      </c>
    </row>
    <row r="1587" spans="1:13">
      <c r="A1587" s="1">
        <f>HYPERLINK("http://www.twitter.com/NathanBLawrence/status/827287384094019584", "827287384094019584")</f>
        <v/>
      </c>
      <c r="B1587" s="2" t="n">
        <v>42768.9497337963</v>
      </c>
      <c r="C1587" t="n">
        <v>0</v>
      </c>
      <c r="D1587" t="n">
        <v>2967</v>
      </c>
      <c r="E1587" t="s">
        <v>1593</v>
      </c>
      <c r="F1587" t="s"/>
      <c r="G1587" t="s"/>
      <c r="H1587" t="s"/>
      <c r="I1587" t="s"/>
      <c r="J1587" t="n">
        <v>-0.6908</v>
      </c>
      <c r="K1587" t="n">
        <v>0.402</v>
      </c>
      <c r="L1587" t="n">
        <v>0.598</v>
      </c>
      <c r="M1587" t="n">
        <v>0</v>
      </c>
    </row>
    <row r="1588" spans="1:13">
      <c r="A1588" s="1">
        <f>HYPERLINK("http://www.twitter.com/NathanBLawrence/status/827236410117722113", "827236410117722113")</f>
        <v/>
      </c>
      <c r="B1588" s="2" t="n">
        <v>42768.80907407407</v>
      </c>
      <c r="C1588" t="n">
        <v>0</v>
      </c>
      <c r="D1588" t="n">
        <v>471</v>
      </c>
      <c r="E1588" t="s">
        <v>1594</v>
      </c>
      <c r="F1588">
        <f>HYPERLINK("http://pbs.twimg.com/media/C3rqXotUEAAHJoQ.jpg", "http://pbs.twimg.com/media/C3rqXotUEAAHJoQ.jpg")</f>
        <v/>
      </c>
      <c r="G1588" t="s"/>
      <c r="H1588" t="s"/>
      <c r="I1588" t="s"/>
      <c r="J1588" t="n">
        <v>0.6705</v>
      </c>
      <c r="K1588" t="n">
        <v>0.092</v>
      </c>
      <c r="L1588" t="n">
        <v>0.586</v>
      </c>
      <c r="M1588" t="n">
        <v>0.322</v>
      </c>
    </row>
    <row r="1589" spans="1:13">
      <c r="A1589" s="1">
        <f>HYPERLINK("http://www.twitter.com/NathanBLawrence/status/827232592592240640", "827232592592240640")</f>
        <v/>
      </c>
      <c r="B1589" s="2" t="n">
        <v>42768.79853009259</v>
      </c>
      <c r="C1589" t="n">
        <v>0</v>
      </c>
      <c r="D1589" t="n">
        <v>5513</v>
      </c>
      <c r="E1589" t="s">
        <v>1595</v>
      </c>
      <c r="F1589">
        <f>HYPERLINK("http://pbs.twimg.com/media/C3rKdwaUkAAsdH6.jpg", "http://pbs.twimg.com/media/C3rKdwaUkAAsdH6.jpg")</f>
        <v/>
      </c>
      <c r="G1589" t="s"/>
      <c r="H1589" t="s"/>
      <c r="I1589" t="s"/>
      <c r="J1589" t="n">
        <v>-0.886</v>
      </c>
      <c r="K1589" t="n">
        <v>0.366</v>
      </c>
      <c r="L1589" t="n">
        <v>0.634</v>
      </c>
      <c r="M1589" t="n">
        <v>0</v>
      </c>
    </row>
    <row r="1590" spans="1:13">
      <c r="A1590" s="1">
        <f>HYPERLINK("http://www.twitter.com/NathanBLawrence/status/827215117821603841", "827215117821603841")</f>
        <v/>
      </c>
      <c r="B1590" s="2" t="n">
        <v>42768.7503125</v>
      </c>
      <c r="C1590" t="n">
        <v>0</v>
      </c>
      <c r="D1590" t="n">
        <v>4896</v>
      </c>
      <c r="E1590" t="s">
        <v>1596</v>
      </c>
      <c r="F1590" t="s"/>
      <c r="G1590" t="s"/>
      <c r="H1590" t="s"/>
      <c r="I1590" t="s"/>
      <c r="J1590" t="n">
        <v>-0.7351</v>
      </c>
      <c r="K1590" t="n">
        <v>0.292</v>
      </c>
      <c r="L1590" t="n">
        <v>0.708</v>
      </c>
      <c r="M1590" t="n">
        <v>0</v>
      </c>
    </row>
    <row r="1591" spans="1:13">
      <c r="A1591" s="1">
        <f>HYPERLINK("http://www.twitter.com/NathanBLawrence/status/827212329473437698", "827212329473437698")</f>
        <v/>
      </c>
      <c r="B1591" s="2" t="n">
        <v>42768.74261574074</v>
      </c>
      <c r="C1591" t="n">
        <v>0</v>
      </c>
      <c r="D1591" t="n">
        <v>5128</v>
      </c>
      <c r="E1591" t="s">
        <v>1597</v>
      </c>
      <c r="F1591" t="s"/>
      <c r="G1591" t="s"/>
      <c r="H1591" t="s"/>
      <c r="I1591" t="s"/>
      <c r="J1591" t="n">
        <v>0.7643</v>
      </c>
      <c r="K1591" t="n">
        <v>0.064</v>
      </c>
      <c r="L1591" t="n">
        <v>0.671</v>
      </c>
      <c r="M1591" t="n">
        <v>0.265</v>
      </c>
    </row>
    <row r="1592" spans="1:13">
      <c r="A1592" s="1">
        <f>HYPERLINK("http://www.twitter.com/NathanBLawrence/status/827210620118429701", "827210620118429701")</f>
        <v/>
      </c>
      <c r="B1592" s="2" t="n">
        <v>42768.7379050926</v>
      </c>
      <c r="C1592" t="n">
        <v>0</v>
      </c>
      <c r="D1592" t="n">
        <v>734</v>
      </c>
      <c r="E1592" t="s">
        <v>1598</v>
      </c>
      <c r="F1592">
        <f>HYPERLINK("http://pbs.twimg.com/media/C3q92cEVUAAlGtS.jpg", "http://pbs.twimg.com/media/C3q92cEVUAAlGtS.jpg")</f>
        <v/>
      </c>
      <c r="G1592" t="s"/>
      <c r="H1592" t="s"/>
      <c r="I1592" t="s"/>
      <c r="J1592" t="n">
        <v>0.2732</v>
      </c>
      <c r="K1592" t="n">
        <v>0.056</v>
      </c>
      <c r="L1592" t="n">
        <v>0.843</v>
      </c>
      <c r="M1592" t="n">
        <v>0.1</v>
      </c>
    </row>
    <row r="1593" spans="1:13">
      <c r="A1593" s="1">
        <f>HYPERLINK("http://www.twitter.com/NathanBLawrence/status/827200594599350273", "827200594599350273")</f>
        <v/>
      </c>
      <c r="B1593" s="2" t="n">
        <v>42768.71024305555</v>
      </c>
      <c r="C1593" t="n">
        <v>0</v>
      </c>
      <c r="D1593" t="n">
        <v>1</v>
      </c>
      <c r="E1593" t="s">
        <v>1599</v>
      </c>
      <c r="F1593" t="s"/>
      <c r="G1593" t="s"/>
      <c r="H1593" t="s"/>
      <c r="I1593" t="s"/>
      <c r="J1593" t="n">
        <v>0.5311</v>
      </c>
      <c r="K1593" t="n">
        <v>0.124</v>
      </c>
      <c r="L1593" t="n">
        <v>0.637</v>
      </c>
      <c r="M1593" t="n">
        <v>0.239</v>
      </c>
    </row>
    <row r="1594" spans="1:13">
      <c r="A1594" s="1">
        <f>HYPERLINK("http://www.twitter.com/NathanBLawrence/status/827028544899411968", "827028544899411968")</f>
        <v/>
      </c>
      <c r="B1594" s="2" t="n">
        <v>42768.23547453704</v>
      </c>
      <c r="C1594" t="n">
        <v>0</v>
      </c>
      <c r="D1594" t="n">
        <v>871</v>
      </c>
      <c r="E1594" t="s">
        <v>1600</v>
      </c>
      <c r="F1594" t="s"/>
      <c r="G1594" t="s"/>
      <c r="H1594" t="s"/>
      <c r="I1594" t="s"/>
      <c r="J1594" t="n">
        <v>0</v>
      </c>
      <c r="K1594" t="n">
        <v>0</v>
      </c>
      <c r="L1594" t="n">
        <v>1</v>
      </c>
      <c r="M1594" t="n">
        <v>0</v>
      </c>
    </row>
    <row r="1595" spans="1:13">
      <c r="A1595" s="1">
        <f>HYPERLINK("http://www.twitter.com/NathanBLawrence/status/827026599035994112", "827026599035994112")</f>
        <v/>
      </c>
      <c r="B1595" s="2" t="n">
        <v>42768.23010416667</v>
      </c>
      <c r="C1595" t="n">
        <v>0</v>
      </c>
      <c r="D1595" t="n">
        <v>270</v>
      </c>
      <c r="E1595" t="s">
        <v>1601</v>
      </c>
      <c r="F1595" t="s"/>
      <c r="G1595" t="s"/>
      <c r="H1595" t="s"/>
      <c r="I1595" t="s"/>
      <c r="J1595" t="n">
        <v>0</v>
      </c>
      <c r="K1595" t="n">
        <v>0</v>
      </c>
      <c r="L1595" t="n">
        <v>1</v>
      </c>
      <c r="M1595" t="n">
        <v>0</v>
      </c>
    </row>
    <row r="1596" spans="1:13">
      <c r="A1596" s="1">
        <f>HYPERLINK("http://www.twitter.com/NathanBLawrence/status/826840315336282112", "826840315336282112")</f>
        <v/>
      </c>
      <c r="B1596" s="2" t="n">
        <v>42767.71605324074</v>
      </c>
      <c r="C1596" t="n">
        <v>0</v>
      </c>
      <c r="D1596" t="n">
        <v>40065</v>
      </c>
      <c r="E1596" t="s">
        <v>1602</v>
      </c>
      <c r="F1596">
        <f>HYPERLINK("http://pbs.twimg.com/media/C3c718XUoAA6sYk.jpg", "http://pbs.twimg.com/media/C3c718XUoAA6sYk.jpg")</f>
        <v/>
      </c>
      <c r="G1596" t="s"/>
      <c r="H1596" t="s"/>
      <c r="I1596" t="s"/>
      <c r="J1596" t="n">
        <v>-0.3254</v>
      </c>
      <c r="K1596" t="n">
        <v>0.171</v>
      </c>
      <c r="L1596" t="n">
        <v>0.735</v>
      </c>
      <c r="M1596" t="n">
        <v>0.094</v>
      </c>
    </row>
    <row r="1597" spans="1:13">
      <c r="A1597" s="1">
        <f>HYPERLINK("http://www.twitter.com/NathanBLawrence/status/826694836883439616", "826694836883439616")</f>
        <v/>
      </c>
      <c r="B1597" s="2" t="n">
        <v>42767.31461805556</v>
      </c>
      <c r="C1597" t="n">
        <v>0</v>
      </c>
      <c r="D1597" t="n">
        <v>2503</v>
      </c>
      <c r="E1597" t="s">
        <v>1603</v>
      </c>
      <c r="F1597">
        <f>HYPERLINK("http://pbs.twimg.com/media/C3j3eX6UEAA37G4.jpg", "http://pbs.twimg.com/media/C3j3eX6UEAA37G4.jpg")</f>
        <v/>
      </c>
      <c r="G1597" t="s"/>
      <c r="H1597" t="s"/>
      <c r="I1597" t="s"/>
      <c r="J1597" t="n">
        <v>-0.5574</v>
      </c>
      <c r="K1597" t="n">
        <v>0.175</v>
      </c>
      <c r="L1597" t="n">
        <v>0.825</v>
      </c>
      <c r="M1597" t="n">
        <v>0</v>
      </c>
    </row>
    <row r="1598" spans="1:13">
      <c r="A1598" s="1">
        <f>HYPERLINK("http://www.twitter.com/NathanBLawrence/status/826651617848070144", "826651617848070144")</f>
        <v/>
      </c>
      <c r="B1598" s="2" t="n">
        <v>42767.19534722222</v>
      </c>
      <c r="C1598" t="n">
        <v>0</v>
      </c>
      <c r="D1598" t="n">
        <v>1290</v>
      </c>
      <c r="E1598" t="s">
        <v>1604</v>
      </c>
      <c r="F1598" t="s"/>
      <c r="G1598" t="s"/>
      <c r="H1598" t="s"/>
      <c r="I1598" t="s"/>
      <c r="J1598" t="n">
        <v>0.4019</v>
      </c>
      <c r="K1598" t="n">
        <v>0</v>
      </c>
      <c r="L1598" t="n">
        <v>0.886</v>
      </c>
      <c r="M1598" t="n">
        <v>0.114</v>
      </c>
    </row>
    <row r="1599" spans="1:13">
      <c r="A1599" s="1">
        <f>HYPERLINK("http://www.twitter.com/NathanBLawrence/status/826645878320558080", "826645878320558080")</f>
        <v/>
      </c>
      <c r="B1599" s="2" t="n">
        <v>42767.17951388889</v>
      </c>
      <c r="C1599" t="n">
        <v>0</v>
      </c>
      <c r="D1599" t="n">
        <v>0</v>
      </c>
      <c r="E1599" t="s">
        <v>1605</v>
      </c>
      <c r="F1599" t="s"/>
      <c r="G1599" t="s"/>
      <c r="H1599" t="s"/>
      <c r="I1599" t="s"/>
      <c r="J1599" t="n">
        <v>0.8439</v>
      </c>
      <c r="K1599" t="n">
        <v>0</v>
      </c>
      <c r="L1599" t="n">
        <v>0.524</v>
      </c>
      <c r="M1599" t="n">
        <v>0.476</v>
      </c>
    </row>
    <row r="1600" spans="1:13">
      <c r="A1600" s="1">
        <f>HYPERLINK("http://www.twitter.com/NathanBLawrence/status/826616444167258113", "826616444167258113")</f>
        <v/>
      </c>
      <c r="B1600" s="2" t="n">
        <v>42767.09828703704</v>
      </c>
      <c r="C1600" t="n">
        <v>0</v>
      </c>
      <c r="D1600" t="n">
        <v>4</v>
      </c>
      <c r="E1600" t="s">
        <v>1606</v>
      </c>
      <c r="F1600">
        <f>HYPERLINK("http://pbs.twimg.com/media/C3i229YUcAEV3Kv.jpg", "http://pbs.twimg.com/media/C3i229YUcAEV3Kv.jpg")</f>
        <v/>
      </c>
      <c r="G1600" t="s"/>
      <c r="H1600" t="s"/>
      <c r="I1600" t="s"/>
      <c r="J1600" t="n">
        <v>0.9042</v>
      </c>
      <c r="K1600" t="n">
        <v>0</v>
      </c>
      <c r="L1600" t="n">
        <v>0.405</v>
      </c>
      <c r="M1600" t="n">
        <v>0.595</v>
      </c>
    </row>
    <row r="1601" spans="1:13">
      <c r="A1601" s="1">
        <f>HYPERLINK("http://www.twitter.com/NathanBLawrence/status/826608333427703808", "826608333427703808")</f>
        <v/>
      </c>
      <c r="B1601" s="2" t="n">
        <v>42767.07590277777</v>
      </c>
      <c r="C1601" t="n">
        <v>0</v>
      </c>
      <c r="D1601" t="n">
        <v>139</v>
      </c>
      <c r="E1601" t="s">
        <v>1607</v>
      </c>
      <c r="F1601" t="s"/>
      <c r="G1601" t="s"/>
      <c r="H1601" t="s"/>
      <c r="I1601" t="s"/>
      <c r="J1601" t="n">
        <v>0</v>
      </c>
      <c r="K1601" t="n">
        <v>0</v>
      </c>
      <c r="L1601" t="n">
        <v>1</v>
      </c>
      <c r="M1601" t="n">
        <v>0</v>
      </c>
    </row>
    <row r="1602" spans="1:13">
      <c r="A1602" s="1">
        <f>HYPERLINK("http://www.twitter.com/NathanBLawrence/status/826608145640411137", "826608145640411137")</f>
        <v/>
      </c>
      <c r="B1602" s="2" t="n">
        <v>42767.07539351852</v>
      </c>
      <c r="C1602" t="n">
        <v>0</v>
      </c>
      <c r="D1602" t="n">
        <v>455</v>
      </c>
      <c r="E1602" t="s">
        <v>1608</v>
      </c>
      <c r="F1602">
        <f>HYPERLINK("http://pbs.twimg.com/media/C3iK-TlWcAA6ZK9.jpg", "http://pbs.twimg.com/media/C3iK-TlWcAA6ZK9.jpg")</f>
        <v/>
      </c>
      <c r="G1602" t="s"/>
      <c r="H1602" t="s"/>
      <c r="I1602" t="s"/>
      <c r="J1602" t="n">
        <v>0</v>
      </c>
      <c r="K1602" t="n">
        <v>0</v>
      </c>
      <c r="L1602" t="n">
        <v>1</v>
      </c>
      <c r="M1602" t="n">
        <v>0</v>
      </c>
    </row>
    <row r="1603" spans="1:13">
      <c r="A1603" s="1">
        <f>HYPERLINK("http://www.twitter.com/NathanBLawrence/status/826604065228480513", "826604065228480513")</f>
        <v/>
      </c>
      <c r="B1603" s="2" t="n">
        <v>42767.06413194445</v>
      </c>
      <c r="C1603" t="n">
        <v>0</v>
      </c>
      <c r="D1603" t="n">
        <v>7689</v>
      </c>
      <c r="E1603" t="s">
        <v>1609</v>
      </c>
      <c r="F1603" t="s"/>
      <c r="G1603" t="s"/>
      <c r="H1603" t="s"/>
      <c r="I1603" t="s"/>
      <c r="J1603" t="n">
        <v>0.3612</v>
      </c>
      <c r="K1603" t="n">
        <v>0.079</v>
      </c>
      <c r="L1603" t="n">
        <v>0.79</v>
      </c>
      <c r="M1603" t="n">
        <v>0.131</v>
      </c>
    </row>
    <row r="1604" spans="1:13">
      <c r="A1604" s="1">
        <f>HYPERLINK("http://www.twitter.com/NathanBLawrence/status/826603133623230464", "826603133623230464")</f>
        <v/>
      </c>
      <c r="B1604" s="2" t="n">
        <v>42767.0615625</v>
      </c>
      <c r="C1604" t="n">
        <v>0</v>
      </c>
      <c r="D1604" t="n">
        <v>207</v>
      </c>
      <c r="E1604" t="s">
        <v>1610</v>
      </c>
      <c r="F1604" t="s"/>
      <c r="G1604" t="s"/>
      <c r="H1604" t="s"/>
      <c r="I1604" t="s"/>
      <c r="J1604" t="n">
        <v>0</v>
      </c>
      <c r="K1604" t="n">
        <v>0</v>
      </c>
      <c r="L1604" t="n">
        <v>1</v>
      </c>
      <c r="M1604" t="n">
        <v>0</v>
      </c>
    </row>
    <row r="1605" spans="1:13">
      <c r="A1605" s="1">
        <f>HYPERLINK("http://www.twitter.com/NathanBLawrence/status/826580134585126913", "826580134585126913")</f>
        <v/>
      </c>
      <c r="B1605" s="2" t="n">
        <v>42766.99809027778</v>
      </c>
      <c r="C1605" t="n">
        <v>0</v>
      </c>
      <c r="D1605" t="n">
        <v>970</v>
      </c>
      <c r="E1605" t="s">
        <v>1611</v>
      </c>
      <c r="F1605" t="s"/>
      <c r="G1605" t="s"/>
      <c r="H1605" t="s"/>
      <c r="I1605" t="s"/>
      <c r="J1605" t="n">
        <v>-0.5165</v>
      </c>
      <c r="K1605" t="n">
        <v>0.213</v>
      </c>
      <c r="L1605" t="n">
        <v>0.705</v>
      </c>
      <c r="M1605" t="n">
        <v>0.082</v>
      </c>
    </row>
    <row r="1606" spans="1:13">
      <c r="A1606" s="1">
        <f>HYPERLINK("http://www.twitter.com/NathanBLawrence/status/826503043248164870", "826503043248164870")</f>
        <v/>
      </c>
      <c r="B1606" s="2" t="n">
        <v>42766.7853587963</v>
      </c>
      <c r="C1606" t="n">
        <v>0</v>
      </c>
      <c r="D1606" t="n">
        <v>1132</v>
      </c>
      <c r="E1606" t="s">
        <v>1612</v>
      </c>
      <c r="F1606" t="s"/>
      <c r="G1606" t="s"/>
      <c r="H1606" t="s"/>
      <c r="I1606" t="s"/>
      <c r="J1606" t="n">
        <v>0</v>
      </c>
      <c r="K1606" t="n">
        <v>0</v>
      </c>
      <c r="L1606" t="n">
        <v>1</v>
      </c>
      <c r="M1606" t="n">
        <v>0</v>
      </c>
    </row>
    <row r="1607" spans="1:13">
      <c r="A1607" s="1">
        <f>HYPERLINK("http://www.twitter.com/NathanBLawrence/status/826475522351910913", "826475522351910913")</f>
        <v/>
      </c>
      <c r="B1607" s="2" t="n">
        <v>42766.7094212963</v>
      </c>
      <c r="C1607" t="n">
        <v>0</v>
      </c>
      <c r="D1607" t="n">
        <v>837</v>
      </c>
      <c r="E1607" t="s">
        <v>1613</v>
      </c>
      <c r="F1607" t="s"/>
      <c r="G1607" t="s"/>
      <c r="H1607" t="s"/>
      <c r="I1607" t="s"/>
      <c r="J1607" t="n">
        <v>0.4129</v>
      </c>
      <c r="K1607" t="n">
        <v>0</v>
      </c>
      <c r="L1607" t="n">
        <v>0.853</v>
      </c>
      <c r="M1607" t="n">
        <v>0.147</v>
      </c>
    </row>
    <row r="1608" spans="1:13">
      <c r="A1608" s="1">
        <f>HYPERLINK("http://www.twitter.com/NathanBLawrence/status/826472995103338497", "826472995103338497")</f>
        <v/>
      </c>
      <c r="B1608" s="2" t="n">
        <v>42766.70244212963</v>
      </c>
      <c r="C1608" t="n">
        <v>0</v>
      </c>
      <c r="D1608" t="n">
        <v>177</v>
      </c>
      <c r="E1608" t="s">
        <v>1614</v>
      </c>
      <c r="F1608" t="s"/>
      <c r="G1608" t="s"/>
      <c r="H1608" t="s"/>
      <c r="I1608" t="s"/>
      <c r="J1608" t="n">
        <v>0.4168</v>
      </c>
      <c r="K1608" t="n">
        <v>0</v>
      </c>
      <c r="L1608" t="n">
        <v>0.878</v>
      </c>
      <c r="M1608" t="n">
        <v>0.122</v>
      </c>
    </row>
    <row r="1609" spans="1:13">
      <c r="A1609" s="1">
        <f>HYPERLINK("http://www.twitter.com/NathanBLawrence/status/826468247394537473", "826468247394537473")</f>
        <v/>
      </c>
      <c r="B1609" s="2" t="n">
        <v>42766.68934027778</v>
      </c>
      <c r="C1609" t="n">
        <v>0</v>
      </c>
      <c r="D1609" t="n">
        <v>2116</v>
      </c>
      <c r="E1609" t="s">
        <v>1615</v>
      </c>
      <c r="F1609" t="s"/>
      <c r="G1609" t="s"/>
      <c r="H1609" t="s"/>
      <c r="I1609" t="s"/>
      <c r="J1609" t="n">
        <v>0.4926</v>
      </c>
      <c r="K1609" t="n">
        <v>0</v>
      </c>
      <c r="L1609" t="n">
        <v>0.873</v>
      </c>
      <c r="M1609" t="n">
        <v>0.127</v>
      </c>
    </row>
    <row r="1610" spans="1:13">
      <c r="A1610" s="1">
        <f>HYPERLINK("http://www.twitter.com/NathanBLawrence/status/826268373549989888", "826268373549989888")</f>
        <v/>
      </c>
      <c r="B1610" s="2" t="n">
        <v>42766.13780092593</v>
      </c>
      <c r="C1610" t="n">
        <v>0</v>
      </c>
      <c r="D1610" t="n">
        <v>829</v>
      </c>
      <c r="E1610" t="s">
        <v>1616</v>
      </c>
      <c r="F1610" t="s"/>
      <c r="G1610" t="s"/>
      <c r="H1610" t="s"/>
      <c r="I1610" t="s"/>
      <c r="J1610" t="n">
        <v>-0.5574</v>
      </c>
      <c r="K1610" t="n">
        <v>0.153</v>
      </c>
      <c r="L1610" t="n">
        <v>0.847</v>
      </c>
      <c r="M1610" t="n">
        <v>0</v>
      </c>
    </row>
    <row r="1611" spans="1:13">
      <c r="A1611" s="1">
        <f>HYPERLINK("http://www.twitter.com/NathanBLawrence/status/826225369883738112", "826225369883738112")</f>
        <v/>
      </c>
      <c r="B1611" s="2" t="n">
        <v>42766.01913194444</v>
      </c>
      <c r="C1611" t="n">
        <v>0</v>
      </c>
      <c r="D1611" t="n">
        <v>1048</v>
      </c>
      <c r="E1611" t="s">
        <v>1617</v>
      </c>
      <c r="F1611" t="s"/>
      <c r="G1611" t="s"/>
      <c r="H1611" t="s"/>
      <c r="I1611" t="s"/>
      <c r="J1611" t="n">
        <v>0.296</v>
      </c>
      <c r="K1611" t="n">
        <v>0</v>
      </c>
      <c r="L1611" t="n">
        <v>0.732</v>
      </c>
      <c r="M1611" t="n">
        <v>0.268</v>
      </c>
    </row>
    <row r="1612" spans="1:13">
      <c r="A1612" s="1">
        <f>HYPERLINK("http://www.twitter.com/NathanBLawrence/status/826116069282738177", "826116069282738177")</f>
        <v/>
      </c>
      <c r="B1612" s="2" t="n">
        <v>42765.71752314815</v>
      </c>
      <c r="C1612" t="n">
        <v>0</v>
      </c>
      <c r="D1612" t="n">
        <v>1232</v>
      </c>
      <c r="E1612" t="s">
        <v>1618</v>
      </c>
      <c r="F1612" t="s"/>
      <c r="G1612" t="s"/>
      <c r="H1612" t="s"/>
      <c r="I1612" t="s"/>
      <c r="J1612" t="n">
        <v>-0.8401999999999999</v>
      </c>
      <c r="K1612" t="n">
        <v>0.323</v>
      </c>
      <c r="L1612" t="n">
        <v>0.638</v>
      </c>
      <c r="M1612" t="n">
        <v>0.039</v>
      </c>
    </row>
    <row r="1613" spans="1:13">
      <c r="A1613" s="1">
        <f>HYPERLINK("http://www.twitter.com/NathanBLawrence/status/826115632835985409", "826115632835985409")</f>
        <v/>
      </c>
      <c r="B1613" s="2" t="n">
        <v>42765.71631944444</v>
      </c>
      <c r="C1613" t="n">
        <v>0</v>
      </c>
      <c r="D1613" t="n">
        <v>6488</v>
      </c>
      <c r="E1613" t="s">
        <v>1619</v>
      </c>
      <c r="F1613" t="s"/>
      <c r="G1613" t="s"/>
      <c r="H1613" t="s"/>
      <c r="I1613" t="s"/>
      <c r="J1613" t="n">
        <v>0</v>
      </c>
      <c r="K1613" t="n">
        <v>0</v>
      </c>
      <c r="L1613" t="n">
        <v>1</v>
      </c>
      <c r="M1613" t="n">
        <v>0</v>
      </c>
    </row>
    <row r="1614" spans="1:13">
      <c r="A1614" s="1">
        <f>HYPERLINK("http://www.twitter.com/NathanBLawrence/status/826115119402852353", "826115119402852353")</f>
        <v/>
      </c>
      <c r="B1614" s="2" t="n">
        <v>42765.71489583333</v>
      </c>
      <c r="C1614" t="n">
        <v>0</v>
      </c>
      <c r="D1614" t="n">
        <v>9484</v>
      </c>
      <c r="E1614" t="s">
        <v>1620</v>
      </c>
      <c r="F1614" t="s"/>
      <c r="G1614" t="s"/>
      <c r="H1614" t="s"/>
      <c r="I1614" t="s"/>
      <c r="J1614" t="n">
        <v>0.5983000000000001</v>
      </c>
      <c r="K1614" t="n">
        <v>0.08</v>
      </c>
      <c r="L1614" t="n">
        <v>0.6899999999999999</v>
      </c>
      <c r="M1614" t="n">
        <v>0.23</v>
      </c>
    </row>
    <row r="1615" spans="1:13">
      <c r="A1615" s="1">
        <f>HYPERLINK("http://www.twitter.com/NathanBLawrence/status/826114309797314560", "826114309797314560")</f>
        <v/>
      </c>
      <c r="B1615" s="2" t="n">
        <v>42765.71266203704</v>
      </c>
      <c r="C1615" t="n">
        <v>0</v>
      </c>
      <c r="D1615" t="n">
        <v>59</v>
      </c>
      <c r="E1615" t="s">
        <v>1621</v>
      </c>
      <c r="F1615">
        <f>HYPERLINK("http://pbs.twimg.com/media/C3XeLZqXAAAqvjT.jpg", "http://pbs.twimg.com/media/C3XeLZqXAAAqvjT.jpg")</f>
        <v/>
      </c>
      <c r="G1615" t="s"/>
      <c r="H1615" t="s"/>
      <c r="I1615" t="s"/>
      <c r="J1615" t="n">
        <v>0.8074</v>
      </c>
      <c r="K1615" t="n">
        <v>0</v>
      </c>
      <c r="L1615" t="n">
        <v>0.657</v>
      </c>
      <c r="M1615" t="n">
        <v>0.343</v>
      </c>
    </row>
    <row r="1616" spans="1:13">
      <c r="A1616" s="1">
        <f>HYPERLINK("http://www.twitter.com/NathanBLawrence/status/825815746148196352", "825815746148196352")</f>
        <v/>
      </c>
      <c r="B1616" s="2" t="n">
        <v>42764.88878472222</v>
      </c>
      <c r="C1616" t="n">
        <v>0</v>
      </c>
      <c r="D1616" t="n">
        <v>1353</v>
      </c>
      <c r="E1616" t="s">
        <v>1622</v>
      </c>
      <c r="F1616" t="s"/>
      <c r="G1616" t="s"/>
      <c r="H1616" t="s"/>
      <c r="I1616" t="s"/>
      <c r="J1616" t="n">
        <v>0</v>
      </c>
      <c r="K1616" t="n">
        <v>0</v>
      </c>
      <c r="L1616" t="n">
        <v>1</v>
      </c>
      <c r="M1616" t="n">
        <v>0</v>
      </c>
    </row>
    <row r="1617" spans="1:13">
      <c r="A1617" s="1">
        <f>HYPERLINK("http://www.twitter.com/NathanBLawrence/status/825808221235445760", "825808221235445760")</f>
        <v/>
      </c>
      <c r="B1617" s="2" t="n">
        <v>42764.86802083333</v>
      </c>
      <c r="C1617" t="n">
        <v>0</v>
      </c>
      <c r="D1617" t="n">
        <v>7405</v>
      </c>
      <c r="E1617" t="s">
        <v>1623</v>
      </c>
      <c r="F1617">
        <f>HYPERLINK("http://pbs.twimg.com/media/C3SFLe9WYAAUe2f.jpg", "http://pbs.twimg.com/media/C3SFLe9WYAAUe2f.jpg")</f>
        <v/>
      </c>
      <c r="G1617" t="s"/>
      <c r="H1617" t="s"/>
      <c r="I1617" t="s"/>
      <c r="J1617" t="n">
        <v>-0.7213000000000001</v>
      </c>
      <c r="K1617" t="n">
        <v>0.193</v>
      </c>
      <c r="L1617" t="n">
        <v>0.8070000000000001</v>
      </c>
      <c r="M1617" t="n">
        <v>0</v>
      </c>
    </row>
    <row r="1618" spans="1:13">
      <c r="A1618" s="1">
        <f>HYPERLINK("http://www.twitter.com/NathanBLawrence/status/825788533759688704", "825788533759688704")</f>
        <v/>
      </c>
      <c r="B1618" s="2" t="n">
        <v>42764.81369212963</v>
      </c>
      <c r="C1618" t="n">
        <v>0</v>
      </c>
      <c r="D1618" t="n">
        <v>6792</v>
      </c>
      <c r="E1618" t="s">
        <v>1624</v>
      </c>
      <c r="F1618">
        <f>HYPERLINK("https://video.twimg.com/amplify_video/825780321417297920/vid/1280x720/9ciBIRFynJH573dm.mp4", "https://video.twimg.com/amplify_video/825780321417297920/vid/1280x720/9ciBIRFynJH573dm.mp4")</f>
        <v/>
      </c>
      <c r="G1618" t="s"/>
      <c r="H1618" t="s"/>
      <c r="I1618" t="s"/>
      <c r="J1618" t="n">
        <v>-0.5106000000000001</v>
      </c>
      <c r="K1618" t="n">
        <v>0.221</v>
      </c>
      <c r="L1618" t="n">
        <v>0.676</v>
      </c>
      <c r="M1618" t="n">
        <v>0.103</v>
      </c>
    </row>
    <row r="1619" spans="1:13">
      <c r="A1619" s="1">
        <f>HYPERLINK("http://www.twitter.com/NathanBLawrence/status/825607415643115521", "825607415643115521")</f>
        <v/>
      </c>
      <c r="B1619" s="2" t="n">
        <v>42764.31390046296</v>
      </c>
      <c r="C1619" t="n">
        <v>0</v>
      </c>
      <c r="D1619" t="n">
        <v>83</v>
      </c>
      <c r="E1619" t="s">
        <v>1625</v>
      </c>
      <c r="F1619" t="s"/>
      <c r="G1619" t="s"/>
      <c r="H1619" t="s"/>
      <c r="I1619" t="s"/>
      <c r="J1619" t="n">
        <v>-0.3595</v>
      </c>
      <c r="K1619" t="n">
        <v>0.185</v>
      </c>
      <c r="L1619" t="n">
        <v>0.8149999999999999</v>
      </c>
      <c r="M1619" t="n">
        <v>0</v>
      </c>
    </row>
    <row r="1620" spans="1:13">
      <c r="A1620" s="1">
        <f>HYPERLINK("http://www.twitter.com/NathanBLawrence/status/825606982275104769", "825606982275104769")</f>
        <v/>
      </c>
      <c r="B1620" s="2" t="n">
        <v>42764.31270833333</v>
      </c>
      <c r="C1620" t="n">
        <v>0</v>
      </c>
      <c r="D1620" t="n">
        <v>985</v>
      </c>
      <c r="E1620" t="s">
        <v>1626</v>
      </c>
      <c r="F1620" t="s"/>
      <c r="G1620" t="s"/>
      <c r="H1620" t="s"/>
      <c r="I1620" t="s"/>
      <c r="J1620" t="n">
        <v>0.7776999999999999</v>
      </c>
      <c r="K1620" t="n">
        <v>0.077</v>
      </c>
      <c r="L1620" t="n">
        <v>0.61</v>
      </c>
      <c r="M1620" t="n">
        <v>0.313</v>
      </c>
    </row>
    <row r="1621" spans="1:13">
      <c r="A1621" s="1">
        <f>HYPERLINK("http://www.twitter.com/NathanBLawrence/status/825606372071002112", "825606372071002112")</f>
        <v/>
      </c>
      <c r="B1621" s="2" t="n">
        <v>42764.31101851852</v>
      </c>
      <c r="C1621" t="n">
        <v>0</v>
      </c>
      <c r="D1621" t="n">
        <v>639</v>
      </c>
      <c r="E1621" t="s">
        <v>1627</v>
      </c>
      <c r="F1621" t="s"/>
      <c r="G1621" t="s"/>
      <c r="H1621" t="s"/>
      <c r="I1621" t="s"/>
      <c r="J1621" t="n">
        <v>-0.8172</v>
      </c>
      <c r="K1621" t="n">
        <v>0.273</v>
      </c>
      <c r="L1621" t="n">
        <v>0.727</v>
      </c>
      <c r="M1621" t="n">
        <v>0</v>
      </c>
    </row>
    <row r="1622" spans="1:13">
      <c r="A1622" s="1">
        <f>HYPERLINK("http://www.twitter.com/NathanBLawrence/status/825555590898384900", "825555590898384900")</f>
        <v/>
      </c>
      <c r="B1622" s="2" t="n">
        <v>42764.17089120371</v>
      </c>
      <c r="C1622" t="n">
        <v>0</v>
      </c>
      <c r="D1622" t="n">
        <v>2067</v>
      </c>
      <c r="E1622" t="s">
        <v>1628</v>
      </c>
      <c r="F1622" t="s"/>
      <c r="G1622" t="s"/>
      <c r="H1622" t="s"/>
      <c r="I1622" t="s"/>
      <c r="J1622" t="n">
        <v>-0.4939</v>
      </c>
      <c r="K1622" t="n">
        <v>0.273</v>
      </c>
      <c r="L1622" t="n">
        <v>0.602</v>
      </c>
      <c r="M1622" t="n">
        <v>0.125</v>
      </c>
    </row>
    <row r="1623" spans="1:13">
      <c r="A1623" s="1">
        <f>HYPERLINK("http://www.twitter.com/NathanBLawrence/status/825551249714118656", "825551249714118656")</f>
        <v/>
      </c>
      <c r="B1623" s="2" t="n">
        <v>42764.15891203703</v>
      </c>
      <c r="C1623" t="n">
        <v>0</v>
      </c>
      <c r="D1623" t="n">
        <v>2089</v>
      </c>
      <c r="E1623" t="s">
        <v>1629</v>
      </c>
      <c r="F1623" t="s"/>
      <c r="G1623" t="s"/>
      <c r="H1623" t="s"/>
      <c r="I1623" t="s"/>
      <c r="J1623" t="n">
        <v>-0.4215</v>
      </c>
      <c r="K1623" t="n">
        <v>0.135</v>
      </c>
      <c r="L1623" t="n">
        <v>0.865</v>
      </c>
      <c r="M1623" t="n">
        <v>0</v>
      </c>
    </row>
    <row r="1624" spans="1:13">
      <c r="A1624" s="1">
        <f>HYPERLINK("http://www.twitter.com/NathanBLawrence/status/825539879949983745", "825539879949983745")</f>
        <v/>
      </c>
      <c r="B1624" s="2" t="n">
        <v>42764.12753472223</v>
      </c>
      <c r="C1624" t="n">
        <v>0</v>
      </c>
      <c r="D1624" t="n">
        <v>12995</v>
      </c>
      <c r="E1624" t="s">
        <v>1630</v>
      </c>
      <c r="F1624">
        <f>HYPERLINK("http://pbs.twimg.com/media/C3Rb_-YVMAAg8NA.jpg", "http://pbs.twimg.com/media/C3Rb_-YVMAAg8NA.jpg")</f>
        <v/>
      </c>
      <c r="G1624" t="s"/>
      <c r="H1624" t="s"/>
      <c r="I1624" t="s"/>
      <c r="J1624" t="n">
        <v>-0.4588</v>
      </c>
      <c r="K1624" t="n">
        <v>0.12</v>
      </c>
      <c r="L1624" t="n">
        <v>0.88</v>
      </c>
      <c r="M1624" t="n">
        <v>0</v>
      </c>
    </row>
    <row r="1625" spans="1:13">
      <c r="A1625" s="1">
        <f>HYPERLINK("http://www.twitter.com/NathanBLawrence/status/825395453084782596", "825395453084782596")</f>
        <v/>
      </c>
      <c r="B1625" s="2" t="n">
        <v>42763.72899305556</v>
      </c>
      <c r="C1625" t="n">
        <v>0</v>
      </c>
      <c r="D1625" t="n">
        <v>2367</v>
      </c>
      <c r="E1625" t="s">
        <v>1631</v>
      </c>
      <c r="F1625" t="s"/>
      <c r="G1625" t="s"/>
      <c r="H1625" t="s"/>
      <c r="I1625" t="s"/>
      <c r="J1625" t="n">
        <v>-0.6124000000000001</v>
      </c>
      <c r="K1625" t="n">
        <v>0.16</v>
      </c>
      <c r="L1625" t="n">
        <v>0.84</v>
      </c>
      <c r="M1625" t="n">
        <v>0</v>
      </c>
    </row>
    <row r="1626" spans="1:13">
      <c r="A1626" s="1">
        <f>HYPERLINK("http://www.twitter.com/NathanBLawrence/status/825177810729893888", "825177810729893888")</f>
        <v/>
      </c>
      <c r="B1626" s="2" t="n">
        <v>42763.12841435185</v>
      </c>
      <c r="C1626" t="n">
        <v>0</v>
      </c>
      <c r="D1626" t="n">
        <v>65</v>
      </c>
      <c r="E1626" t="s">
        <v>1632</v>
      </c>
      <c r="F1626">
        <f>HYPERLINK("https://video.twimg.com/ext_tw_video/825027640436387841/pu/vid/326x180/-c01t6vO11Lhu9Ff.mp4", "https://video.twimg.com/ext_tw_video/825027640436387841/pu/vid/326x180/-c01t6vO11Lhu9Ff.mp4")</f>
        <v/>
      </c>
      <c r="G1626" t="s"/>
      <c r="H1626" t="s"/>
      <c r="I1626" t="s"/>
      <c r="J1626" t="n">
        <v>0</v>
      </c>
      <c r="K1626" t="n">
        <v>0</v>
      </c>
      <c r="L1626" t="n">
        <v>1</v>
      </c>
      <c r="M1626" t="n">
        <v>0</v>
      </c>
    </row>
    <row r="1627" spans="1:13">
      <c r="A1627" s="1">
        <f>HYPERLINK("http://www.twitter.com/NathanBLawrence/status/825074086724382722", "825074086724382722")</f>
        <v/>
      </c>
      <c r="B1627" s="2" t="n">
        <v>42762.84219907408</v>
      </c>
      <c r="C1627" t="n">
        <v>0</v>
      </c>
      <c r="D1627" t="n">
        <v>46</v>
      </c>
      <c r="E1627" t="s">
        <v>1633</v>
      </c>
      <c r="F1627" t="s"/>
      <c r="G1627" t="s"/>
      <c r="H1627" t="s"/>
      <c r="I1627" t="s"/>
      <c r="J1627" t="n">
        <v>0</v>
      </c>
      <c r="K1627" t="n">
        <v>0</v>
      </c>
      <c r="L1627" t="n">
        <v>1</v>
      </c>
      <c r="M1627" t="n">
        <v>0</v>
      </c>
    </row>
    <row r="1628" spans="1:13">
      <c r="A1628" s="1">
        <f>HYPERLINK("http://www.twitter.com/NathanBLawrence/status/825043009880338434", "825043009880338434")</f>
        <v/>
      </c>
      <c r="B1628" s="2" t="n">
        <v>42762.75643518518</v>
      </c>
      <c r="C1628" t="n">
        <v>0</v>
      </c>
      <c r="D1628" t="n">
        <v>18</v>
      </c>
      <c r="E1628" t="s">
        <v>1634</v>
      </c>
      <c r="F1628" t="s"/>
      <c r="G1628" t="s"/>
      <c r="H1628" t="s"/>
      <c r="I1628" t="s"/>
      <c r="J1628" t="n">
        <v>0</v>
      </c>
      <c r="K1628" t="n">
        <v>0</v>
      </c>
      <c r="L1628" t="n">
        <v>1</v>
      </c>
      <c r="M1628" t="n">
        <v>0</v>
      </c>
    </row>
    <row r="1629" spans="1:13">
      <c r="A1629" s="1">
        <f>HYPERLINK("http://www.twitter.com/NathanBLawrence/status/825040605260685316", "825040605260685316")</f>
        <v/>
      </c>
      <c r="B1629" s="2" t="n">
        <v>42762.74980324074</v>
      </c>
      <c r="C1629" t="n">
        <v>0</v>
      </c>
      <c r="D1629" t="n">
        <v>631</v>
      </c>
      <c r="E1629" t="s">
        <v>1635</v>
      </c>
      <c r="F1629">
        <f>HYPERLINK("http://pbs.twimg.com/media/C3KmEr5UkAEV-p1.jpg", "http://pbs.twimg.com/media/C3KmEr5UkAEV-p1.jpg")</f>
        <v/>
      </c>
      <c r="G1629" t="s"/>
      <c r="H1629" t="s"/>
      <c r="I1629" t="s"/>
      <c r="J1629" t="n">
        <v>-0.6597</v>
      </c>
      <c r="K1629" t="n">
        <v>0.155</v>
      </c>
      <c r="L1629" t="n">
        <v>0.845</v>
      </c>
      <c r="M1629" t="n">
        <v>0</v>
      </c>
    </row>
    <row r="1630" spans="1:13">
      <c r="A1630" s="1">
        <f>HYPERLINK("http://www.twitter.com/NathanBLawrence/status/824850173687762944", "824850173687762944")</f>
        <v/>
      </c>
      <c r="B1630" s="2" t="n">
        <v>42762.22431712963</v>
      </c>
      <c r="C1630" t="n">
        <v>0</v>
      </c>
      <c r="D1630" t="n">
        <v>297</v>
      </c>
      <c r="E1630" t="s">
        <v>1636</v>
      </c>
      <c r="F1630" t="s"/>
      <c r="G1630" t="s"/>
      <c r="H1630" t="s"/>
      <c r="I1630" t="s"/>
      <c r="J1630" t="n">
        <v>0</v>
      </c>
      <c r="K1630" t="n">
        <v>0</v>
      </c>
      <c r="L1630" t="n">
        <v>1</v>
      </c>
      <c r="M1630" t="n">
        <v>0</v>
      </c>
    </row>
    <row r="1631" spans="1:13">
      <c r="A1631" s="1">
        <f>HYPERLINK("http://www.twitter.com/NathanBLawrence/status/824841056579563521", "824841056579563521")</f>
        <v/>
      </c>
      <c r="B1631" s="2" t="n">
        <v>42762.1991550926</v>
      </c>
      <c r="C1631" t="n">
        <v>0</v>
      </c>
      <c r="D1631" t="n">
        <v>1184</v>
      </c>
      <c r="E1631" t="s">
        <v>1637</v>
      </c>
      <c r="F1631" t="s"/>
      <c r="G1631" t="s"/>
      <c r="H1631" t="s"/>
      <c r="I1631" t="s"/>
      <c r="J1631" t="n">
        <v>-0.34</v>
      </c>
      <c r="K1631" t="n">
        <v>0.194</v>
      </c>
      <c r="L1631" t="n">
        <v>0.806</v>
      </c>
      <c r="M1631" t="n">
        <v>0</v>
      </c>
    </row>
    <row r="1632" spans="1:13">
      <c r="A1632" s="1">
        <f>HYPERLINK("http://www.twitter.com/NathanBLawrence/status/824817079400407040", "824817079400407040")</f>
        <v/>
      </c>
      <c r="B1632" s="2" t="n">
        <v>42762.13298611111</v>
      </c>
      <c r="C1632" t="n">
        <v>0</v>
      </c>
      <c r="D1632" t="n">
        <v>387</v>
      </c>
      <c r="E1632" t="s">
        <v>1638</v>
      </c>
      <c r="F1632">
        <f>HYPERLINK("http://pbs.twimg.com/media/C3IzvBJWMAExnTx.jpg", "http://pbs.twimg.com/media/C3IzvBJWMAExnTx.jpg")</f>
        <v/>
      </c>
      <c r="G1632" t="s"/>
      <c r="H1632" t="s"/>
      <c r="I1632" t="s"/>
      <c r="J1632" t="n">
        <v>0.6369</v>
      </c>
      <c r="K1632" t="n">
        <v>0</v>
      </c>
      <c r="L1632" t="n">
        <v>0.802</v>
      </c>
      <c r="M1632" t="n">
        <v>0.198</v>
      </c>
    </row>
    <row r="1633" spans="1:13">
      <c r="A1633" s="1">
        <f>HYPERLINK("http://www.twitter.com/NathanBLawrence/status/824471971538857984", "824471971538857984")</f>
        <v/>
      </c>
      <c r="B1633" s="2" t="n">
        <v>42761.18067129629</v>
      </c>
      <c r="C1633" t="n">
        <v>0</v>
      </c>
      <c r="D1633" t="n">
        <v>3040</v>
      </c>
      <c r="E1633" t="s">
        <v>1639</v>
      </c>
      <c r="F1633" t="s"/>
      <c r="G1633" t="s"/>
      <c r="H1633" t="s"/>
      <c r="I1633" t="s"/>
      <c r="J1633" t="n">
        <v>0.3612</v>
      </c>
      <c r="K1633" t="n">
        <v>0</v>
      </c>
      <c r="L1633" t="n">
        <v>0.889</v>
      </c>
      <c r="M1633" t="n">
        <v>0.111</v>
      </c>
    </row>
    <row r="1634" spans="1:13">
      <c r="A1634" s="1">
        <f>HYPERLINK("http://www.twitter.com/NathanBLawrence/status/824468187597197312", "824468187597197312")</f>
        <v/>
      </c>
      <c r="B1634" s="2" t="n">
        <v>42761.17023148148</v>
      </c>
      <c r="C1634" t="n">
        <v>0</v>
      </c>
      <c r="D1634" t="n">
        <v>1730</v>
      </c>
      <c r="E1634" t="s">
        <v>1640</v>
      </c>
      <c r="F1634">
        <f>HYPERLINK("http://pbs.twimg.com/media/C3ET6DoWgAEtTd4.jpg", "http://pbs.twimg.com/media/C3ET6DoWgAEtTd4.jpg")</f>
        <v/>
      </c>
      <c r="G1634" t="s"/>
      <c r="H1634" t="s"/>
      <c r="I1634" t="s"/>
      <c r="J1634" t="n">
        <v>0</v>
      </c>
      <c r="K1634" t="n">
        <v>0</v>
      </c>
      <c r="L1634" t="n">
        <v>1</v>
      </c>
      <c r="M1634" t="n">
        <v>0</v>
      </c>
    </row>
    <row r="1635" spans="1:13">
      <c r="A1635" s="1">
        <f>HYPERLINK("http://www.twitter.com/NathanBLawrence/status/824412695223042048", "824412695223042048")</f>
        <v/>
      </c>
      <c r="B1635" s="2" t="n">
        <v>42761.01710648148</v>
      </c>
      <c r="C1635" t="n">
        <v>0</v>
      </c>
      <c r="D1635" t="n">
        <v>1338</v>
      </c>
      <c r="E1635" t="s">
        <v>1641</v>
      </c>
      <c r="F1635" t="s"/>
      <c r="G1635" t="s"/>
      <c r="H1635" t="s"/>
      <c r="I1635" t="s"/>
      <c r="J1635" t="n">
        <v>0.8225</v>
      </c>
      <c r="K1635" t="n">
        <v>0</v>
      </c>
      <c r="L1635" t="n">
        <v>0.6909999999999999</v>
      </c>
      <c r="M1635" t="n">
        <v>0.309</v>
      </c>
    </row>
    <row r="1636" spans="1:13">
      <c r="A1636" s="1">
        <f>HYPERLINK("http://www.twitter.com/NathanBLawrence/status/824349343222267904", "824349343222267904")</f>
        <v/>
      </c>
      <c r="B1636" s="2" t="n">
        <v>42760.84228009259</v>
      </c>
      <c r="C1636" t="n">
        <v>0</v>
      </c>
      <c r="D1636" t="n">
        <v>237</v>
      </c>
      <c r="E1636" t="s">
        <v>1642</v>
      </c>
      <c r="F1636">
        <f>HYPERLINK("http://pbs.twimg.com/media/C3CpRG9XUAAKF4e.jpg", "http://pbs.twimg.com/media/C3CpRG9XUAAKF4e.jpg")</f>
        <v/>
      </c>
      <c r="G1636" t="s"/>
      <c r="H1636" t="s"/>
      <c r="I1636" t="s"/>
      <c r="J1636" t="n">
        <v>0.34</v>
      </c>
      <c r="K1636" t="n">
        <v>0</v>
      </c>
      <c r="L1636" t="n">
        <v>0.897</v>
      </c>
      <c r="M1636" t="n">
        <v>0.103</v>
      </c>
    </row>
    <row r="1637" spans="1:13">
      <c r="A1637" s="1">
        <f>HYPERLINK("http://www.twitter.com/NathanBLawrence/status/824339222765142016", "824339222765142016")</f>
        <v/>
      </c>
      <c r="B1637" s="2" t="n">
        <v>42760.81435185186</v>
      </c>
      <c r="C1637" t="n">
        <v>0</v>
      </c>
      <c r="D1637" t="n">
        <v>362</v>
      </c>
      <c r="E1637" t="s">
        <v>1643</v>
      </c>
      <c r="F1637" t="s"/>
      <c r="G1637" t="s"/>
      <c r="H1637" t="s"/>
      <c r="I1637" t="s"/>
      <c r="J1637" t="n">
        <v>-0.1862</v>
      </c>
      <c r="K1637" t="n">
        <v>0.109</v>
      </c>
      <c r="L1637" t="n">
        <v>0.8159999999999999</v>
      </c>
      <c r="M1637" t="n">
        <v>0.076</v>
      </c>
    </row>
    <row r="1638" spans="1:13">
      <c r="A1638" s="1">
        <f>HYPERLINK("http://www.twitter.com/NathanBLawrence/status/824334426784092160", "824334426784092160")</f>
        <v/>
      </c>
      <c r="B1638" s="2" t="n">
        <v>42760.80112268519</v>
      </c>
      <c r="C1638" t="n">
        <v>0</v>
      </c>
      <c r="D1638" t="n">
        <v>1307</v>
      </c>
      <c r="E1638" t="s">
        <v>1644</v>
      </c>
      <c r="F1638" t="s"/>
      <c r="G1638" t="s"/>
      <c r="H1638" t="s"/>
      <c r="I1638" t="s"/>
      <c r="J1638" t="n">
        <v>0.555</v>
      </c>
      <c r="K1638" t="n">
        <v>0</v>
      </c>
      <c r="L1638" t="n">
        <v>0.777</v>
      </c>
      <c r="M1638" t="n">
        <v>0.223</v>
      </c>
    </row>
    <row r="1639" spans="1:13">
      <c r="A1639" s="1">
        <f>HYPERLINK("http://www.twitter.com/NathanBLawrence/status/824320615423344640", "824320615423344640")</f>
        <v/>
      </c>
      <c r="B1639" s="2" t="n">
        <v>42760.76300925926</v>
      </c>
      <c r="C1639" t="n">
        <v>0</v>
      </c>
      <c r="D1639" t="n">
        <v>405</v>
      </c>
      <c r="E1639" t="s">
        <v>1645</v>
      </c>
      <c r="F1639">
        <f>HYPERLINK("http://pbs.twimg.com/media/C3BCH8qXAAMxZUL.jpg", "http://pbs.twimg.com/media/C3BCH8qXAAMxZUL.jpg")</f>
        <v/>
      </c>
      <c r="G1639" t="s"/>
      <c r="H1639" t="s"/>
      <c r="I1639" t="s"/>
      <c r="J1639" t="n">
        <v>0</v>
      </c>
      <c r="K1639" t="n">
        <v>0</v>
      </c>
      <c r="L1639" t="n">
        <v>1</v>
      </c>
      <c r="M1639" t="n">
        <v>0</v>
      </c>
    </row>
    <row r="1640" spans="1:13">
      <c r="A1640" s="1">
        <f>HYPERLINK("http://www.twitter.com/NathanBLawrence/status/824047194890207233", "824047194890207233")</f>
        <v/>
      </c>
      <c r="B1640" s="2" t="n">
        <v>42760.00850694445</v>
      </c>
      <c r="C1640" t="n">
        <v>0</v>
      </c>
      <c r="D1640" t="n">
        <v>435</v>
      </c>
      <c r="E1640" t="s">
        <v>1646</v>
      </c>
      <c r="F1640" t="s"/>
      <c r="G1640" t="s"/>
      <c r="H1640" t="s"/>
      <c r="I1640" t="s"/>
      <c r="J1640" t="n">
        <v>-0.0762</v>
      </c>
      <c r="K1640" t="n">
        <v>0.061</v>
      </c>
      <c r="L1640" t="n">
        <v>0.9389999999999999</v>
      </c>
      <c r="M1640" t="n">
        <v>0</v>
      </c>
    </row>
    <row r="1641" spans="1:13">
      <c r="A1641" s="1">
        <f>HYPERLINK("http://www.twitter.com/NathanBLawrence/status/823975085916782592", "823975085916782592")</f>
        <v/>
      </c>
      <c r="B1641" s="2" t="n">
        <v>42759.80952546297</v>
      </c>
      <c r="C1641" t="n">
        <v>0</v>
      </c>
      <c r="D1641" t="n">
        <v>5260</v>
      </c>
      <c r="E1641" t="s">
        <v>1647</v>
      </c>
      <c r="F1641">
        <f>HYPERLINK("http://pbs.twimg.com/media/C29Wo14W8AUDper.jpg", "http://pbs.twimg.com/media/C29Wo14W8AUDper.jpg")</f>
        <v/>
      </c>
      <c r="G1641" t="s"/>
      <c r="H1641" t="s"/>
      <c r="I1641" t="s"/>
      <c r="J1641" t="n">
        <v>0.5719</v>
      </c>
      <c r="K1641" t="n">
        <v>0</v>
      </c>
      <c r="L1641" t="n">
        <v>0.829</v>
      </c>
      <c r="M1641" t="n">
        <v>0.171</v>
      </c>
    </row>
    <row r="1642" spans="1:13">
      <c r="A1642" s="1">
        <f>HYPERLINK("http://www.twitter.com/NathanBLawrence/status/823958070610907136", "823958070610907136")</f>
        <v/>
      </c>
      <c r="B1642" s="2" t="n">
        <v>42759.76258101852</v>
      </c>
      <c r="C1642" t="n">
        <v>0</v>
      </c>
      <c r="D1642" t="n">
        <v>26</v>
      </c>
      <c r="E1642" t="s">
        <v>1648</v>
      </c>
      <c r="F1642" t="s"/>
      <c r="G1642" t="s"/>
      <c r="H1642" t="s"/>
      <c r="I1642" t="s"/>
      <c r="J1642" t="n">
        <v>0</v>
      </c>
      <c r="K1642" t="n">
        <v>0</v>
      </c>
      <c r="L1642" t="n">
        <v>1</v>
      </c>
      <c r="M1642" t="n">
        <v>0</v>
      </c>
    </row>
    <row r="1643" spans="1:13">
      <c r="A1643" s="1">
        <f>HYPERLINK("http://www.twitter.com/NathanBLawrence/status/823633975931441152", "823633975931441152")</f>
        <v/>
      </c>
      <c r="B1643" s="2" t="n">
        <v>42758.86824074074</v>
      </c>
      <c r="C1643" t="n">
        <v>0</v>
      </c>
      <c r="D1643" t="n">
        <v>1283</v>
      </c>
      <c r="E1643" t="s">
        <v>1649</v>
      </c>
      <c r="F1643">
        <f>HYPERLINK("http://pbs.twimg.com/media/C230pQ7UkAAO1Lw.jpg", "http://pbs.twimg.com/media/C230pQ7UkAAO1Lw.jpg")</f>
        <v/>
      </c>
      <c r="G1643" t="s"/>
      <c r="H1643" t="s"/>
      <c r="I1643" t="s"/>
      <c r="J1643" t="n">
        <v>0</v>
      </c>
      <c r="K1643" t="n">
        <v>0</v>
      </c>
      <c r="L1643" t="n">
        <v>1</v>
      </c>
      <c r="M1643" t="n">
        <v>0</v>
      </c>
    </row>
    <row r="1644" spans="1:13">
      <c r="A1644" s="1">
        <f>HYPERLINK("http://www.twitter.com/NathanBLawrence/status/823611668890525696", "823611668890525696")</f>
        <v/>
      </c>
      <c r="B1644" s="2" t="n">
        <v>42758.80668981482</v>
      </c>
      <c r="C1644" t="n">
        <v>0</v>
      </c>
      <c r="D1644" t="n">
        <v>402</v>
      </c>
      <c r="E1644" t="s">
        <v>1650</v>
      </c>
      <c r="F1644">
        <f>HYPERLINK("http://pbs.twimg.com/media/C24N3z0UsAAk4Fk.jpg", "http://pbs.twimg.com/media/C24N3z0UsAAk4Fk.jpg")</f>
        <v/>
      </c>
      <c r="G1644" t="s"/>
      <c r="H1644" t="s"/>
      <c r="I1644" t="s"/>
      <c r="J1644" t="n">
        <v>0</v>
      </c>
      <c r="K1644" t="n">
        <v>0</v>
      </c>
      <c r="L1644" t="n">
        <v>1</v>
      </c>
      <c r="M1644" t="n">
        <v>0</v>
      </c>
    </row>
    <row r="1645" spans="1:13">
      <c r="A1645" s="1">
        <f>HYPERLINK("http://www.twitter.com/NathanBLawrence/status/823611314685771779", "823611314685771779")</f>
        <v/>
      </c>
      <c r="B1645" s="2" t="n">
        <v>42758.80571759259</v>
      </c>
      <c r="C1645" t="n">
        <v>0</v>
      </c>
      <c r="D1645" t="n">
        <v>534</v>
      </c>
      <c r="E1645" t="s">
        <v>1651</v>
      </c>
      <c r="F1645" t="s"/>
      <c r="G1645" t="s"/>
      <c r="H1645" t="s"/>
      <c r="I1645" t="s"/>
      <c r="J1645" t="n">
        <v>0.3818</v>
      </c>
      <c r="K1645" t="n">
        <v>0</v>
      </c>
      <c r="L1645" t="n">
        <v>0.898</v>
      </c>
      <c r="M1645" t="n">
        <v>0.102</v>
      </c>
    </row>
    <row r="1646" spans="1:13">
      <c r="A1646" s="1">
        <f>HYPERLINK("http://www.twitter.com/NathanBLawrence/status/823309413830246401", "823309413830246401")</f>
        <v/>
      </c>
      <c r="B1646" s="2" t="n">
        <v>42757.97262731481</v>
      </c>
      <c r="C1646" t="n">
        <v>0</v>
      </c>
      <c r="D1646" t="n">
        <v>192</v>
      </c>
      <c r="E1646" t="s">
        <v>1652</v>
      </c>
      <c r="F1646">
        <f>HYPERLINK("http://pbs.twimg.com/media/C2vkyVAUAAAU2Zb.jpg", "http://pbs.twimg.com/media/C2vkyVAUAAAU2Zb.jpg")</f>
        <v/>
      </c>
      <c r="G1646" t="s"/>
      <c r="H1646" t="s"/>
      <c r="I1646" t="s"/>
      <c r="J1646" t="n">
        <v>0</v>
      </c>
      <c r="K1646" t="n">
        <v>0</v>
      </c>
      <c r="L1646" t="n">
        <v>1</v>
      </c>
      <c r="M1646" t="n">
        <v>0</v>
      </c>
    </row>
    <row r="1647" spans="1:13">
      <c r="A1647" s="1">
        <f>HYPERLINK("http://www.twitter.com/NathanBLawrence/status/823309004499775492", "823309004499775492")</f>
        <v/>
      </c>
      <c r="B1647" s="2" t="n">
        <v>42757.97149305556</v>
      </c>
      <c r="C1647" t="n">
        <v>0</v>
      </c>
      <c r="D1647" t="n">
        <v>289</v>
      </c>
      <c r="E1647" t="s">
        <v>1653</v>
      </c>
      <c r="F1647">
        <f>HYPERLINK("http://pbs.twimg.com/media/C2vULRsWQAcbpTR.jpg", "http://pbs.twimg.com/media/C2vULRsWQAcbpTR.jpg")</f>
        <v/>
      </c>
      <c r="G1647" t="s"/>
      <c r="H1647" t="s"/>
      <c r="I1647" t="s"/>
      <c r="J1647" t="n">
        <v>0</v>
      </c>
      <c r="K1647" t="n">
        <v>0</v>
      </c>
      <c r="L1647" t="n">
        <v>1</v>
      </c>
      <c r="M1647" t="n">
        <v>0</v>
      </c>
    </row>
    <row r="1648" spans="1:13">
      <c r="A1648" s="1">
        <f>HYPERLINK("http://www.twitter.com/NathanBLawrence/status/823251482363445249", "823251482363445249")</f>
        <v/>
      </c>
      <c r="B1648" s="2" t="n">
        <v>42757.8127662037</v>
      </c>
      <c r="C1648" t="n">
        <v>0</v>
      </c>
      <c r="D1648" t="n">
        <v>765</v>
      </c>
      <c r="E1648" t="s">
        <v>1654</v>
      </c>
      <c r="F1648">
        <f>HYPERLINK("http://pbs.twimg.com/media/C2zB4tJUAAAFtGi.jpg", "http://pbs.twimg.com/media/C2zB4tJUAAAFtGi.jpg")</f>
        <v/>
      </c>
      <c r="G1648" t="s"/>
      <c r="H1648" t="s"/>
      <c r="I1648" t="s"/>
      <c r="J1648" t="n">
        <v>0.0516</v>
      </c>
      <c r="K1648" t="n">
        <v>0.152</v>
      </c>
      <c r="L1648" t="n">
        <v>0.6899999999999999</v>
      </c>
      <c r="M1648" t="n">
        <v>0.159</v>
      </c>
    </row>
    <row r="1649" spans="1:13">
      <c r="A1649" s="1">
        <f>HYPERLINK("http://www.twitter.com/NathanBLawrence/status/823250464242274310", "823250464242274310")</f>
        <v/>
      </c>
      <c r="B1649" s="2" t="n">
        <v>42757.80995370371</v>
      </c>
      <c r="C1649" t="n">
        <v>0</v>
      </c>
      <c r="D1649" t="n">
        <v>2379</v>
      </c>
      <c r="E1649" t="s">
        <v>1655</v>
      </c>
      <c r="F1649">
        <f>HYPERLINK("https://video.twimg.com/ext_tw_video/822974883969630208/pu/vid/318x180/ysIB8B0krAy4rhVi.mp4", "https://video.twimg.com/ext_tw_video/822974883969630208/pu/vid/318x180/ysIB8B0krAy4rhVi.mp4")</f>
        <v/>
      </c>
      <c r="G1649" t="s"/>
      <c r="H1649" t="s"/>
      <c r="I1649" t="s"/>
      <c r="J1649" t="n">
        <v>0</v>
      </c>
      <c r="K1649" t="n">
        <v>0</v>
      </c>
      <c r="L1649" t="n">
        <v>1</v>
      </c>
      <c r="M1649" t="n">
        <v>0</v>
      </c>
    </row>
    <row r="1650" spans="1:13">
      <c r="A1650" s="1">
        <f>HYPERLINK("http://www.twitter.com/NathanBLawrence/status/823250372311465985", "823250372311465985")</f>
        <v/>
      </c>
      <c r="B1650" s="2" t="n">
        <v>42757.80969907407</v>
      </c>
      <c r="C1650" t="n">
        <v>0</v>
      </c>
      <c r="D1650" t="n">
        <v>1088</v>
      </c>
      <c r="E1650" t="s">
        <v>1656</v>
      </c>
      <c r="F1650">
        <f>HYPERLINK("http://pbs.twimg.com/media/C2zBDvWVEAAB6ZG.jpg", "http://pbs.twimg.com/media/C2zBDvWVEAAB6ZG.jpg")</f>
        <v/>
      </c>
      <c r="G1650" t="s"/>
      <c r="H1650" t="s"/>
      <c r="I1650" t="s"/>
      <c r="J1650" t="n">
        <v>-0.8647</v>
      </c>
      <c r="K1650" t="n">
        <v>0.372</v>
      </c>
      <c r="L1650" t="n">
        <v>0.628</v>
      </c>
      <c r="M1650" t="n">
        <v>0</v>
      </c>
    </row>
    <row r="1651" spans="1:13">
      <c r="A1651" s="1">
        <f>HYPERLINK("http://www.twitter.com/NathanBLawrence/status/823242818323906564", "823242818323906564")</f>
        <v/>
      </c>
      <c r="B1651" s="2" t="n">
        <v>42757.78885416667</v>
      </c>
      <c r="C1651" t="n">
        <v>0</v>
      </c>
      <c r="D1651" t="n">
        <v>318</v>
      </c>
      <c r="E1651" t="s">
        <v>1657</v>
      </c>
      <c r="F1651" t="s"/>
      <c r="G1651" t="s"/>
      <c r="H1651" t="s"/>
      <c r="I1651" t="s"/>
      <c r="J1651" t="n">
        <v>0</v>
      </c>
      <c r="K1651" t="n">
        <v>0</v>
      </c>
      <c r="L1651" t="n">
        <v>1</v>
      </c>
      <c r="M1651" t="n">
        <v>0</v>
      </c>
    </row>
    <row r="1652" spans="1:13">
      <c r="A1652" s="1">
        <f>HYPERLINK("http://www.twitter.com/NathanBLawrence/status/823219049471606784", "823219049471606784")</f>
        <v/>
      </c>
      <c r="B1652" s="2" t="n">
        <v>42757.72326388889</v>
      </c>
      <c r="C1652" t="n">
        <v>0</v>
      </c>
      <c r="D1652" t="n">
        <v>5025</v>
      </c>
      <c r="E1652" t="s">
        <v>1658</v>
      </c>
      <c r="F1652">
        <f>HYPERLINK("https://video.twimg.com/amplify_video/822985825210265601/vid/640x360/ZCCGwR1XVLA_5f0J.mp4", "https://video.twimg.com/amplify_video/822985825210265601/vid/640x360/ZCCGwR1XVLA_5f0J.mp4")</f>
        <v/>
      </c>
      <c r="G1652" t="s"/>
      <c r="H1652" t="s"/>
      <c r="I1652" t="s"/>
      <c r="J1652" t="n">
        <v>-0.34</v>
      </c>
      <c r="K1652" t="n">
        <v>0.146</v>
      </c>
      <c r="L1652" t="n">
        <v>0.854</v>
      </c>
      <c r="M1652" t="n">
        <v>0</v>
      </c>
    </row>
    <row r="1653" spans="1:13">
      <c r="A1653" s="1">
        <f>HYPERLINK("http://www.twitter.com/NathanBLawrence/status/823218835046199297", "823218835046199297")</f>
        <v/>
      </c>
      <c r="B1653" s="2" t="n">
        <v>42757.72267361111</v>
      </c>
      <c r="C1653" t="n">
        <v>1</v>
      </c>
      <c r="D1653" t="n">
        <v>0</v>
      </c>
      <c r="E1653" t="s">
        <v>1659</v>
      </c>
      <c r="F1653" t="s"/>
      <c r="G1653" t="s"/>
      <c r="H1653" t="s"/>
      <c r="I1653" t="s"/>
      <c r="J1653" t="n">
        <v>0.1901</v>
      </c>
      <c r="K1653" t="n">
        <v>0</v>
      </c>
      <c r="L1653" t="n">
        <v>0.92</v>
      </c>
      <c r="M1653" t="n">
        <v>0.08</v>
      </c>
    </row>
    <row r="1654" spans="1:13">
      <c r="A1654" s="1">
        <f>HYPERLINK("http://www.twitter.com/NathanBLawrence/status/823010868485091328", "823010868485091328")</f>
        <v/>
      </c>
      <c r="B1654" s="2" t="n">
        <v>42757.14879629629</v>
      </c>
      <c r="C1654" t="n">
        <v>0</v>
      </c>
      <c r="D1654" t="n">
        <v>810</v>
      </c>
      <c r="E1654" t="s">
        <v>1660</v>
      </c>
      <c r="F1654">
        <f>HYPERLINK("http://pbs.twimg.com/media/C2u_e5kXAAAqNCb.jpg", "http://pbs.twimg.com/media/C2u_e5kXAAAqNCb.jpg")</f>
        <v/>
      </c>
      <c r="G1654" t="s"/>
      <c r="H1654" t="s"/>
      <c r="I1654" t="s"/>
      <c r="J1654" t="n">
        <v>0</v>
      </c>
      <c r="K1654" t="n">
        <v>0</v>
      </c>
      <c r="L1654" t="n">
        <v>1</v>
      </c>
      <c r="M1654" t="n">
        <v>0</v>
      </c>
    </row>
    <row r="1655" spans="1:13">
      <c r="A1655" s="1">
        <f>HYPERLINK("http://www.twitter.com/NathanBLawrence/status/822932193529958401", "822932193529958401")</f>
        <v/>
      </c>
      <c r="B1655" s="2" t="n">
        <v>42756.93168981482</v>
      </c>
      <c r="C1655" t="n">
        <v>0</v>
      </c>
      <c r="D1655" t="n">
        <v>45</v>
      </c>
      <c r="E1655" t="s">
        <v>1661</v>
      </c>
      <c r="F1655" t="s"/>
      <c r="G1655" t="s"/>
      <c r="H1655" t="s"/>
      <c r="I1655" t="s"/>
      <c r="J1655" t="n">
        <v>-0.5719</v>
      </c>
      <c r="K1655" t="n">
        <v>0.144</v>
      </c>
      <c r="L1655" t="n">
        <v>0.856</v>
      </c>
      <c r="M1655" t="n">
        <v>0</v>
      </c>
    </row>
    <row r="1656" spans="1:13">
      <c r="A1656" s="1">
        <f>HYPERLINK("http://www.twitter.com/NathanBLawrence/status/822927879323418628", "822927879323418628")</f>
        <v/>
      </c>
      <c r="B1656" s="2" t="n">
        <v>42756.91979166667</v>
      </c>
      <c r="C1656" t="n">
        <v>0</v>
      </c>
      <c r="D1656" t="n">
        <v>38569</v>
      </c>
      <c r="E1656" t="s">
        <v>1662</v>
      </c>
      <c r="F1656">
        <f>HYPERLINK("http://pbs.twimg.com/media/C2nK43dUAAAVTqO.jpg", "http://pbs.twimg.com/media/C2nK43dUAAAVTqO.jpg")</f>
        <v/>
      </c>
      <c r="G1656">
        <f>HYPERLINK("http://pbs.twimg.com/media/C2nK43lUsAEALoI.jpg", "http://pbs.twimg.com/media/C2nK43lUsAEALoI.jpg")</f>
        <v/>
      </c>
      <c r="H1656" t="s"/>
      <c r="I1656" t="s"/>
      <c r="J1656" t="n">
        <v>-0.1531</v>
      </c>
      <c r="K1656" t="n">
        <v>0.068</v>
      </c>
      <c r="L1656" t="n">
        <v>0.9320000000000001</v>
      </c>
      <c r="M1656" t="n">
        <v>0</v>
      </c>
    </row>
    <row r="1657" spans="1:13">
      <c r="A1657" s="1">
        <f>HYPERLINK("http://www.twitter.com/NathanBLawrence/status/822681028951232512", "822681028951232512")</f>
        <v/>
      </c>
      <c r="B1657" s="2" t="n">
        <v>42756.23861111111</v>
      </c>
      <c r="C1657" t="n">
        <v>0</v>
      </c>
      <c r="D1657" t="n">
        <v>11652</v>
      </c>
      <c r="E1657" t="s">
        <v>1663</v>
      </c>
      <c r="F1657">
        <f>HYPERLINK("http://pbs.twimg.com/media/C2q3pUJUUAAvccv.jpg", "http://pbs.twimg.com/media/C2q3pUJUUAAvccv.jpg")</f>
        <v/>
      </c>
      <c r="G1657" t="s"/>
      <c r="H1657" t="s"/>
      <c r="I1657" t="s"/>
      <c r="J1657" t="n">
        <v>0.8376</v>
      </c>
      <c r="K1657" t="n">
        <v>0.124</v>
      </c>
      <c r="L1657" t="n">
        <v>0.502</v>
      </c>
      <c r="M1657" t="n">
        <v>0.374</v>
      </c>
    </row>
    <row r="1658" spans="1:13">
      <c r="A1658" s="1">
        <f>HYPERLINK("http://www.twitter.com/NathanBLawrence/status/822663875149594625", "822663875149594625")</f>
        <v/>
      </c>
      <c r="B1658" s="2" t="n">
        <v>42756.19127314815</v>
      </c>
      <c r="C1658" t="n">
        <v>0</v>
      </c>
      <c r="D1658" t="n">
        <v>1412</v>
      </c>
      <c r="E1658" t="s">
        <v>1664</v>
      </c>
      <c r="F1658">
        <f>HYPERLINK("http://pbs.twimg.com/media/C2qH3DBXcAUMOpd.jpg", "http://pbs.twimg.com/media/C2qH3DBXcAUMOpd.jpg")</f>
        <v/>
      </c>
      <c r="G1658" t="s"/>
      <c r="H1658" t="s"/>
      <c r="I1658" t="s"/>
      <c r="J1658" t="n">
        <v>0.7184</v>
      </c>
      <c r="K1658" t="n">
        <v>0</v>
      </c>
      <c r="L1658" t="n">
        <v>0.7</v>
      </c>
      <c r="M1658" t="n">
        <v>0.3</v>
      </c>
    </row>
    <row r="1659" spans="1:13">
      <c r="A1659" s="1">
        <f>HYPERLINK("http://www.twitter.com/NathanBLawrence/status/822557863671463938", "822557863671463938")</f>
        <v/>
      </c>
      <c r="B1659" s="2" t="n">
        <v>42755.89873842592</v>
      </c>
      <c r="C1659" t="n">
        <v>0</v>
      </c>
      <c r="D1659" t="n">
        <v>713</v>
      </c>
      <c r="E1659" t="s">
        <v>1665</v>
      </c>
      <c r="F1659" t="s"/>
      <c r="G1659" t="s"/>
      <c r="H1659" t="s"/>
      <c r="I1659" t="s"/>
      <c r="J1659" t="n">
        <v>-0.5577</v>
      </c>
      <c r="K1659" t="n">
        <v>0.268</v>
      </c>
      <c r="L1659" t="n">
        <v>0.61</v>
      </c>
      <c r="M1659" t="n">
        <v>0.122</v>
      </c>
    </row>
    <row r="1660" spans="1:13">
      <c r="A1660" s="1">
        <f>HYPERLINK("http://www.twitter.com/NathanBLawrence/status/822535935745265664", "822535935745265664")</f>
        <v/>
      </c>
      <c r="B1660" s="2" t="n">
        <v>42755.83822916666</v>
      </c>
      <c r="C1660" t="n">
        <v>0</v>
      </c>
      <c r="D1660" t="n">
        <v>368</v>
      </c>
      <c r="E1660" t="s">
        <v>1666</v>
      </c>
      <c r="F1660" t="s"/>
      <c r="G1660" t="s"/>
      <c r="H1660" t="s"/>
      <c r="I1660" t="s"/>
      <c r="J1660" t="n">
        <v>-0.5106000000000001</v>
      </c>
      <c r="K1660" t="n">
        <v>0.17</v>
      </c>
      <c r="L1660" t="n">
        <v>0.83</v>
      </c>
      <c r="M1660" t="n">
        <v>0</v>
      </c>
    </row>
    <row r="1661" spans="1:13">
      <c r="A1661" s="1">
        <f>HYPERLINK("http://www.twitter.com/NathanBLawrence/status/822531655592251393", "822531655592251393")</f>
        <v/>
      </c>
      <c r="B1661" s="2" t="n">
        <v>42755.82642361111</v>
      </c>
      <c r="C1661" t="n">
        <v>0</v>
      </c>
      <c r="D1661" t="n">
        <v>3699</v>
      </c>
      <c r="E1661" t="s">
        <v>1667</v>
      </c>
      <c r="F1661" t="s"/>
      <c r="G1661" t="s"/>
      <c r="H1661" t="s"/>
      <c r="I1661" t="s"/>
      <c r="J1661" t="n">
        <v>-0.2732</v>
      </c>
      <c r="K1661" t="n">
        <v>0.128</v>
      </c>
      <c r="L1661" t="n">
        <v>0.793</v>
      </c>
      <c r="M1661" t="n">
        <v>0.079</v>
      </c>
    </row>
    <row r="1662" spans="1:13">
      <c r="A1662" s="1">
        <f>HYPERLINK("http://www.twitter.com/NathanBLawrence/status/822502597118529537", "822502597118529537")</f>
        <v/>
      </c>
      <c r="B1662" s="2" t="n">
        <v>42755.74623842593</v>
      </c>
      <c r="C1662" t="n">
        <v>1</v>
      </c>
      <c r="D1662" t="n">
        <v>0</v>
      </c>
      <c r="E1662" t="s">
        <v>1668</v>
      </c>
      <c r="F1662" t="s"/>
      <c r="G1662" t="s"/>
      <c r="H1662" t="s"/>
      <c r="I1662" t="s"/>
      <c r="J1662" t="n">
        <v>0.8439</v>
      </c>
      <c r="K1662" t="n">
        <v>0</v>
      </c>
      <c r="L1662" t="n">
        <v>0.606</v>
      </c>
      <c r="M1662" t="n">
        <v>0.394</v>
      </c>
    </row>
    <row r="1663" spans="1:13">
      <c r="A1663" s="1">
        <f>HYPERLINK("http://www.twitter.com/NathanBLawrence/status/822458744936263680", "822458744936263680")</f>
        <v/>
      </c>
      <c r="B1663" s="2" t="n">
        <v>42755.62521990741</v>
      </c>
      <c r="C1663" t="n">
        <v>0</v>
      </c>
      <c r="D1663" t="n">
        <v>1109</v>
      </c>
      <c r="E1663" t="s">
        <v>1669</v>
      </c>
      <c r="F1663" t="s"/>
      <c r="G1663" t="s"/>
      <c r="H1663" t="s"/>
      <c r="I1663" t="s"/>
      <c r="J1663" t="n">
        <v>0.765</v>
      </c>
      <c r="K1663" t="n">
        <v>0</v>
      </c>
      <c r="L1663" t="n">
        <v>0.752</v>
      </c>
      <c r="M1663" t="n">
        <v>0.248</v>
      </c>
    </row>
    <row r="1664" spans="1:13">
      <c r="A1664" s="1">
        <f>HYPERLINK("http://www.twitter.com/NathanBLawrence/status/822162928803676161", "822162928803676161")</f>
        <v/>
      </c>
      <c r="B1664" s="2" t="n">
        <v>42754.80892361111</v>
      </c>
      <c r="C1664" t="n">
        <v>0</v>
      </c>
      <c r="D1664" t="n">
        <v>0</v>
      </c>
      <c r="E1664" t="s">
        <v>1670</v>
      </c>
      <c r="F1664" t="s"/>
      <c r="G1664" t="s"/>
      <c r="H1664" t="s"/>
      <c r="I1664" t="s"/>
      <c r="J1664" t="n">
        <v>0</v>
      </c>
      <c r="K1664" t="n">
        <v>0</v>
      </c>
      <c r="L1664" t="n">
        <v>1</v>
      </c>
      <c r="M1664" t="n">
        <v>0</v>
      </c>
    </row>
    <row r="1665" spans="1:13">
      <c r="A1665" s="1">
        <f>HYPERLINK("http://www.twitter.com/NathanBLawrence/status/822161707527274496", "822161707527274496")</f>
        <v/>
      </c>
      <c r="B1665" s="2" t="n">
        <v>42754.80555555555</v>
      </c>
      <c r="C1665" t="n">
        <v>0</v>
      </c>
      <c r="D1665" t="n">
        <v>0</v>
      </c>
      <c r="E1665" t="s">
        <v>1671</v>
      </c>
      <c r="F1665" t="s"/>
      <c r="G1665" t="s"/>
      <c r="H1665" t="s"/>
      <c r="I1665" t="s"/>
      <c r="J1665" t="n">
        <v>0.1213</v>
      </c>
      <c r="K1665" t="n">
        <v>0.096</v>
      </c>
      <c r="L1665" t="n">
        <v>0.788</v>
      </c>
      <c r="M1665" t="n">
        <v>0.116</v>
      </c>
    </row>
    <row r="1666" spans="1:13">
      <c r="A1666" s="1">
        <f>HYPERLINK("http://www.twitter.com/NathanBLawrence/status/822147512513556481", "822147512513556481")</f>
        <v/>
      </c>
      <c r="B1666" s="2" t="n">
        <v>42754.76638888889</v>
      </c>
      <c r="C1666" t="n">
        <v>0</v>
      </c>
      <c r="D1666" t="n">
        <v>0</v>
      </c>
      <c r="E1666" t="s">
        <v>1672</v>
      </c>
      <c r="F1666" t="s"/>
      <c r="G1666" t="s"/>
      <c r="H1666" t="s"/>
      <c r="I1666" t="s"/>
      <c r="J1666" t="n">
        <v>0.6899999999999999</v>
      </c>
      <c r="K1666" t="n">
        <v>0</v>
      </c>
      <c r="L1666" t="n">
        <v>0.513</v>
      </c>
      <c r="M1666" t="n">
        <v>0.487</v>
      </c>
    </row>
    <row r="1667" spans="1:13">
      <c r="A1667" s="1">
        <f>HYPERLINK("http://www.twitter.com/NathanBLawrence/status/822125544103874560", "822125544103874560")</f>
        <v/>
      </c>
      <c r="B1667" s="2" t="n">
        <v>42754.70576388889</v>
      </c>
      <c r="C1667" t="n">
        <v>0</v>
      </c>
      <c r="D1667" t="n">
        <v>0</v>
      </c>
      <c r="E1667" t="s">
        <v>1673</v>
      </c>
      <c r="F1667" t="s"/>
      <c r="G1667" t="s"/>
      <c r="H1667" t="s"/>
      <c r="I1667" t="s"/>
      <c r="J1667" t="n">
        <v>-0.6535</v>
      </c>
      <c r="K1667" t="n">
        <v>0.314</v>
      </c>
      <c r="L1667" t="n">
        <v>0.584</v>
      </c>
      <c r="M1667" t="n">
        <v>0.102</v>
      </c>
    </row>
    <row r="1668" spans="1:13">
      <c r="A1668" s="1">
        <f>HYPERLINK("http://www.twitter.com/NathanBLawrence/status/822097258011299840", "822097258011299840")</f>
        <v/>
      </c>
      <c r="B1668" s="2" t="n">
        <v>42754.62770833333</v>
      </c>
      <c r="C1668" t="n">
        <v>0</v>
      </c>
      <c r="D1668" t="n">
        <v>0</v>
      </c>
      <c r="E1668" t="s">
        <v>1674</v>
      </c>
      <c r="F1668" t="s"/>
      <c r="G1668" t="s"/>
      <c r="H1668" t="s"/>
      <c r="I1668" t="s"/>
      <c r="J1668" t="n">
        <v>0.5499000000000001</v>
      </c>
      <c r="K1668" t="n">
        <v>0</v>
      </c>
      <c r="L1668" t="n">
        <v>0.866</v>
      </c>
      <c r="M1668" t="n">
        <v>0.134</v>
      </c>
    </row>
    <row r="1669" spans="1:13">
      <c r="A1669" s="1">
        <f>HYPERLINK("http://www.twitter.com/NathanBLawrence/status/821936323149893632", "821936323149893632")</f>
        <v/>
      </c>
      <c r="B1669" s="2" t="n">
        <v>42754.18361111111</v>
      </c>
      <c r="C1669" t="n">
        <v>1</v>
      </c>
      <c r="D1669" t="n">
        <v>0</v>
      </c>
      <c r="E1669" t="s">
        <v>1675</v>
      </c>
      <c r="F1669" t="s"/>
      <c r="G1669" t="s"/>
      <c r="H1669" t="s"/>
      <c r="I1669" t="s"/>
      <c r="J1669" t="n">
        <v>0.2263</v>
      </c>
      <c r="K1669" t="n">
        <v>0</v>
      </c>
      <c r="L1669" t="n">
        <v>0.894</v>
      </c>
      <c r="M1669" t="n">
        <v>0.106</v>
      </c>
    </row>
    <row r="1670" spans="1:13">
      <c r="A1670" s="1">
        <f>HYPERLINK("http://www.twitter.com/NathanBLawrence/status/821934898000830465", "821934898000830465")</f>
        <v/>
      </c>
      <c r="B1670" s="2" t="n">
        <v>42754.1796875</v>
      </c>
      <c r="C1670" t="n">
        <v>0</v>
      </c>
      <c r="D1670" t="n">
        <v>0</v>
      </c>
      <c r="E1670" t="s">
        <v>1676</v>
      </c>
      <c r="F1670" t="s"/>
      <c r="G1670" t="s"/>
      <c r="H1670" t="s"/>
      <c r="I1670" t="s"/>
      <c r="J1670" t="n">
        <v>0</v>
      </c>
      <c r="K1670" t="n">
        <v>0</v>
      </c>
      <c r="L1670" t="n">
        <v>1</v>
      </c>
      <c r="M1670" t="n">
        <v>0</v>
      </c>
    </row>
    <row r="1671" spans="1:13">
      <c r="A1671" s="1">
        <f>HYPERLINK("http://www.twitter.com/NathanBLawrence/status/821934548518838273", "821934548518838273")</f>
        <v/>
      </c>
      <c r="B1671" s="2" t="n">
        <v>42754.17871527778</v>
      </c>
      <c r="C1671" t="n">
        <v>0</v>
      </c>
      <c r="D1671" t="n">
        <v>0</v>
      </c>
      <c r="E1671" t="s">
        <v>1676</v>
      </c>
      <c r="F1671" t="s"/>
      <c r="G1671" t="s"/>
      <c r="H1671" t="s"/>
      <c r="I1671" t="s"/>
      <c r="J1671" t="n">
        <v>0</v>
      </c>
      <c r="K1671" t="n">
        <v>0</v>
      </c>
      <c r="L1671" t="n">
        <v>1</v>
      </c>
      <c r="M1671" t="n">
        <v>0</v>
      </c>
    </row>
    <row r="1672" spans="1:13">
      <c r="A1672" s="1">
        <f>HYPERLINK("http://www.twitter.com/NathanBLawrence/status/821928415926382593", "821928415926382593")</f>
        <v/>
      </c>
      <c r="B1672" s="2" t="n">
        <v>42754.16179398148</v>
      </c>
      <c r="C1672" t="n">
        <v>1</v>
      </c>
      <c r="D1672" t="n">
        <v>0</v>
      </c>
      <c r="E1672" t="s">
        <v>1677</v>
      </c>
      <c r="F1672" t="s"/>
      <c r="G1672" t="s"/>
      <c r="H1672" t="s"/>
      <c r="I1672" t="s"/>
      <c r="J1672" t="n">
        <v>-0.4215</v>
      </c>
      <c r="K1672" t="n">
        <v>0.226</v>
      </c>
      <c r="L1672" t="n">
        <v>0.774</v>
      </c>
      <c r="M1672" t="n">
        <v>0</v>
      </c>
    </row>
    <row r="1673" spans="1:13">
      <c r="A1673" s="1">
        <f>HYPERLINK("http://www.twitter.com/NathanBLawrence/status/821925330374029312", "821925330374029312")</f>
        <v/>
      </c>
      <c r="B1673" s="2" t="n">
        <v>42754.15328703704</v>
      </c>
      <c r="C1673" t="n">
        <v>0</v>
      </c>
      <c r="D1673" t="n">
        <v>0</v>
      </c>
      <c r="E1673" t="s">
        <v>1678</v>
      </c>
      <c r="F1673" t="s"/>
      <c r="G1673" t="s"/>
      <c r="H1673" t="s"/>
      <c r="I1673" t="s"/>
      <c r="J1673" t="n">
        <v>-0.0516</v>
      </c>
      <c r="K1673" t="n">
        <v>0.057</v>
      </c>
      <c r="L1673" t="n">
        <v>0.9429999999999999</v>
      </c>
      <c r="M1673" t="n">
        <v>0</v>
      </c>
    </row>
    <row r="1674" spans="1:13">
      <c r="A1674" s="1">
        <f>HYPERLINK("http://www.twitter.com/NathanBLawrence/status/821829723173126146", "821829723173126146")</f>
        <v/>
      </c>
      <c r="B1674" s="2" t="n">
        <v>42753.88945601852</v>
      </c>
      <c r="C1674" t="n">
        <v>0</v>
      </c>
      <c r="D1674" t="n">
        <v>0</v>
      </c>
      <c r="E1674" t="s">
        <v>1679</v>
      </c>
      <c r="F1674">
        <f>HYPERLINK("http://pbs.twimg.com/media/C2e5xTpW8AQEufM.jpg", "http://pbs.twimg.com/media/C2e5xTpW8AQEufM.jpg")</f>
        <v/>
      </c>
      <c r="G1674" t="s"/>
      <c r="H1674" t="s"/>
      <c r="I1674" t="s"/>
      <c r="J1674" t="n">
        <v>0.5574</v>
      </c>
      <c r="K1674" t="n">
        <v>0</v>
      </c>
      <c r="L1674" t="n">
        <v>0.723</v>
      </c>
      <c r="M1674" t="n">
        <v>0.277</v>
      </c>
    </row>
    <row r="1675" spans="1:13">
      <c r="A1675" s="1">
        <f>HYPERLINK("http://www.twitter.com/NathanBLawrence/status/821817220510662661", "821817220510662661")</f>
        <v/>
      </c>
      <c r="B1675" s="2" t="n">
        <v>42753.8549537037</v>
      </c>
      <c r="C1675" t="n">
        <v>0</v>
      </c>
      <c r="D1675" t="n">
        <v>3252</v>
      </c>
      <c r="E1675" t="s">
        <v>1680</v>
      </c>
      <c r="F1675" t="s"/>
      <c r="G1675" t="s"/>
      <c r="H1675" t="s"/>
      <c r="I1675" t="s"/>
      <c r="J1675" t="n">
        <v>-0.3527</v>
      </c>
      <c r="K1675" t="n">
        <v>0.11</v>
      </c>
      <c r="L1675" t="n">
        <v>0.89</v>
      </c>
      <c r="M1675" t="n">
        <v>0</v>
      </c>
    </row>
    <row r="1676" spans="1:13">
      <c r="A1676" s="1">
        <f>HYPERLINK("http://www.twitter.com/NathanBLawrence/status/821807489821868032", "821807489821868032")</f>
        <v/>
      </c>
      <c r="B1676" s="2" t="n">
        <v>42753.82810185185</v>
      </c>
      <c r="C1676" t="n">
        <v>0</v>
      </c>
      <c r="D1676" t="n">
        <v>98</v>
      </c>
      <c r="E1676" t="s">
        <v>1681</v>
      </c>
      <c r="F1676">
        <f>HYPERLINK("http://pbs.twimg.com/media/C2ehzbJWEAUla62.jpg", "http://pbs.twimg.com/media/C2ehzbJWEAUla62.jpg")</f>
        <v/>
      </c>
      <c r="G1676" t="s"/>
      <c r="H1676" t="s"/>
      <c r="I1676" t="s"/>
      <c r="J1676" t="n">
        <v>0.4939</v>
      </c>
      <c r="K1676" t="n">
        <v>0</v>
      </c>
      <c r="L1676" t="n">
        <v>0.769</v>
      </c>
      <c r="M1676" t="n">
        <v>0.231</v>
      </c>
    </row>
    <row r="1677" spans="1:13">
      <c r="A1677" s="1">
        <f>HYPERLINK("http://www.twitter.com/NathanBLawrence/status/821806803818348553", "821806803818348553")</f>
        <v/>
      </c>
      <c r="B1677" s="2" t="n">
        <v>42753.82621527778</v>
      </c>
      <c r="C1677" t="n">
        <v>0</v>
      </c>
      <c r="D1677" t="n">
        <v>473</v>
      </c>
      <c r="E1677" t="s">
        <v>1682</v>
      </c>
      <c r="F1677">
        <f>HYPERLINK("http://pbs.twimg.com/media/C2ejhZdUkAAUJG2.jpg", "http://pbs.twimg.com/media/C2ejhZdUkAAUJG2.jpg")</f>
        <v/>
      </c>
      <c r="G1677" t="s"/>
      <c r="H1677" t="s"/>
      <c r="I1677" t="s"/>
      <c r="J1677" t="n">
        <v>0.5266999999999999</v>
      </c>
      <c r="K1677" t="n">
        <v>0</v>
      </c>
      <c r="L1677" t="n">
        <v>0.732</v>
      </c>
      <c r="M1677" t="n">
        <v>0.268</v>
      </c>
    </row>
    <row r="1678" spans="1:13">
      <c r="A1678" s="1">
        <f>HYPERLINK("http://www.twitter.com/NathanBLawrence/status/821806192284536832", "821806192284536832")</f>
        <v/>
      </c>
      <c r="B1678" s="2" t="n">
        <v>42753.82452546297</v>
      </c>
      <c r="C1678" t="n">
        <v>0</v>
      </c>
      <c r="D1678" t="n">
        <v>1058</v>
      </c>
      <c r="E1678" t="s">
        <v>1683</v>
      </c>
      <c r="F1678" t="s"/>
      <c r="G1678" t="s"/>
      <c r="H1678" t="s"/>
      <c r="I1678" t="s"/>
      <c r="J1678" t="n">
        <v>-0.5106000000000001</v>
      </c>
      <c r="K1678" t="n">
        <v>0.142</v>
      </c>
      <c r="L1678" t="n">
        <v>0.858</v>
      </c>
      <c r="M1678" t="n">
        <v>0</v>
      </c>
    </row>
    <row r="1679" spans="1:13">
      <c r="A1679" s="1">
        <f>HYPERLINK("http://www.twitter.com/NathanBLawrence/status/821794081588318209", "821794081588318209")</f>
        <v/>
      </c>
      <c r="B1679" s="2" t="n">
        <v>42753.79109953704</v>
      </c>
      <c r="C1679" t="n">
        <v>0</v>
      </c>
      <c r="D1679" t="n">
        <v>9</v>
      </c>
      <c r="E1679" t="s">
        <v>1684</v>
      </c>
      <c r="F1679" t="s"/>
      <c r="G1679" t="s"/>
      <c r="H1679" t="s"/>
      <c r="I1679" t="s"/>
      <c r="J1679" t="n">
        <v>-0.4824</v>
      </c>
      <c r="K1679" t="n">
        <v>0.13</v>
      </c>
      <c r="L1679" t="n">
        <v>0.87</v>
      </c>
      <c r="M1679" t="n">
        <v>0</v>
      </c>
    </row>
    <row r="1680" spans="1:13">
      <c r="A1680" s="1">
        <f>HYPERLINK("http://www.twitter.com/NathanBLawrence/status/821788144186097678", "821788144186097678")</f>
        <v/>
      </c>
      <c r="B1680" s="2" t="n">
        <v>42753.77472222222</v>
      </c>
      <c r="C1680" t="n">
        <v>1</v>
      </c>
      <c r="D1680" t="n">
        <v>0</v>
      </c>
      <c r="E1680" t="s">
        <v>1685</v>
      </c>
      <c r="F1680" t="s"/>
      <c r="G1680" t="s"/>
      <c r="H1680" t="s"/>
      <c r="I1680" t="s"/>
      <c r="J1680" t="n">
        <v>0</v>
      </c>
      <c r="K1680" t="n">
        <v>0</v>
      </c>
      <c r="L1680" t="n">
        <v>1</v>
      </c>
      <c r="M1680" t="n">
        <v>0</v>
      </c>
    </row>
    <row r="1681" spans="1:13">
      <c r="A1681" s="1">
        <f>HYPERLINK("http://www.twitter.com/NathanBLawrence/status/821786733381615625", "821786733381615625")</f>
        <v/>
      </c>
      <c r="B1681" s="2" t="n">
        <v>42753.77082175926</v>
      </c>
      <c r="C1681" t="n">
        <v>0</v>
      </c>
      <c r="D1681" t="n">
        <v>531</v>
      </c>
      <c r="E1681" t="s">
        <v>1686</v>
      </c>
      <c r="F1681">
        <f>HYPERLINK("http://pbs.twimg.com/media/C2eRuiQWQAIIjni.jpg", "http://pbs.twimg.com/media/C2eRuiQWQAIIjni.jpg")</f>
        <v/>
      </c>
      <c r="G1681">
        <f>HYPERLINK("http://pbs.twimg.com/media/C2eR8WqXAAEX9zR.jpg", "http://pbs.twimg.com/media/C2eR8WqXAAEX9zR.jpg")</f>
        <v/>
      </c>
      <c r="H1681" t="s"/>
      <c r="I1681" t="s"/>
      <c r="J1681" t="n">
        <v>0.2732</v>
      </c>
      <c r="K1681" t="n">
        <v>0</v>
      </c>
      <c r="L1681" t="n">
        <v>0.896</v>
      </c>
      <c r="M1681" t="n">
        <v>0.104</v>
      </c>
    </row>
    <row r="1682" spans="1:13">
      <c r="A1682" s="1">
        <f>HYPERLINK("http://www.twitter.com/NathanBLawrence/status/821763767923048449", "821763767923048449")</f>
        <v/>
      </c>
      <c r="B1682" s="2" t="n">
        <v>42753.7074537037</v>
      </c>
      <c r="C1682" t="n">
        <v>0</v>
      </c>
      <c r="D1682" t="n">
        <v>1645</v>
      </c>
      <c r="E1682" t="s">
        <v>1687</v>
      </c>
      <c r="F1682">
        <f>HYPERLINK("https://video.twimg.com/ext_tw_video/821396527860109312/pu/vid/324x180/pIlyr3yp8VA5muD7.mp4", "https://video.twimg.com/ext_tw_video/821396527860109312/pu/vid/324x180/pIlyr3yp8VA5muD7.mp4")</f>
        <v/>
      </c>
      <c r="G1682" t="s"/>
      <c r="H1682" t="s"/>
      <c r="I1682" t="s"/>
      <c r="J1682" t="n">
        <v>0.7003</v>
      </c>
      <c r="K1682" t="n">
        <v>0.081</v>
      </c>
      <c r="L1682" t="n">
        <v>0.636</v>
      </c>
      <c r="M1682" t="n">
        <v>0.284</v>
      </c>
    </row>
    <row r="1683" spans="1:13">
      <c r="A1683" s="1">
        <f>HYPERLINK("http://www.twitter.com/NathanBLawrence/status/821760473116905477", "821760473116905477")</f>
        <v/>
      </c>
      <c r="B1683" s="2" t="n">
        <v>42753.69836805556</v>
      </c>
      <c r="C1683" t="n">
        <v>0</v>
      </c>
      <c r="D1683" t="n">
        <v>3</v>
      </c>
      <c r="E1683" t="s">
        <v>1688</v>
      </c>
      <c r="F1683" t="s"/>
      <c r="G1683" t="s"/>
      <c r="H1683" t="s"/>
      <c r="I1683" t="s"/>
      <c r="J1683" t="n">
        <v>0.6486</v>
      </c>
      <c r="K1683" t="n">
        <v>0</v>
      </c>
      <c r="L1683" t="n">
        <v>0.773</v>
      </c>
      <c r="M1683" t="n">
        <v>0.227</v>
      </c>
    </row>
    <row r="1684" spans="1:13">
      <c r="A1684" s="1">
        <f>HYPERLINK("http://www.twitter.com/NathanBLawrence/status/821757166050799616", "821757166050799616")</f>
        <v/>
      </c>
      <c r="B1684" s="2" t="n">
        <v>42753.68923611111</v>
      </c>
      <c r="C1684" t="n">
        <v>0</v>
      </c>
      <c r="D1684" t="n">
        <v>0</v>
      </c>
      <c r="E1684" t="s">
        <v>1689</v>
      </c>
      <c r="F1684" t="s"/>
      <c r="G1684" t="s"/>
      <c r="H1684" t="s"/>
      <c r="I1684" t="s"/>
      <c r="J1684" t="n">
        <v>0</v>
      </c>
      <c r="K1684" t="n">
        <v>0</v>
      </c>
      <c r="L1684" t="n">
        <v>1</v>
      </c>
      <c r="M1684" t="n">
        <v>0</v>
      </c>
    </row>
    <row r="1685" spans="1:13">
      <c r="A1685" s="1">
        <f>HYPERLINK("http://www.twitter.com/NathanBLawrence/status/821749904825524224", "821749904825524224")</f>
        <v/>
      </c>
      <c r="B1685" s="2" t="n">
        <v>42753.66920138889</v>
      </c>
      <c r="C1685" t="n">
        <v>0</v>
      </c>
      <c r="D1685" t="n">
        <v>4</v>
      </c>
      <c r="E1685" t="s">
        <v>1690</v>
      </c>
      <c r="F1685" t="s"/>
      <c r="G1685" t="s"/>
      <c r="H1685" t="s"/>
      <c r="I1685" t="s"/>
      <c r="J1685" t="n">
        <v>0</v>
      </c>
      <c r="K1685" t="n">
        <v>0</v>
      </c>
      <c r="L1685" t="n">
        <v>1</v>
      </c>
      <c r="M1685" t="n">
        <v>0</v>
      </c>
    </row>
    <row r="1686" spans="1:13">
      <c r="A1686" s="1">
        <f>HYPERLINK("http://www.twitter.com/NathanBLawrence/status/821739717523861506", "821739717523861506")</f>
        <v/>
      </c>
      <c r="B1686" s="2" t="n">
        <v>42753.64108796296</v>
      </c>
      <c r="C1686" t="n">
        <v>0</v>
      </c>
      <c r="D1686" t="n">
        <v>2244</v>
      </c>
      <c r="E1686" t="s">
        <v>1691</v>
      </c>
      <c r="F1686" t="s"/>
      <c r="G1686" t="s"/>
      <c r="H1686" t="s"/>
      <c r="I1686" t="s"/>
      <c r="J1686" t="n">
        <v>0.5859</v>
      </c>
      <c r="K1686" t="n">
        <v>0</v>
      </c>
      <c r="L1686" t="n">
        <v>0.847</v>
      </c>
      <c r="M1686" t="n">
        <v>0.153</v>
      </c>
    </row>
    <row r="1687" spans="1:13">
      <c r="A1687" s="1">
        <f>HYPERLINK("http://www.twitter.com/NathanBLawrence/status/821739662289072129", "821739662289072129")</f>
        <v/>
      </c>
      <c r="B1687" s="2" t="n">
        <v>42753.6409375</v>
      </c>
      <c r="C1687" t="n">
        <v>0</v>
      </c>
      <c r="D1687" t="n">
        <v>5304</v>
      </c>
      <c r="E1687" t="s">
        <v>1692</v>
      </c>
      <c r="F1687" t="s"/>
      <c r="G1687" t="s"/>
      <c r="H1687" t="s"/>
      <c r="I1687" t="s"/>
      <c r="J1687" t="n">
        <v>-0.296</v>
      </c>
      <c r="K1687" t="n">
        <v>0.099</v>
      </c>
      <c r="L1687" t="n">
        <v>0.901</v>
      </c>
      <c r="M1687" t="n">
        <v>0</v>
      </c>
    </row>
    <row r="1688" spans="1:13">
      <c r="A1688" s="1">
        <f>HYPERLINK("http://www.twitter.com/NathanBLawrence/status/821738849374244864", "821738849374244864")</f>
        <v/>
      </c>
      <c r="B1688" s="2" t="n">
        <v>42753.63869212963</v>
      </c>
      <c r="C1688" t="n">
        <v>0</v>
      </c>
      <c r="D1688" t="n">
        <v>1966</v>
      </c>
      <c r="E1688" t="s">
        <v>1693</v>
      </c>
      <c r="F1688" t="s"/>
      <c r="G1688" t="s"/>
      <c r="H1688" t="s"/>
      <c r="I1688" t="s"/>
      <c r="J1688" t="n">
        <v>0.5266999999999999</v>
      </c>
      <c r="K1688" t="n">
        <v>0</v>
      </c>
      <c r="L1688" t="n">
        <v>0.805</v>
      </c>
      <c r="M1688" t="n">
        <v>0.195</v>
      </c>
    </row>
    <row r="1689" spans="1:13">
      <c r="A1689" s="1">
        <f>HYPERLINK("http://www.twitter.com/NathanBLawrence/status/821554005692256256", "821554005692256256")</f>
        <v/>
      </c>
      <c r="B1689" s="2" t="n">
        <v>42753.12862268519</v>
      </c>
      <c r="C1689" t="n">
        <v>0</v>
      </c>
      <c r="D1689" t="n">
        <v>8699</v>
      </c>
      <c r="E1689" t="s">
        <v>1694</v>
      </c>
      <c r="F1689" t="s"/>
      <c r="G1689" t="s"/>
      <c r="H1689" t="s"/>
      <c r="I1689" t="s"/>
      <c r="J1689" t="n">
        <v>-0.4588</v>
      </c>
      <c r="K1689" t="n">
        <v>0.19</v>
      </c>
      <c r="L1689" t="n">
        <v>0.8100000000000001</v>
      </c>
      <c r="M1689" t="n">
        <v>0</v>
      </c>
    </row>
    <row r="1690" spans="1:13">
      <c r="A1690" s="1">
        <f>HYPERLINK("http://www.twitter.com/NathanBLawrence/status/821523936852738050", "821523936852738050")</f>
        <v/>
      </c>
      <c r="B1690" s="2" t="n">
        <v>42753.04564814815</v>
      </c>
      <c r="C1690" t="n">
        <v>0</v>
      </c>
      <c r="D1690" t="n">
        <v>4</v>
      </c>
      <c r="E1690" t="s">
        <v>1695</v>
      </c>
      <c r="F1690" t="s"/>
      <c r="G1690" t="s"/>
      <c r="H1690" t="s"/>
      <c r="I1690" t="s"/>
      <c r="J1690" t="n">
        <v>-0.7423999999999999</v>
      </c>
      <c r="K1690" t="n">
        <v>0.27</v>
      </c>
      <c r="L1690" t="n">
        <v>0.73</v>
      </c>
      <c r="M1690" t="n">
        <v>0</v>
      </c>
    </row>
    <row r="1691" spans="1:13">
      <c r="A1691" s="1">
        <f>HYPERLINK("http://www.twitter.com/NathanBLawrence/status/821520337506631680", "821520337506631680")</f>
        <v/>
      </c>
      <c r="B1691" s="2" t="n">
        <v>42753.03571759259</v>
      </c>
      <c r="C1691" t="n">
        <v>0</v>
      </c>
      <c r="D1691" t="n">
        <v>62</v>
      </c>
      <c r="E1691" t="s">
        <v>1696</v>
      </c>
      <c r="F1691">
        <f>HYPERLINK("http://pbs.twimg.com/media/C2aAdyHUAAAMlPB.jpg", "http://pbs.twimg.com/media/C2aAdyHUAAAMlPB.jpg")</f>
        <v/>
      </c>
      <c r="G1691" t="s"/>
      <c r="H1691" t="s"/>
      <c r="I1691" t="s"/>
      <c r="J1691" t="n">
        <v>0</v>
      </c>
      <c r="K1691" t="n">
        <v>0</v>
      </c>
      <c r="L1691" t="n">
        <v>1</v>
      </c>
      <c r="M1691" t="n">
        <v>0</v>
      </c>
    </row>
    <row r="1692" spans="1:13">
      <c r="A1692" s="1">
        <f>HYPERLINK("http://www.twitter.com/NathanBLawrence/status/821519967749337088", "821519967749337088")</f>
        <v/>
      </c>
      <c r="B1692" s="2" t="n">
        <v>42753.03469907407</v>
      </c>
      <c r="C1692" t="n">
        <v>0</v>
      </c>
      <c r="D1692" t="n">
        <v>23</v>
      </c>
      <c r="E1692" t="s">
        <v>1697</v>
      </c>
      <c r="F1692">
        <f>HYPERLINK("http://pbs.twimg.com/media/C2afwqSWIAEKRa8.jpg", "http://pbs.twimg.com/media/C2afwqSWIAEKRa8.jpg")</f>
        <v/>
      </c>
      <c r="G1692" t="s"/>
      <c r="H1692" t="s"/>
      <c r="I1692" t="s"/>
      <c r="J1692" t="n">
        <v>0</v>
      </c>
      <c r="K1692" t="n">
        <v>0</v>
      </c>
      <c r="L1692" t="n">
        <v>1</v>
      </c>
      <c r="M1692" t="n">
        <v>0</v>
      </c>
    </row>
    <row r="1693" spans="1:13">
      <c r="A1693" s="1">
        <f>HYPERLINK("http://www.twitter.com/NathanBLawrence/status/821519576525639680", "821519576525639680")</f>
        <v/>
      </c>
      <c r="B1693" s="2" t="n">
        <v>42753.03361111111</v>
      </c>
      <c r="C1693" t="n">
        <v>0</v>
      </c>
      <c r="D1693" t="n">
        <v>0</v>
      </c>
      <c r="E1693" t="s">
        <v>1698</v>
      </c>
      <c r="F1693" t="s"/>
      <c r="G1693" t="s"/>
      <c r="H1693" t="s"/>
      <c r="I1693" t="s"/>
      <c r="J1693" t="n">
        <v>0.6369</v>
      </c>
      <c r="K1693" t="n">
        <v>0</v>
      </c>
      <c r="L1693" t="n">
        <v>0.658</v>
      </c>
      <c r="M1693" t="n">
        <v>0.342</v>
      </c>
    </row>
    <row r="1694" spans="1:13">
      <c r="A1694" s="1">
        <f>HYPERLINK("http://www.twitter.com/NathanBLawrence/status/821474398007922688", "821474398007922688")</f>
        <v/>
      </c>
      <c r="B1694" s="2" t="n">
        <v>42752.90894675926</v>
      </c>
      <c r="C1694" t="n">
        <v>0</v>
      </c>
      <c r="D1694" t="n">
        <v>4638</v>
      </c>
      <c r="E1694" t="s">
        <v>1699</v>
      </c>
      <c r="F1694">
        <f>HYPERLINK("https://video.twimg.com/ext_tw_video/821035424214749184/pu/vid/640x360/eynaxDsA9DKykN79.mp4", "https://video.twimg.com/ext_tw_video/821035424214749184/pu/vid/640x360/eynaxDsA9DKykN79.mp4")</f>
        <v/>
      </c>
      <c r="G1694" t="s"/>
      <c r="H1694" t="s"/>
      <c r="I1694" t="s"/>
      <c r="J1694" t="n">
        <v>-0.5266999999999999</v>
      </c>
      <c r="K1694" t="n">
        <v>0.167</v>
      </c>
      <c r="L1694" t="n">
        <v>0.833</v>
      </c>
      <c r="M1694" t="n">
        <v>0</v>
      </c>
    </row>
    <row r="1695" spans="1:13">
      <c r="A1695" s="1">
        <f>HYPERLINK("http://www.twitter.com/NathanBLawrence/status/821473567674171394", "821473567674171394")</f>
        <v/>
      </c>
      <c r="B1695" s="2" t="n">
        <v>42752.90665509259</v>
      </c>
      <c r="C1695" t="n">
        <v>0</v>
      </c>
      <c r="D1695" t="n">
        <v>433</v>
      </c>
      <c r="E1695" t="s">
        <v>1700</v>
      </c>
      <c r="F1695" t="s"/>
      <c r="G1695" t="s"/>
      <c r="H1695" t="s"/>
      <c r="I1695" t="s"/>
      <c r="J1695" t="n">
        <v>-0.5562</v>
      </c>
      <c r="K1695" t="n">
        <v>0.213</v>
      </c>
      <c r="L1695" t="n">
        <v>0.787</v>
      </c>
      <c r="M1695" t="n">
        <v>0</v>
      </c>
    </row>
    <row r="1696" spans="1:13">
      <c r="A1696" s="1">
        <f>HYPERLINK("http://www.twitter.com/NathanBLawrence/status/821454432214937600", "821454432214937600")</f>
        <v/>
      </c>
      <c r="B1696" s="2" t="n">
        <v>42752.85385416666</v>
      </c>
      <c r="C1696" t="n">
        <v>0</v>
      </c>
      <c r="D1696" t="n">
        <v>6525</v>
      </c>
      <c r="E1696" t="s">
        <v>1701</v>
      </c>
      <c r="F1696" t="s"/>
      <c r="G1696" t="s"/>
      <c r="H1696" t="s"/>
      <c r="I1696" t="s"/>
      <c r="J1696" t="n">
        <v>0.6597</v>
      </c>
      <c r="K1696" t="n">
        <v>0</v>
      </c>
      <c r="L1696" t="n">
        <v>0.759</v>
      </c>
      <c r="M1696" t="n">
        <v>0.241</v>
      </c>
    </row>
    <row r="1697" spans="1:13">
      <c r="A1697" s="1">
        <f>HYPERLINK("http://www.twitter.com/NathanBLawrence/status/821452891424772096", "821452891424772096")</f>
        <v/>
      </c>
      <c r="B1697" s="2" t="n">
        <v>42752.84959490741</v>
      </c>
      <c r="C1697" t="n">
        <v>0</v>
      </c>
      <c r="D1697" t="n">
        <v>257</v>
      </c>
      <c r="E1697" t="s">
        <v>1702</v>
      </c>
      <c r="F1697">
        <f>HYPERLINK("http://pbs.twimg.com/media/C2Zck5lXcAAVYgw.jpg", "http://pbs.twimg.com/media/C2Zck5lXcAAVYgw.jpg")</f>
        <v/>
      </c>
      <c r="G1697" t="s"/>
      <c r="H1697" t="s"/>
      <c r="I1697" t="s"/>
      <c r="J1697" t="n">
        <v>-0.5574</v>
      </c>
      <c r="K1697" t="n">
        <v>0.24</v>
      </c>
      <c r="L1697" t="n">
        <v>0.7</v>
      </c>
      <c r="M1697" t="n">
        <v>0.06</v>
      </c>
    </row>
    <row r="1698" spans="1:13">
      <c r="A1698" s="1">
        <f>HYPERLINK("http://www.twitter.com/NathanBLawrence/status/821402254431453186", "821402254431453186")</f>
        <v/>
      </c>
      <c r="B1698" s="2" t="n">
        <v>42752.70987268518</v>
      </c>
      <c r="C1698" t="n">
        <v>0</v>
      </c>
      <c r="D1698" t="n">
        <v>3398</v>
      </c>
      <c r="E1698" t="s">
        <v>1703</v>
      </c>
      <c r="F1698">
        <f>HYPERLINK("http://pbs.twimg.com/media/C2Y0xKxXEAEvHlq.jpg", "http://pbs.twimg.com/media/C2Y0xKxXEAEvHlq.jpg")</f>
        <v/>
      </c>
      <c r="G1698" t="s"/>
      <c r="H1698" t="s"/>
      <c r="I1698" t="s"/>
      <c r="J1698" t="n">
        <v>0.3327</v>
      </c>
      <c r="K1698" t="n">
        <v>0.103</v>
      </c>
      <c r="L1698" t="n">
        <v>0.739</v>
      </c>
      <c r="M1698" t="n">
        <v>0.159</v>
      </c>
    </row>
    <row r="1699" spans="1:13">
      <c r="A1699" s="1">
        <f>HYPERLINK("http://www.twitter.com/NathanBLawrence/status/821369206256074752", "821369206256074752")</f>
        <v/>
      </c>
      <c r="B1699" s="2" t="n">
        <v>42752.61866898148</v>
      </c>
      <c r="C1699" t="n">
        <v>0</v>
      </c>
      <c r="D1699" t="n">
        <v>4</v>
      </c>
      <c r="E1699" t="s">
        <v>1704</v>
      </c>
      <c r="F1699" t="s"/>
      <c r="G1699" t="s"/>
      <c r="H1699" t="s"/>
      <c r="I1699" t="s"/>
      <c r="J1699" t="n">
        <v>-0.6597</v>
      </c>
      <c r="K1699" t="n">
        <v>0.221</v>
      </c>
      <c r="L1699" t="n">
        <v>0.779</v>
      </c>
      <c r="M1699" t="n">
        <v>0</v>
      </c>
    </row>
    <row r="1700" spans="1:13">
      <c r="A1700" s="1">
        <f>HYPERLINK("http://www.twitter.com/NathanBLawrence/status/821366224416374785", "821366224416374785")</f>
        <v/>
      </c>
      <c r="B1700" s="2" t="n">
        <v>42752.61043981482</v>
      </c>
      <c r="C1700" t="n">
        <v>0</v>
      </c>
      <c r="D1700" t="n">
        <v>21</v>
      </c>
      <c r="E1700" t="s">
        <v>1705</v>
      </c>
      <c r="F1700" t="s"/>
      <c r="G1700" t="s"/>
      <c r="H1700" t="s"/>
      <c r="I1700" t="s"/>
      <c r="J1700" t="n">
        <v>-0.6971000000000001</v>
      </c>
      <c r="K1700" t="n">
        <v>0.235</v>
      </c>
      <c r="L1700" t="n">
        <v>0.765</v>
      </c>
      <c r="M1700" t="n">
        <v>0</v>
      </c>
    </row>
    <row r="1701" spans="1:13">
      <c r="A1701" s="1">
        <f>HYPERLINK("http://www.twitter.com/NathanBLawrence/status/821189859125719041", "821189859125719041")</f>
        <v/>
      </c>
      <c r="B1701" s="2" t="n">
        <v>42752.12377314815</v>
      </c>
      <c r="C1701" t="n">
        <v>0</v>
      </c>
      <c r="D1701" t="n">
        <v>253</v>
      </c>
      <c r="E1701" t="s">
        <v>1706</v>
      </c>
      <c r="F1701" t="s"/>
      <c r="G1701" t="s"/>
      <c r="H1701" t="s"/>
      <c r="I1701" t="s"/>
      <c r="J1701" t="n">
        <v>-0.1027</v>
      </c>
      <c r="K1701" t="n">
        <v>0.095</v>
      </c>
      <c r="L1701" t="n">
        <v>0.826</v>
      </c>
      <c r="M1701" t="n">
        <v>0.079</v>
      </c>
    </row>
    <row r="1702" spans="1:13">
      <c r="A1702" s="1">
        <f>HYPERLINK("http://www.twitter.com/NathanBLawrence/status/821160577162739712", "821160577162739712")</f>
        <v/>
      </c>
      <c r="B1702" s="2" t="n">
        <v>42752.04296296297</v>
      </c>
      <c r="C1702" t="n">
        <v>0</v>
      </c>
      <c r="D1702" t="n">
        <v>597</v>
      </c>
      <c r="E1702" t="s">
        <v>1707</v>
      </c>
      <c r="F1702" t="s"/>
      <c r="G1702" t="s"/>
      <c r="H1702" t="s"/>
      <c r="I1702" t="s"/>
      <c r="J1702" t="n">
        <v>-0.0516</v>
      </c>
      <c r="K1702" t="n">
        <v>0.148</v>
      </c>
      <c r="L1702" t="n">
        <v>0.714</v>
      </c>
      <c r="M1702" t="n">
        <v>0.138</v>
      </c>
    </row>
    <row r="1703" spans="1:13">
      <c r="A1703" s="1">
        <f>HYPERLINK("http://www.twitter.com/NathanBLawrence/status/821157289403056129", "821157289403056129")</f>
        <v/>
      </c>
      <c r="B1703" s="2" t="n">
        <v>42752.03388888889</v>
      </c>
      <c r="C1703" t="n">
        <v>0</v>
      </c>
      <c r="D1703" t="n">
        <v>605</v>
      </c>
      <c r="E1703" t="s">
        <v>1708</v>
      </c>
      <c r="F1703" t="s"/>
      <c r="G1703" t="s"/>
      <c r="H1703" t="s"/>
      <c r="I1703" t="s"/>
      <c r="J1703" t="n">
        <v>-0.4939</v>
      </c>
      <c r="K1703" t="n">
        <v>0.219</v>
      </c>
      <c r="L1703" t="n">
        <v>0.781</v>
      </c>
      <c r="M1703" t="n">
        <v>0</v>
      </c>
    </row>
    <row r="1704" spans="1:13">
      <c r="A1704" s="1">
        <f>HYPERLINK("http://www.twitter.com/NathanBLawrence/status/821156093992849408", "821156093992849408")</f>
        <v/>
      </c>
      <c r="B1704" s="2" t="n">
        <v>42752.03059027778</v>
      </c>
      <c r="C1704" t="n">
        <v>0</v>
      </c>
      <c r="D1704" t="n">
        <v>277</v>
      </c>
      <c r="E1704" t="s">
        <v>1709</v>
      </c>
      <c r="F1704">
        <f>HYPERLINK("http://pbs.twimg.com/media/C2TyUZVXcAU3kHd.jpg", "http://pbs.twimg.com/media/C2TyUZVXcAU3kHd.jpg")</f>
        <v/>
      </c>
      <c r="G1704" t="s"/>
      <c r="H1704" t="s"/>
      <c r="I1704" t="s"/>
      <c r="J1704" t="n">
        <v>-0.4528</v>
      </c>
      <c r="K1704" t="n">
        <v>0.25</v>
      </c>
      <c r="L1704" t="n">
        <v>0.624</v>
      </c>
      <c r="M1704" t="n">
        <v>0.126</v>
      </c>
    </row>
    <row r="1705" spans="1:13">
      <c r="A1705" s="1">
        <f>HYPERLINK("http://www.twitter.com/NathanBLawrence/status/821129066019520513", "821129066019520513")</f>
        <v/>
      </c>
      <c r="B1705" s="2" t="n">
        <v>42751.95600694444</v>
      </c>
      <c r="C1705" t="n">
        <v>0</v>
      </c>
      <c r="D1705" t="n">
        <v>4348</v>
      </c>
      <c r="E1705" t="s">
        <v>1710</v>
      </c>
      <c r="F1705">
        <f>HYPERLINK("http://pbs.twimg.com/media/C2U125mXEAABnAK.jpg", "http://pbs.twimg.com/media/C2U125mXEAABnAK.jpg")</f>
        <v/>
      </c>
      <c r="G1705" t="s"/>
      <c r="H1705" t="s"/>
      <c r="I1705" t="s"/>
      <c r="J1705" t="n">
        <v>-0.6369</v>
      </c>
      <c r="K1705" t="n">
        <v>0.206</v>
      </c>
      <c r="L1705" t="n">
        <v>0.794</v>
      </c>
      <c r="M1705" t="n">
        <v>0</v>
      </c>
    </row>
    <row r="1706" spans="1:13">
      <c r="A1706" s="1">
        <f>HYPERLINK("http://www.twitter.com/NathanBLawrence/status/821128813283332097", "821128813283332097")</f>
        <v/>
      </c>
      <c r="B1706" s="2" t="n">
        <v>42751.9553125</v>
      </c>
      <c r="C1706" t="n">
        <v>0</v>
      </c>
      <c r="D1706" t="n">
        <v>523</v>
      </c>
      <c r="E1706" t="s">
        <v>1711</v>
      </c>
      <c r="F1706" t="s"/>
      <c r="G1706" t="s"/>
      <c r="H1706" t="s"/>
      <c r="I1706" t="s"/>
      <c r="J1706" t="n">
        <v>-0.4215</v>
      </c>
      <c r="K1706" t="n">
        <v>0.128</v>
      </c>
      <c r="L1706" t="n">
        <v>0.872</v>
      </c>
      <c r="M1706" t="n">
        <v>0</v>
      </c>
    </row>
    <row r="1707" spans="1:13">
      <c r="A1707" s="1">
        <f>HYPERLINK("http://www.twitter.com/NathanBLawrence/status/821112343904088065", "821112343904088065")</f>
        <v/>
      </c>
      <c r="B1707" s="2" t="n">
        <v>42751.90986111111</v>
      </c>
      <c r="C1707" t="n">
        <v>0</v>
      </c>
      <c r="D1707" t="n">
        <v>288</v>
      </c>
      <c r="E1707" t="s">
        <v>1712</v>
      </c>
      <c r="F1707" t="s"/>
      <c r="G1707" t="s"/>
      <c r="H1707" t="s"/>
      <c r="I1707" t="s"/>
      <c r="J1707" t="n">
        <v>0</v>
      </c>
      <c r="K1707" t="n">
        <v>0</v>
      </c>
      <c r="L1707" t="n">
        <v>1</v>
      </c>
      <c r="M1707" t="n">
        <v>0</v>
      </c>
    </row>
    <row r="1708" spans="1:13">
      <c r="A1708" s="1">
        <f>HYPERLINK("http://www.twitter.com/NathanBLawrence/status/821054800779509761", "821054800779509761")</f>
        <v/>
      </c>
      <c r="B1708" s="2" t="n">
        <v>42751.75107638889</v>
      </c>
      <c r="C1708" t="n">
        <v>0</v>
      </c>
      <c r="D1708" t="n">
        <v>134</v>
      </c>
      <c r="E1708" t="s">
        <v>1713</v>
      </c>
      <c r="F1708" t="s"/>
      <c r="G1708" t="s"/>
      <c r="H1708" t="s"/>
      <c r="I1708" t="s"/>
      <c r="J1708" t="n">
        <v>0</v>
      </c>
      <c r="K1708" t="n">
        <v>0</v>
      </c>
      <c r="L1708" t="n">
        <v>1</v>
      </c>
      <c r="M1708" t="n">
        <v>0</v>
      </c>
    </row>
    <row r="1709" spans="1:13">
      <c r="A1709" s="1">
        <f>HYPERLINK("http://www.twitter.com/NathanBLawrence/status/821048652810616834", "821048652810616834")</f>
        <v/>
      </c>
      <c r="B1709" s="2" t="n">
        <v>42751.7341087963</v>
      </c>
      <c r="C1709" t="n">
        <v>0</v>
      </c>
      <c r="D1709" t="n">
        <v>3199</v>
      </c>
      <c r="E1709" t="s">
        <v>1714</v>
      </c>
      <c r="F1709" t="s"/>
      <c r="G1709" t="s"/>
      <c r="H1709" t="s"/>
      <c r="I1709" t="s"/>
      <c r="J1709" t="n">
        <v>-0.1779</v>
      </c>
      <c r="K1709" t="n">
        <v>0.162</v>
      </c>
      <c r="L1709" t="n">
        <v>0.705</v>
      </c>
      <c r="M1709" t="n">
        <v>0.133</v>
      </c>
    </row>
    <row r="1710" spans="1:13">
      <c r="A1710" s="1">
        <f>HYPERLINK("http://www.twitter.com/NathanBLawrence/status/821039544338358272", "821039544338358272")</f>
        <v/>
      </c>
      <c r="B1710" s="2" t="n">
        <v>42751.70898148148</v>
      </c>
      <c r="C1710" t="n">
        <v>0</v>
      </c>
      <c r="D1710" t="n">
        <v>0</v>
      </c>
      <c r="E1710" t="s">
        <v>1715</v>
      </c>
      <c r="F1710" t="s"/>
      <c r="G1710" t="s"/>
      <c r="H1710" t="s"/>
      <c r="I1710" t="s"/>
      <c r="J1710" t="n">
        <v>0.5719</v>
      </c>
      <c r="K1710" t="n">
        <v>0</v>
      </c>
      <c r="L1710" t="n">
        <v>0.837</v>
      </c>
      <c r="M1710" t="n">
        <v>0.163</v>
      </c>
    </row>
    <row r="1711" spans="1:13">
      <c r="A1711" s="1">
        <f>HYPERLINK("http://www.twitter.com/NathanBLawrence/status/821037707124244480", "821037707124244480")</f>
        <v/>
      </c>
      <c r="B1711" s="2" t="n">
        <v>42751.70391203704</v>
      </c>
      <c r="C1711" t="n">
        <v>0</v>
      </c>
      <c r="D1711" t="n">
        <v>118</v>
      </c>
      <c r="E1711" t="s">
        <v>1716</v>
      </c>
      <c r="F1711">
        <f>HYPERLINK("http://pbs.twimg.com/media/C2To8nlXUAAvnjk.jpg", "http://pbs.twimg.com/media/C2To8nlXUAAvnjk.jpg")</f>
        <v/>
      </c>
      <c r="G1711" t="s"/>
      <c r="H1711" t="s"/>
      <c r="I1711" t="s"/>
      <c r="J1711" t="n">
        <v>0</v>
      </c>
      <c r="K1711" t="n">
        <v>0</v>
      </c>
      <c r="L1711" t="n">
        <v>1</v>
      </c>
      <c r="M1711" t="n">
        <v>0</v>
      </c>
    </row>
    <row r="1712" spans="1:13">
      <c r="A1712" s="1">
        <f>HYPERLINK("http://www.twitter.com/NathanBLawrence/status/821037032340340736", "821037032340340736")</f>
        <v/>
      </c>
      <c r="B1712" s="2" t="n">
        <v>42751.70204861111</v>
      </c>
      <c r="C1712" t="n">
        <v>0</v>
      </c>
      <c r="D1712" t="n">
        <v>486</v>
      </c>
      <c r="E1712" t="s">
        <v>1717</v>
      </c>
      <c r="F1712" t="s"/>
      <c r="G1712" t="s"/>
      <c r="H1712" t="s"/>
      <c r="I1712" t="s"/>
      <c r="J1712" t="n">
        <v>-0.4404</v>
      </c>
      <c r="K1712" t="n">
        <v>0.146</v>
      </c>
      <c r="L1712" t="n">
        <v>0.854</v>
      </c>
      <c r="M1712" t="n">
        <v>0</v>
      </c>
    </row>
    <row r="1713" spans="1:13">
      <c r="A1713" s="1">
        <f>HYPERLINK("http://www.twitter.com/NathanBLawrence/status/821033196334759936", "821033196334759936")</f>
        <v/>
      </c>
      <c r="B1713" s="2" t="n">
        <v>42751.69145833333</v>
      </c>
      <c r="C1713" t="n">
        <v>0</v>
      </c>
      <c r="D1713" t="n">
        <v>45</v>
      </c>
      <c r="E1713" t="s">
        <v>1718</v>
      </c>
      <c r="F1713">
        <f>HYPERLINK("http://pbs.twimg.com/media/C2TRCAxXgAI7PJI.jpg", "http://pbs.twimg.com/media/C2TRCAxXgAI7PJI.jpg")</f>
        <v/>
      </c>
      <c r="G1713" t="s"/>
      <c r="H1713" t="s"/>
      <c r="I1713" t="s"/>
      <c r="J1713" t="n">
        <v>0</v>
      </c>
      <c r="K1713" t="n">
        <v>0</v>
      </c>
      <c r="L1713" t="n">
        <v>1</v>
      </c>
      <c r="M1713" t="n">
        <v>0</v>
      </c>
    </row>
    <row r="1714" spans="1:13">
      <c r="A1714" s="1">
        <f>HYPERLINK("http://www.twitter.com/NathanBLawrence/status/821011910724386823", "821011910724386823")</f>
        <v/>
      </c>
      <c r="B1714" s="2" t="n">
        <v>42751.63271990741</v>
      </c>
      <c r="C1714" t="n">
        <v>0</v>
      </c>
      <c r="D1714" t="n">
        <v>1476</v>
      </c>
      <c r="E1714" t="s">
        <v>1719</v>
      </c>
      <c r="F1714" t="s"/>
      <c r="G1714" t="s"/>
      <c r="H1714" t="s"/>
      <c r="I1714" t="s"/>
      <c r="J1714" t="n">
        <v>-0.6841</v>
      </c>
      <c r="K1714" t="n">
        <v>0.249</v>
      </c>
      <c r="L1714" t="n">
        <v>0.751</v>
      </c>
      <c r="M1714" t="n">
        <v>0</v>
      </c>
    </row>
    <row r="1715" spans="1:13">
      <c r="A1715" s="1">
        <f>HYPERLINK("http://www.twitter.com/NathanBLawrence/status/820860354465058816", "820860354465058816")</f>
        <v/>
      </c>
      <c r="B1715" s="2" t="n">
        <v>42751.21451388889</v>
      </c>
      <c r="C1715" t="n">
        <v>0</v>
      </c>
      <c r="D1715" t="n">
        <v>6</v>
      </c>
      <c r="E1715" t="s">
        <v>1720</v>
      </c>
      <c r="F1715" t="s"/>
      <c r="G1715" t="s"/>
      <c r="H1715" t="s"/>
      <c r="I1715" t="s"/>
      <c r="J1715" t="n">
        <v>0.3612</v>
      </c>
      <c r="K1715" t="n">
        <v>0.132</v>
      </c>
      <c r="L1715" t="n">
        <v>0.62</v>
      </c>
      <c r="M1715" t="n">
        <v>0.248</v>
      </c>
    </row>
    <row r="1716" spans="1:13">
      <c r="A1716" s="1">
        <f>HYPERLINK("http://www.twitter.com/NathanBLawrence/status/820820696997761024", "820820696997761024")</f>
        <v/>
      </c>
      <c r="B1716" s="2" t="n">
        <v>42751.10506944444</v>
      </c>
      <c r="C1716" t="n">
        <v>0</v>
      </c>
      <c r="D1716" t="n">
        <v>8284</v>
      </c>
      <c r="E1716" t="s">
        <v>1721</v>
      </c>
      <c r="F1716">
        <f>HYPERLINK("https://video.twimg.com/ext_tw_video/820741286827212800/pu/vid/1280x720/1mBMxg2mm1gfRvuh.mp4", "https://video.twimg.com/ext_tw_video/820741286827212800/pu/vid/1280x720/1mBMxg2mm1gfRvuh.mp4")</f>
        <v/>
      </c>
      <c r="G1716" t="s"/>
      <c r="H1716" t="s"/>
      <c r="I1716" t="s"/>
      <c r="J1716" t="n">
        <v>0</v>
      </c>
      <c r="K1716" t="n">
        <v>0</v>
      </c>
      <c r="L1716" t="n">
        <v>1</v>
      </c>
      <c r="M1716" t="n">
        <v>0</v>
      </c>
    </row>
    <row r="1717" spans="1:13">
      <c r="A1717" s="1">
        <f>HYPERLINK("http://www.twitter.com/NathanBLawrence/status/820807309576306688", "820807309576306688")</f>
        <v/>
      </c>
      <c r="B1717" s="2" t="n">
        <v>42751.06813657407</v>
      </c>
      <c r="C1717" t="n">
        <v>0</v>
      </c>
      <c r="D1717" t="n">
        <v>848</v>
      </c>
      <c r="E1717" t="s">
        <v>1722</v>
      </c>
      <c r="F1717" t="s"/>
      <c r="G1717" t="s"/>
      <c r="H1717" t="s"/>
      <c r="I1717" t="s"/>
      <c r="J1717" t="n">
        <v>-0.2177</v>
      </c>
      <c r="K1717" t="n">
        <v>0.108</v>
      </c>
      <c r="L1717" t="n">
        <v>0.8169999999999999</v>
      </c>
      <c r="M1717" t="n">
        <v>0.076</v>
      </c>
    </row>
    <row r="1718" spans="1:13">
      <c r="A1718" s="1">
        <f>HYPERLINK("http://www.twitter.com/NathanBLawrence/status/820806534020169729", "820806534020169729")</f>
        <v/>
      </c>
      <c r="B1718" s="2" t="n">
        <v>42751.06599537037</v>
      </c>
      <c r="C1718" t="n">
        <v>0</v>
      </c>
      <c r="D1718" t="n">
        <v>117</v>
      </c>
      <c r="E1718" t="s">
        <v>1723</v>
      </c>
      <c r="F1718" t="s"/>
      <c r="G1718" t="s"/>
      <c r="H1718" t="s"/>
      <c r="I1718" t="s"/>
      <c r="J1718" t="n">
        <v>0</v>
      </c>
      <c r="K1718" t="n">
        <v>0</v>
      </c>
      <c r="L1718" t="n">
        <v>1</v>
      </c>
      <c r="M1718" t="n">
        <v>0</v>
      </c>
    </row>
    <row r="1719" spans="1:13">
      <c r="A1719" s="1">
        <f>HYPERLINK("http://www.twitter.com/NathanBLawrence/status/820806510817185792", "820806510817185792")</f>
        <v/>
      </c>
      <c r="B1719" s="2" t="n">
        <v>42751.06592592593</v>
      </c>
      <c r="C1719" t="n">
        <v>0</v>
      </c>
      <c r="D1719" t="n">
        <v>3284</v>
      </c>
      <c r="E1719" t="s">
        <v>1724</v>
      </c>
      <c r="F1719" t="s"/>
      <c r="G1719" t="s"/>
      <c r="H1719" t="s"/>
      <c r="I1719" t="s"/>
      <c r="J1719" t="n">
        <v>0.1531</v>
      </c>
      <c r="K1719" t="n">
        <v>0</v>
      </c>
      <c r="L1719" t="n">
        <v>0.918</v>
      </c>
      <c r="M1719" t="n">
        <v>0.082</v>
      </c>
    </row>
    <row r="1720" spans="1:13">
      <c r="A1720" s="1">
        <f>HYPERLINK("http://www.twitter.com/NathanBLawrence/status/820802329125523456", "820802329125523456")</f>
        <v/>
      </c>
      <c r="B1720" s="2" t="n">
        <v>42751.05438657408</v>
      </c>
      <c r="C1720" t="n">
        <v>0</v>
      </c>
      <c r="D1720" t="n">
        <v>5516</v>
      </c>
      <c r="E1720" t="s">
        <v>1725</v>
      </c>
      <c r="F1720" t="s"/>
      <c r="G1720" t="s"/>
      <c r="H1720" t="s"/>
      <c r="I1720" t="s"/>
      <c r="J1720" t="n">
        <v>0.4404</v>
      </c>
      <c r="K1720" t="n">
        <v>0</v>
      </c>
      <c r="L1720" t="n">
        <v>0.868</v>
      </c>
      <c r="M1720" t="n">
        <v>0.132</v>
      </c>
    </row>
    <row r="1721" spans="1:13">
      <c r="A1721" s="1">
        <f>HYPERLINK("http://www.twitter.com/NathanBLawrence/status/820747978478649344", "820747978478649344")</f>
        <v/>
      </c>
      <c r="B1721" s="2" t="n">
        <v>42750.90440972222</v>
      </c>
      <c r="C1721" t="n">
        <v>0</v>
      </c>
      <c r="D1721" t="n">
        <v>6380</v>
      </c>
      <c r="E1721" t="s">
        <v>1726</v>
      </c>
      <c r="F1721" t="s"/>
      <c r="G1721" t="s"/>
      <c r="H1721" t="s"/>
      <c r="I1721" t="s"/>
      <c r="J1721" t="n">
        <v>0.891</v>
      </c>
      <c r="K1721" t="n">
        <v>0</v>
      </c>
      <c r="L1721" t="n">
        <v>0.642</v>
      </c>
      <c r="M1721" t="n">
        <v>0.358</v>
      </c>
    </row>
    <row r="1722" spans="1:13">
      <c r="A1722" s="1">
        <f>HYPERLINK("http://www.twitter.com/NathanBLawrence/status/820728757723996162", "820728757723996162")</f>
        <v/>
      </c>
      <c r="B1722" s="2" t="n">
        <v>42750.85136574074</v>
      </c>
      <c r="C1722" t="n">
        <v>0</v>
      </c>
      <c r="D1722" t="n">
        <v>2415</v>
      </c>
      <c r="E1722" t="s">
        <v>1727</v>
      </c>
      <c r="F1722" t="s"/>
      <c r="G1722" t="s"/>
      <c r="H1722" t="s"/>
      <c r="I1722" t="s"/>
      <c r="J1722" t="n">
        <v>-0.2023</v>
      </c>
      <c r="K1722" t="n">
        <v>0.193</v>
      </c>
      <c r="L1722" t="n">
        <v>0.644</v>
      </c>
      <c r="M1722" t="n">
        <v>0.163</v>
      </c>
    </row>
    <row r="1723" spans="1:13">
      <c r="A1723" s="1">
        <f>HYPERLINK("http://www.twitter.com/NathanBLawrence/status/820727703854809088", "820727703854809088")</f>
        <v/>
      </c>
      <c r="B1723" s="2" t="n">
        <v>42750.84846064815</v>
      </c>
      <c r="C1723" t="n">
        <v>0</v>
      </c>
      <c r="D1723" t="n">
        <v>37</v>
      </c>
      <c r="E1723" t="s">
        <v>1728</v>
      </c>
      <c r="F1723">
        <f>HYPERLINK("http://pbs.twimg.com/media/C2PN-ayUUAA0ISC.jpg", "http://pbs.twimg.com/media/C2PN-ayUUAA0ISC.jpg")</f>
        <v/>
      </c>
      <c r="G1723" t="s"/>
      <c r="H1723" t="s"/>
      <c r="I1723" t="s"/>
      <c r="J1723" t="n">
        <v>0</v>
      </c>
      <c r="K1723" t="n">
        <v>0</v>
      </c>
      <c r="L1723" t="n">
        <v>1</v>
      </c>
      <c r="M1723" t="n">
        <v>0</v>
      </c>
    </row>
    <row r="1724" spans="1:13">
      <c r="A1724" s="1">
        <f>HYPERLINK("http://www.twitter.com/NathanBLawrence/status/820719853120221185", "820719853120221185")</f>
        <v/>
      </c>
      <c r="B1724" s="2" t="n">
        <v>42750.82679398148</v>
      </c>
      <c r="C1724" t="n">
        <v>0</v>
      </c>
      <c r="D1724" t="n">
        <v>78</v>
      </c>
      <c r="E1724" t="s">
        <v>1729</v>
      </c>
      <c r="F1724" t="s"/>
      <c r="G1724" t="s"/>
      <c r="H1724" t="s"/>
      <c r="I1724" t="s"/>
      <c r="J1724" t="n">
        <v>0.2263</v>
      </c>
      <c r="K1724" t="n">
        <v>0.126</v>
      </c>
      <c r="L1724" t="n">
        <v>0.6830000000000001</v>
      </c>
      <c r="M1724" t="n">
        <v>0.191</v>
      </c>
    </row>
    <row r="1725" spans="1:13">
      <c r="A1725" s="1">
        <f>HYPERLINK("http://www.twitter.com/NathanBLawrence/status/820621707014709248", "820621707014709248")</f>
        <v/>
      </c>
      <c r="B1725" s="2" t="n">
        <v>42750.55597222222</v>
      </c>
      <c r="C1725" t="n">
        <v>0</v>
      </c>
      <c r="D1725" t="n">
        <v>63</v>
      </c>
      <c r="E1725" t="s">
        <v>1730</v>
      </c>
      <c r="F1725" t="s"/>
      <c r="G1725" t="s"/>
      <c r="H1725" t="s"/>
      <c r="I1725" t="s"/>
      <c r="J1725" t="n">
        <v>-0.5994</v>
      </c>
      <c r="K1725" t="n">
        <v>0.34</v>
      </c>
      <c r="L1725" t="n">
        <v>0.405</v>
      </c>
      <c r="M1725" t="n">
        <v>0.256</v>
      </c>
    </row>
    <row r="1726" spans="1:13">
      <c r="A1726" s="1">
        <f>HYPERLINK("http://www.twitter.com/NathanBLawrence/status/820621304097284096", "820621304097284096")</f>
        <v/>
      </c>
      <c r="B1726" s="2" t="n">
        <v>42750.55484953704</v>
      </c>
      <c r="C1726" t="n">
        <v>0</v>
      </c>
      <c r="D1726" t="n">
        <v>27</v>
      </c>
      <c r="E1726" t="s">
        <v>1731</v>
      </c>
      <c r="F1726">
        <f>HYPERLINK("http://pbs.twimg.com/media/C2M_Ix5XUAA2EM5.jpg", "http://pbs.twimg.com/media/C2M_Ix5XUAA2EM5.jpg")</f>
        <v/>
      </c>
      <c r="G1726" t="s"/>
      <c r="H1726" t="s"/>
      <c r="I1726" t="s"/>
      <c r="J1726" t="n">
        <v>0.806</v>
      </c>
      <c r="K1726" t="n">
        <v>0.109</v>
      </c>
      <c r="L1726" t="n">
        <v>0.492</v>
      </c>
      <c r="M1726" t="n">
        <v>0.399</v>
      </c>
    </row>
    <row r="1727" spans="1:13">
      <c r="A1727" s="1">
        <f>HYPERLINK("http://www.twitter.com/NathanBLawrence/status/820549022746365952", "820549022746365952")</f>
        <v/>
      </c>
      <c r="B1727" s="2" t="n">
        <v>42750.35539351852</v>
      </c>
      <c r="C1727" t="n">
        <v>0</v>
      </c>
      <c r="D1727" t="n">
        <v>33</v>
      </c>
      <c r="E1727" t="s">
        <v>1732</v>
      </c>
      <c r="F1727" t="s"/>
      <c r="G1727" t="s"/>
      <c r="H1727" t="s"/>
      <c r="I1727" t="s"/>
      <c r="J1727" t="n">
        <v>-0.7096</v>
      </c>
      <c r="K1727" t="n">
        <v>0.262</v>
      </c>
      <c r="L1727" t="n">
        <v>0.655</v>
      </c>
      <c r="M1727" t="n">
        <v>0.08400000000000001</v>
      </c>
    </row>
    <row r="1728" spans="1:13">
      <c r="A1728" s="1">
        <f>HYPERLINK("http://www.twitter.com/NathanBLawrence/status/820508764449153025", "820508764449153025")</f>
        <v/>
      </c>
      <c r="B1728" s="2" t="n">
        <v>42750.24430555556</v>
      </c>
      <c r="C1728" t="n">
        <v>0</v>
      </c>
      <c r="D1728" t="n">
        <v>3515</v>
      </c>
      <c r="E1728" t="s">
        <v>1733</v>
      </c>
      <c r="F1728" t="s"/>
      <c r="G1728" t="s"/>
      <c r="H1728" t="s"/>
      <c r="I1728" t="s"/>
      <c r="J1728" t="n">
        <v>-0.6478</v>
      </c>
      <c r="K1728" t="n">
        <v>0.274</v>
      </c>
      <c r="L1728" t="n">
        <v>0.726</v>
      </c>
      <c r="M1728" t="n">
        <v>0</v>
      </c>
    </row>
    <row r="1729" spans="1:13">
      <c r="A1729" s="1">
        <f>HYPERLINK("http://www.twitter.com/NathanBLawrence/status/820481463338541057", "820481463338541057")</f>
        <v/>
      </c>
      <c r="B1729" s="2" t="n">
        <v>42750.1689699074</v>
      </c>
      <c r="C1729" t="n">
        <v>0</v>
      </c>
      <c r="D1729" t="n">
        <v>0</v>
      </c>
      <c r="E1729" t="s">
        <v>1734</v>
      </c>
      <c r="F1729" t="s"/>
      <c r="G1729" t="s"/>
      <c r="H1729" t="s"/>
      <c r="I1729" t="s"/>
      <c r="J1729" t="n">
        <v>-0.7554999999999999</v>
      </c>
      <c r="K1729" t="n">
        <v>0.301</v>
      </c>
      <c r="L1729" t="n">
        <v>0.699</v>
      </c>
      <c r="M1729" t="n">
        <v>0</v>
      </c>
    </row>
    <row r="1730" spans="1:13">
      <c r="A1730" s="1">
        <f>HYPERLINK("http://www.twitter.com/NathanBLawrence/status/820479205628669952", "820479205628669952")</f>
        <v/>
      </c>
      <c r="B1730" s="2" t="n">
        <v>42750.16274305555</v>
      </c>
      <c r="C1730" t="n">
        <v>0</v>
      </c>
      <c r="D1730" t="n">
        <v>1281</v>
      </c>
      <c r="E1730" t="s">
        <v>1735</v>
      </c>
      <c r="F1730" t="s"/>
      <c r="G1730" t="s"/>
      <c r="H1730" t="s"/>
      <c r="I1730" t="s"/>
      <c r="J1730" t="n">
        <v>-0.5994</v>
      </c>
      <c r="K1730" t="n">
        <v>0.231</v>
      </c>
      <c r="L1730" t="n">
        <v>0.769</v>
      </c>
      <c r="M1730" t="n">
        <v>0</v>
      </c>
    </row>
    <row r="1731" spans="1:13">
      <c r="A1731" s="1">
        <f>HYPERLINK("http://www.twitter.com/NathanBLawrence/status/820477972318736385", "820477972318736385")</f>
        <v/>
      </c>
      <c r="B1731" s="2" t="n">
        <v>42750.15934027778</v>
      </c>
      <c r="C1731" t="n">
        <v>0</v>
      </c>
      <c r="D1731" t="n">
        <v>0</v>
      </c>
      <c r="E1731" t="s">
        <v>1736</v>
      </c>
      <c r="F1731" t="s"/>
      <c r="G1731" t="s"/>
      <c r="H1731" t="s"/>
      <c r="I1731" t="s"/>
      <c r="J1731" t="n">
        <v>0.4488</v>
      </c>
      <c r="K1731" t="n">
        <v>0.07099999999999999</v>
      </c>
      <c r="L1731" t="n">
        <v>0.725</v>
      </c>
      <c r="M1731" t="n">
        <v>0.204</v>
      </c>
    </row>
    <row r="1732" spans="1:13">
      <c r="A1732" s="1">
        <f>HYPERLINK("http://www.twitter.com/NathanBLawrence/status/820464410053447680", "820464410053447680")</f>
        <v/>
      </c>
      <c r="B1732" s="2" t="n">
        <v>42750.12190972222</v>
      </c>
      <c r="C1732" t="n">
        <v>0</v>
      </c>
      <c r="D1732" t="n">
        <v>0</v>
      </c>
      <c r="E1732" t="s">
        <v>1737</v>
      </c>
      <c r="F1732" t="s"/>
      <c r="G1732" t="s"/>
      <c r="H1732" t="s"/>
      <c r="I1732" t="s"/>
      <c r="J1732" t="n">
        <v>0.4019</v>
      </c>
      <c r="K1732" t="n">
        <v>0</v>
      </c>
      <c r="L1732" t="n">
        <v>0.899</v>
      </c>
      <c r="M1732" t="n">
        <v>0.101</v>
      </c>
    </row>
    <row r="1733" spans="1:13">
      <c r="A1733" s="1">
        <f>HYPERLINK("http://www.twitter.com/NathanBLawrence/status/820443891237289984", "820443891237289984")</f>
        <v/>
      </c>
      <c r="B1733" s="2" t="n">
        <v>42750.06528935185</v>
      </c>
      <c r="C1733" t="n">
        <v>0</v>
      </c>
      <c r="D1733" t="n">
        <v>1394</v>
      </c>
      <c r="E1733" t="s">
        <v>1738</v>
      </c>
      <c r="F1733" t="s"/>
      <c r="G1733" t="s"/>
      <c r="H1733" t="s"/>
      <c r="I1733" t="s"/>
      <c r="J1733" t="n">
        <v>-0.7096</v>
      </c>
      <c r="K1733" t="n">
        <v>0.189</v>
      </c>
      <c r="L1733" t="n">
        <v>0.8110000000000001</v>
      </c>
      <c r="M1733" t="n">
        <v>0</v>
      </c>
    </row>
    <row r="1734" spans="1:13">
      <c r="A1734" s="1">
        <f>HYPERLINK("http://www.twitter.com/NathanBLawrence/status/820361114592673793", "820361114592673793")</f>
        <v/>
      </c>
      <c r="B1734" s="2" t="n">
        <v>42749.83686342592</v>
      </c>
      <c r="C1734" t="n">
        <v>1</v>
      </c>
      <c r="D1734" t="n">
        <v>0</v>
      </c>
      <c r="E1734" t="s">
        <v>1739</v>
      </c>
      <c r="F1734" t="s"/>
      <c r="G1734" t="s"/>
      <c r="H1734" t="s"/>
      <c r="I1734" t="s"/>
      <c r="J1734" t="n">
        <v>0.8934</v>
      </c>
      <c r="K1734" t="n">
        <v>0</v>
      </c>
      <c r="L1734" t="n">
        <v>0.542</v>
      </c>
      <c r="M1734" t="n">
        <v>0.458</v>
      </c>
    </row>
    <row r="1735" spans="1:13">
      <c r="A1735" s="1">
        <f>HYPERLINK("http://www.twitter.com/NathanBLawrence/status/820339865682407424", "820339865682407424")</f>
        <v/>
      </c>
      <c r="B1735" s="2" t="n">
        <v>42749.77822916667</v>
      </c>
      <c r="C1735" t="n">
        <v>0</v>
      </c>
      <c r="D1735" t="n">
        <v>1253</v>
      </c>
      <c r="E1735" t="s">
        <v>1740</v>
      </c>
      <c r="F1735" t="s"/>
      <c r="G1735" t="s"/>
      <c r="H1735" t="s"/>
      <c r="I1735" t="s"/>
      <c r="J1735" t="n">
        <v>0.6369</v>
      </c>
      <c r="K1735" t="n">
        <v>0</v>
      </c>
      <c r="L1735" t="n">
        <v>0.819</v>
      </c>
      <c r="M1735" t="n">
        <v>0.181</v>
      </c>
    </row>
    <row r="1736" spans="1:13">
      <c r="A1736" s="1">
        <f>HYPERLINK("http://www.twitter.com/NathanBLawrence/status/820333529192075264", "820333529192075264")</f>
        <v/>
      </c>
      <c r="B1736" s="2" t="n">
        <v>42749.76075231482</v>
      </c>
      <c r="C1736" t="n">
        <v>0</v>
      </c>
      <c r="D1736" t="n">
        <v>3141</v>
      </c>
      <c r="E1736" t="s">
        <v>1741</v>
      </c>
      <c r="F1736">
        <f>HYPERLINK("http://pbs.twimg.com/media/C2JUVECVEAA3A7l.jpg", "http://pbs.twimg.com/media/C2JUVECVEAA3A7l.jpg")</f>
        <v/>
      </c>
      <c r="G1736" t="s"/>
      <c r="H1736" t="s"/>
      <c r="I1736" t="s"/>
      <c r="J1736" t="n">
        <v>0</v>
      </c>
      <c r="K1736" t="n">
        <v>0</v>
      </c>
      <c r="L1736" t="n">
        <v>1</v>
      </c>
      <c r="M1736" t="n">
        <v>0</v>
      </c>
    </row>
    <row r="1737" spans="1:13">
      <c r="A1737" s="1">
        <f>HYPERLINK("http://www.twitter.com/NathanBLawrence/status/820328478147022851", "820328478147022851")</f>
        <v/>
      </c>
      <c r="B1737" s="2" t="n">
        <v>42749.74680555556</v>
      </c>
      <c r="C1737" t="n">
        <v>1</v>
      </c>
      <c r="D1737" t="n">
        <v>0</v>
      </c>
      <c r="E1737" t="s">
        <v>1742</v>
      </c>
      <c r="F1737" t="s"/>
      <c r="G1737" t="s"/>
      <c r="H1737" t="s"/>
      <c r="I1737" t="s"/>
      <c r="J1737" t="n">
        <v>0.7665999999999999</v>
      </c>
      <c r="K1737" t="n">
        <v>0</v>
      </c>
      <c r="L1737" t="n">
        <v>0.769</v>
      </c>
      <c r="M1737" t="n">
        <v>0.231</v>
      </c>
    </row>
    <row r="1738" spans="1:13">
      <c r="A1738" s="1">
        <f>HYPERLINK("http://www.twitter.com/NathanBLawrence/status/820327923311869954", "820327923311869954")</f>
        <v/>
      </c>
      <c r="B1738" s="2" t="n">
        <v>42749.74527777778</v>
      </c>
      <c r="C1738" t="n">
        <v>6</v>
      </c>
      <c r="D1738" t="n">
        <v>1</v>
      </c>
      <c r="E1738" t="s">
        <v>1743</v>
      </c>
      <c r="F1738" t="s"/>
      <c r="G1738" t="s"/>
      <c r="H1738" t="s"/>
      <c r="I1738" t="s"/>
      <c r="J1738" t="n">
        <v>0.5423</v>
      </c>
      <c r="K1738" t="n">
        <v>0</v>
      </c>
      <c r="L1738" t="n">
        <v>0.857</v>
      </c>
      <c r="M1738" t="n">
        <v>0.143</v>
      </c>
    </row>
    <row r="1739" spans="1:13">
      <c r="A1739" s="1">
        <f>HYPERLINK("http://www.twitter.com/NathanBLawrence/status/820320102105149440", "820320102105149440")</f>
        <v/>
      </c>
      <c r="B1739" s="2" t="n">
        <v>42749.72369212963</v>
      </c>
      <c r="C1739" t="n">
        <v>0</v>
      </c>
      <c r="D1739" t="n">
        <v>1522</v>
      </c>
      <c r="E1739" t="s">
        <v>1744</v>
      </c>
      <c r="F1739" t="s"/>
      <c r="G1739" t="s"/>
      <c r="H1739" t="s"/>
      <c r="I1739" t="s"/>
      <c r="J1739" t="n">
        <v>-0.6486</v>
      </c>
      <c r="K1739" t="n">
        <v>0.194</v>
      </c>
      <c r="L1739" t="n">
        <v>0.806</v>
      </c>
      <c r="M1739" t="n">
        <v>0</v>
      </c>
    </row>
    <row r="1740" spans="1:13">
      <c r="A1740" s="1">
        <f>HYPERLINK("http://www.twitter.com/NathanBLawrence/status/820319934886592512", "820319934886592512")</f>
        <v/>
      </c>
      <c r="B1740" s="2" t="n">
        <v>42749.72322916667</v>
      </c>
      <c r="C1740" t="n">
        <v>6</v>
      </c>
      <c r="D1740" t="n">
        <v>1</v>
      </c>
      <c r="E1740" t="s">
        <v>1745</v>
      </c>
      <c r="F1740" t="s"/>
      <c r="G1740" t="s"/>
      <c r="H1740" t="s"/>
      <c r="I1740" t="s"/>
      <c r="J1740" t="n">
        <v>-0.5562</v>
      </c>
      <c r="K1740" t="n">
        <v>0.174</v>
      </c>
      <c r="L1740" t="n">
        <v>0.826</v>
      </c>
      <c r="M1740" t="n">
        <v>0</v>
      </c>
    </row>
    <row r="1741" spans="1:13">
      <c r="A1741" s="1">
        <f>HYPERLINK("http://www.twitter.com/NathanBLawrence/status/820304138441474048", "820304138441474048")</f>
        <v/>
      </c>
      <c r="B1741" s="2" t="n">
        <v>42749.6796412037</v>
      </c>
      <c r="C1741" t="n">
        <v>1</v>
      </c>
      <c r="D1741" t="n">
        <v>1</v>
      </c>
      <c r="E1741" t="s">
        <v>1746</v>
      </c>
      <c r="F1741" t="s"/>
      <c r="G1741" t="s"/>
      <c r="H1741" t="s"/>
      <c r="I1741" t="s"/>
      <c r="J1741" t="n">
        <v>0</v>
      </c>
      <c r="K1741" t="n">
        <v>0</v>
      </c>
      <c r="L1741" t="n">
        <v>1</v>
      </c>
      <c r="M1741" t="n">
        <v>0</v>
      </c>
    </row>
    <row r="1742" spans="1:13">
      <c r="A1742" s="1">
        <f>HYPERLINK("http://www.twitter.com/NathanBLawrence/status/820303448646316032", "820303448646316032")</f>
        <v/>
      </c>
      <c r="B1742" s="2" t="n">
        <v>42749.67774305555</v>
      </c>
      <c r="C1742" t="n">
        <v>0</v>
      </c>
      <c r="D1742" t="n">
        <v>20</v>
      </c>
      <c r="E1742" t="s">
        <v>1747</v>
      </c>
      <c r="F1742" t="s"/>
      <c r="G1742" t="s"/>
      <c r="H1742" t="s"/>
      <c r="I1742" t="s"/>
      <c r="J1742" t="n">
        <v>0</v>
      </c>
      <c r="K1742" t="n">
        <v>0</v>
      </c>
      <c r="L1742" t="n">
        <v>1</v>
      </c>
      <c r="M1742" t="n">
        <v>0</v>
      </c>
    </row>
    <row r="1743" spans="1:13">
      <c r="A1743" s="1">
        <f>HYPERLINK("http://www.twitter.com/NathanBLawrence/status/820302603619893248", "820302603619893248")</f>
        <v/>
      </c>
      <c r="B1743" s="2" t="n">
        <v>42749.6754050926</v>
      </c>
      <c r="C1743" t="n">
        <v>0</v>
      </c>
      <c r="D1743" t="n">
        <v>8</v>
      </c>
      <c r="E1743" t="s">
        <v>1748</v>
      </c>
      <c r="F1743" t="s"/>
      <c r="G1743" t="s"/>
      <c r="H1743" t="s"/>
      <c r="I1743" t="s"/>
      <c r="J1743" t="n">
        <v>0</v>
      </c>
      <c r="K1743" t="n">
        <v>0</v>
      </c>
      <c r="L1743" t="n">
        <v>1</v>
      </c>
      <c r="M1743" t="n">
        <v>0</v>
      </c>
    </row>
    <row r="1744" spans="1:13">
      <c r="A1744" s="1">
        <f>HYPERLINK("http://www.twitter.com/NathanBLawrence/status/820300322971275264", "820300322971275264")</f>
        <v/>
      </c>
      <c r="B1744" s="2" t="n">
        <v>42749.66912037037</v>
      </c>
      <c r="C1744" t="n">
        <v>0</v>
      </c>
      <c r="D1744" t="n">
        <v>2329</v>
      </c>
      <c r="E1744" t="s">
        <v>1749</v>
      </c>
      <c r="F1744" t="s"/>
      <c r="G1744" t="s"/>
      <c r="H1744" t="s"/>
      <c r="I1744" t="s"/>
      <c r="J1744" t="n">
        <v>0.4404</v>
      </c>
      <c r="K1744" t="n">
        <v>0</v>
      </c>
      <c r="L1744" t="n">
        <v>0.674</v>
      </c>
      <c r="M1744" t="n">
        <v>0.326</v>
      </c>
    </row>
    <row r="1745" spans="1:13">
      <c r="A1745" s="1">
        <f>HYPERLINK("http://www.twitter.com/NathanBLawrence/status/820300244659347456", "820300244659347456")</f>
        <v/>
      </c>
      <c r="B1745" s="2" t="n">
        <v>42749.66890046297</v>
      </c>
      <c r="C1745" t="n">
        <v>0</v>
      </c>
      <c r="D1745" t="n">
        <v>751</v>
      </c>
      <c r="E1745" t="s">
        <v>1750</v>
      </c>
      <c r="F1745">
        <f>HYPERLINK("http://pbs.twimg.com/media/C2G0cgYXEAAtfhw.jpg", "http://pbs.twimg.com/media/C2G0cgYXEAAtfhw.jpg")</f>
        <v/>
      </c>
      <c r="G1745" t="s"/>
      <c r="H1745" t="s"/>
      <c r="I1745" t="s"/>
      <c r="J1745" t="n">
        <v>0</v>
      </c>
      <c r="K1745" t="n">
        <v>0</v>
      </c>
      <c r="L1745" t="n">
        <v>1</v>
      </c>
      <c r="M1745" t="n">
        <v>0</v>
      </c>
    </row>
    <row r="1746" spans="1:13">
      <c r="A1746" s="1">
        <f>HYPERLINK("http://www.twitter.com/NathanBLawrence/status/820073735491297282", "820073735491297282")</f>
        <v/>
      </c>
      <c r="B1746" s="2" t="n">
        <v>42749.04385416667</v>
      </c>
      <c r="C1746" t="n">
        <v>0</v>
      </c>
      <c r="D1746" t="n">
        <v>696</v>
      </c>
      <c r="E1746" t="s">
        <v>1751</v>
      </c>
      <c r="F1746">
        <f>HYPERLINK("http://pbs.twimg.com/media/C2FYxsMWEAAss11.jpg", "http://pbs.twimg.com/media/C2FYxsMWEAAss11.jpg")</f>
        <v/>
      </c>
      <c r="G1746" t="s"/>
      <c r="H1746" t="s"/>
      <c r="I1746" t="s"/>
      <c r="J1746" t="n">
        <v>0</v>
      </c>
      <c r="K1746" t="n">
        <v>0</v>
      </c>
      <c r="L1746" t="n">
        <v>1</v>
      </c>
      <c r="M1746" t="n">
        <v>0</v>
      </c>
    </row>
    <row r="1747" spans="1:13">
      <c r="A1747" s="1">
        <f>HYPERLINK("http://www.twitter.com/NathanBLawrence/status/820073407526092801", "820073407526092801")</f>
        <v/>
      </c>
      <c r="B1747" s="2" t="n">
        <v>42749.04295138889</v>
      </c>
      <c r="C1747" t="n">
        <v>0</v>
      </c>
      <c r="D1747" t="n">
        <v>532</v>
      </c>
      <c r="E1747" t="s">
        <v>1752</v>
      </c>
      <c r="F1747" t="s"/>
      <c r="G1747" t="s"/>
      <c r="H1747" t="s"/>
      <c r="I1747" t="s"/>
      <c r="J1747" t="n">
        <v>-0.8459</v>
      </c>
      <c r="K1747" t="n">
        <v>0.347</v>
      </c>
      <c r="L1747" t="n">
        <v>0.5590000000000001</v>
      </c>
      <c r="M1747" t="n">
        <v>0.094</v>
      </c>
    </row>
    <row r="1748" spans="1:13">
      <c r="A1748" s="1">
        <f>HYPERLINK("http://www.twitter.com/NathanBLawrence/status/820072279065272320", "820072279065272320")</f>
        <v/>
      </c>
      <c r="B1748" s="2" t="n">
        <v>42749.03983796296</v>
      </c>
      <c r="C1748" t="n">
        <v>0</v>
      </c>
      <c r="D1748" t="n">
        <v>947</v>
      </c>
      <c r="E1748" t="s">
        <v>1753</v>
      </c>
      <c r="F1748" t="s"/>
      <c r="G1748" t="s"/>
      <c r="H1748" t="s"/>
      <c r="I1748" t="s"/>
      <c r="J1748" t="n">
        <v>0.34</v>
      </c>
      <c r="K1748" t="n">
        <v>0</v>
      </c>
      <c r="L1748" t="n">
        <v>0.888</v>
      </c>
      <c r="M1748" t="n">
        <v>0.112</v>
      </c>
    </row>
    <row r="1749" spans="1:13">
      <c r="A1749" s="1">
        <f>HYPERLINK("http://www.twitter.com/NathanBLawrence/status/820051573913034752", "820051573913034752")</f>
        <v/>
      </c>
      <c r="B1749" s="2" t="n">
        <v>42748.98269675926</v>
      </c>
      <c r="C1749" t="n">
        <v>0</v>
      </c>
      <c r="D1749" t="n">
        <v>3158</v>
      </c>
      <c r="E1749" t="s">
        <v>1754</v>
      </c>
      <c r="F1749" t="s"/>
      <c r="G1749" t="s"/>
      <c r="H1749" t="s"/>
      <c r="I1749" t="s"/>
      <c r="J1749" t="n">
        <v>0.5719</v>
      </c>
      <c r="K1749" t="n">
        <v>0.115</v>
      </c>
      <c r="L1749" t="n">
        <v>0.576</v>
      </c>
      <c r="M1749" t="n">
        <v>0.309</v>
      </c>
    </row>
    <row r="1750" spans="1:13">
      <c r="A1750" s="1">
        <f>HYPERLINK("http://www.twitter.com/NathanBLawrence/status/819955281186738177", "819955281186738177")</f>
        <v/>
      </c>
      <c r="B1750" s="2" t="n">
        <v>42748.71697916667</v>
      </c>
      <c r="C1750" t="n">
        <v>0</v>
      </c>
      <c r="D1750" t="n">
        <v>7</v>
      </c>
      <c r="E1750" t="s">
        <v>1755</v>
      </c>
      <c r="F1750">
        <f>HYPERLINK("http://pbs.twimg.com/media/CrOySpmVUAA5Ry6.jpg", "http://pbs.twimg.com/media/CrOySpmVUAA5Ry6.jpg")</f>
        <v/>
      </c>
      <c r="G1750" t="s"/>
      <c r="H1750" t="s"/>
      <c r="I1750" t="s"/>
      <c r="J1750" t="n">
        <v>-0.5266999999999999</v>
      </c>
      <c r="K1750" t="n">
        <v>0.195</v>
      </c>
      <c r="L1750" t="n">
        <v>0.805</v>
      </c>
      <c r="M1750" t="n">
        <v>0</v>
      </c>
    </row>
    <row r="1751" spans="1:13">
      <c r="A1751" s="1">
        <f>HYPERLINK("http://www.twitter.com/NathanBLawrence/status/819954972980867072", "819954972980867072")</f>
        <v/>
      </c>
      <c r="B1751" s="2" t="n">
        <v>42748.71613425926</v>
      </c>
      <c r="C1751" t="n">
        <v>0</v>
      </c>
      <c r="D1751" t="n">
        <v>1224</v>
      </c>
      <c r="E1751" t="s">
        <v>1756</v>
      </c>
      <c r="F1751" t="s"/>
      <c r="G1751" t="s"/>
      <c r="H1751" t="s"/>
      <c r="I1751" t="s"/>
      <c r="J1751" t="n">
        <v>-0.7506</v>
      </c>
      <c r="K1751" t="n">
        <v>0.274</v>
      </c>
      <c r="L1751" t="n">
        <v>0.726</v>
      </c>
      <c r="M1751" t="n">
        <v>0</v>
      </c>
    </row>
    <row r="1752" spans="1:13">
      <c r="A1752" s="1">
        <f>HYPERLINK("http://www.twitter.com/NathanBLawrence/status/819950239998214144", "819950239998214144")</f>
        <v/>
      </c>
      <c r="B1752" s="2" t="n">
        <v>42748.70306712963</v>
      </c>
      <c r="C1752" t="n">
        <v>0</v>
      </c>
      <c r="D1752" t="n">
        <v>2645</v>
      </c>
      <c r="E1752" t="s">
        <v>1757</v>
      </c>
      <c r="F1752">
        <f>HYPERLINK("http://pbs.twimg.com/media/C2AuqDWWEAElqtq.jpg", "http://pbs.twimg.com/media/C2AuqDWWEAElqtq.jpg")</f>
        <v/>
      </c>
      <c r="G1752" t="s"/>
      <c r="H1752" t="s"/>
      <c r="I1752" t="s"/>
      <c r="J1752" t="n">
        <v>0</v>
      </c>
      <c r="K1752" t="n">
        <v>0</v>
      </c>
      <c r="L1752" t="n">
        <v>1</v>
      </c>
      <c r="M1752" t="n">
        <v>0</v>
      </c>
    </row>
    <row r="1753" spans="1:13">
      <c r="A1753" s="1">
        <f>HYPERLINK("http://www.twitter.com/NathanBLawrence/status/819941405388902401", "819941405388902401")</f>
        <v/>
      </c>
      <c r="B1753" s="2" t="n">
        <v>42748.67869212963</v>
      </c>
      <c r="C1753" t="n">
        <v>0</v>
      </c>
      <c r="D1753" t="n">
        <v>2156</v>
      </c>
      <c r="E1753" t="s">
        <v>1758</v>
      </c>
      <c r="F1753">
        <f>HYPERLINK("http://pbs.twimg.com/media/C2EB8q7XEAApCTC.jpg", "http://pbs.twimg.com/media/C2EB8q7XEAApCTC.jpg")</f>
        <v/>
      </c>
      <c r="G1753" t="s"/>
      <c r="H1753" t="s"/>
      <c r="I1753" t="s"/>
      <c r="J1753" t="n">
        <v>-0.5859</v>
      </c>
      <c r="K1753" t="n">
        <v>0.163</v>
      </c>
      <c r="L1753" t="n">
        <v>0.792</v>
      </c>
      <c r="M1753" t="n">
        <v>0.046</v>
      </c>
    </row>
    <row r="1754" spans="1:13">
      <c r="A1754" s="1">
        <f>HYPERLINK("http://www.twitter.com/NathanBLawrence/status/819720086848159744", "819720086848159744")</f>
        <v/>
      </c>
      <c r="B1754" s="2" t="n">
        <v>42748.06797453704</v>
      </c>
      <c r="C1754" t="n">
        <v>0</v>
      </c>
      <c r="D1754" t="n">
        <v>5983</v>
      </c>
      <c r="E1754" t="s">
        <v>1759</v>
      </c>
      <c r="F1754" t="s"/>
      <c r="G1754" t="s"/>
      <c r="H1754" t="s"/>
      <c r="I1754" t="s"/>
      <c r="J1754" t="n">
        <v>0.128</v>
      </c>
      <c r="K1754" t="n">
        <v>0.147</v>
      </c>
      <c r="L1754" t="n">
        <v>0.678</v>
      </c>
      <c r="M1754" t="n">
        <v>0.175</v>
      </c>
    </row>
    <row r="1755" spans="1:13">
      <c r="A1755" s="1">
        <f>HYPERLINK("http://www.twitter.com/NathanBLawrence/status/819719166877962241", "819719166877962241")</f>
        <v/>
      </c>
      <c r="B1755" s="2" t="n">
        <v>42748.06542824074</v>
      </c>
      <c r="C1755" t="n">
        <v>0</v>
      </c>
      <c r="D1755" t="n">
        <v>1727</v>
      </c>
      <c r="E1755" t="s">
        <v>1760</v>
      </c>
      <c r="F1755" t="s"/>
      <c r="G1755" t="s"/>
      <c r="H1755" t="s"/>
      <c r="I1755" t="s"/>
      <c r="J1755" t="n">
        <v>-0.296</v>
      </c>
      <c r="K1755" t="n">
        <v>0.128</v>
      </c>
      <c r="L1755" t="n">
        <v>0.872</v>
      </c>
      <c r="M1755" t="n">
        <v>0</v>
      </c>
    </row>
    <row r="1756" spans="1:13">
      <c r="A1756" s="1">
        <f>HYPERLINK("http://www.twitter.com/NathanBLawrence/status/819690322687041536", "819690322687041536")</f>
        <v/>
      </c>
      <c r="B1756" s="2" t="n">
        <v>42747.98583333333</v>
      </c>
      <c r="C1756" t="n">
        <v>0</v>
      </c>
      <c r="D1756" t="n">
        <v>3432</v>
      </c>
      <c r="E1756" t="s">
        <v>1761</v>
      </c>
      <c r="F1756" t="s"/>
      <c r="G1756" t="s"/>
      <c r="H1756" t="s"/>
      <c r="I1756" t="s"/>
      <c r="J1756" t="n">
        <v>0.128</v>
      </c>
      <c r="K1756" t="n">
        <v>0</v>
      </c>
      <c r="L1756" t="n">
        <v>0.9360000000000001</v>
      </c>
      <c r="M1756" t="n">
        <v>0.064</v>
      </c>
    </row>
    <row r="1757" spans="1:13">
      <c r="A1757" s="1">
        <f>HYPERLINK("http://www.twitter.com/NathanBLawrence/status/819672620924805125", "819672620924805125")</f>
        <v/>
      </c>
      <c r="B1757" s="2" t="n">
        <v>42747.93699074074</v>
      </c>
      <c r="C1757" t="n">
        <v>0</v>
      </c>
      <c r="D1757" t="n">
        <v>2247</v>
      </c>
      <c r="E1757" t="s">
        <v>1762</v>
      </c>
      <c r="F1757" t="s"/>
      <c r="G1757" t="s"/>
      <c r="H1757" t="s"/>
      <c r="I1757" t="s"/>
      <c r="J1757" t="n">
        <v>0.0772</v>
      </c>
      <c r="K1757" t="n">
        <v>0.114</v>
      </c>
      <c r="L1757" t="n">
        <v>0.758</v>
      </c>
      <c r="M1757" t="n">
        <v>0.128</v>
      </c>
    </row>
    <row r="1758" spans="1:13">
      <c r="A1758" s="1">
        <f>HYPERLINK("http://www.twitter.com/NathanBLawrence/status/819602045351006208", "819602045351006208")</f>
        <v/>
      </c>
      <c r="B1758" s="2" t="n">
        <v>42747.7422337963</v>
      </c>
      <c r="C1758" t="n">
        <v>0</v>
      </c>
      <c r="D1758" t="n">
        <v>0</v>
      </c>
      <c r="E1758" t="s">
        <v>1763</v>
      </c>
      <c r="F1758" t="s"/>
      <c r="G1758" t="s"/>
      <c r="H1758" t="s"/>
      <c r="I1758" t="s"/>
      <c r="J1758" t="n">
        <v>0.5859</v>
      </c>
      <c r="K1758" t="n">
        <v>0</v>
      </c>
      <c r="L1758" t="n">
        <v>0.789</v>
      </c>
      <c r="M1758" t="n">
        <v>0.211</v>
      </c>
    </row>
    <row r="1759" spans="1:13">
      <c r="A1759" s="1">
        <f>HYPERLINK("http://www.twitter.com/NathanBLawrence/status/819591397581946886", "819591397581946886")</f>
        <v/>
      </c>
      <c r="B1759" s="2" t="n">
        <v>42747.71285879629</v>
      </c>
      <c r="C1759" t="n">
        <v>0</v>
      </c>
      <c r="D1759" t="n">
        <v>640</v>
      </c>
      <c r="E1759" t="s">
        <v>1764</v>
      </c>
      <c r="F1759" t="s"/>
      <c r="G1759" t="s"/>
      <c r="H1759" t="s"/>
      <c r="I1759" t="s"/>
      <c r="J1759" t="n">
        <v>-0.8885</v>
      </c>
      <c r="K1759" t="n">
        <v>0.385</v>
      </c>
      <c r="L1759" t="n">
        <v>0.554</v>
      </c>
      <c r="M1759" t="n">
        <v>0.062</v>
      </c>
    </row>
    <row r="1760" spans="1:13">
      <c r="A1760" s="1">
        <f>HYPERLINK("http://www.twitter.com/NathanBLawrence/status/819547488453591041", "819547488453591041")</f>
        <v/>
      </c>
      <c r="B1760" s="2" t="n">
        <v>42747.59168981481</v>
      </c>
      <c r="C1760" t="n">
        <v>0</v>
      </c>
      <c r="D1760" t="n">
        <v>86</v>
      </c>
      <c r="E1760" t="s">
        <v>1765</v>
      </c>
      <c r="F1760" t="s"/>
      <c r="G1760" t="s"/>
      <c r="H1760" t="s"/>
      <c r="I1760" t="s"/>
      <c r="J1760" t="n">
        <v>0.0258</v>
      </c>
      <c r="K1760" t="n">
        <v>0.182</v>
      </c>
      <c r="L1760" t="n">
        <v>0.672</v>
      </c>
      <c r="M1760" t="n">
        <v>0.146</v>
      </c>
    </row>
    <row r="1761" spans="1:13">
      <c r="A1761" s="1">
        <f>HYPERLINK("http://www.twitter.com/NathanBLawrence/status/819429803480715265", "819429803480715265")</f>
        <v/>
      </c>
      <c r="B1761" s="2" t="n">
        <v>42747.26694444445</v>
      </c>
      <c r="C1761" t="n">
        <v>0</v>
      </c>
      <c r="D1761" t="n">
        <v>10</v>
      </c>
      <c r="E1761" t="s">
        <v>1766</v>
      </c>
      <c r="F1761" t="s"/>
      <c r="G1761" t="s"/>
      <c r="H1761" t="s"/>
      <c r="I1761" t="s"/>
      <c r="J1761" t="n">
        <v>-0.1531</v>
      </c>
      <c r="K1761" t="n">
        <v>0.168</v>
      </c>
      <c r="L1761" t="n">
        <v>0.6899999999999999</v>
      </c>
      <c r="M1761" t="n">
        <v>0.142</v>
      </c>
    </row>
    <row r="1762" spans="1:13">
      <c r="A1762" s="1">
        <f>HYPERLINK("http://www.twitter.com/NathanBLawrence/status/819417145440342016", "819417145440342016")</f>
        <v/>
      </c>
      <c r="B1762" s="2" t="n">
        <v>42747.23201388889</v>
      </c>
      <c r="C1762" t="n">
        <v>0</v>
      </c>
      <c r="D1762" t="n">
        <v>327</v>
      </c>
      <c r="E1762" t="s">
        <v>1767</v>
      </c>
      <c r="F1762">
        <f>HYPERLINK("http://pbs.twimg.com/media/C164x10WEAA6Ag1.jpg", "http://pbs.twimg.com/media/C164x10WEAA6Ag1.jpg")</f>
        <v/>
      </c>
      <c r="G1762" t="s"/>
      <c r="H1762" t="s"/>
      <c r="I1762" t="s"/>
      <c r="J1762" t="n">
        <v>0</v>
      </c>
      <c r="K1762" t="n">
        <v>0</v>
      </c>
      <c r="L1762" t="n">
        <v>1</v>
      </c>
      <c r="M1762" t="n">
        <v>0</v>
      </c>
    </row>
    <row r="1763" spans="1:13">
      <c r="A1763" s="1">
        <f>HYPERLINK("http://www.twitter.com/NathanBLawrence/status/819416951734861829", "819416951734861829")</f>
        <v/>
      </c>
      <c r="B1763" s="2" t="n">
        <v>42747.2314699074</v>
      </c>
      <c r="C1763" t="n">
        <v>0</v>
      </c>
      <c r="D1763" t="n">
        <v>5264</v>
      </c>
      <c r="E1763" t="s">
        <v>1768</v>
      </c>
      <c r="F1763" t="s"/>
      <c r="G1763" t="s"/>
      <c r="H1763" t="s"/>
      <c r="I1763" t="s"/>
      <c r="J1763" t="n">
        <v>0.6597</v>
      </c>
      <c r="K1763" t="n">
        <v>0</v>
      </c>
      <c r="L1763" t="n">
        <v>0.769</v>
      </c>
      <c r="M1763" t="n">
        <v>0.231</v>
      </c>
    </row>
    <row r="1764" spans="1:13">
      <c r="A1764" s="1">
        <f>HYPERLINK("http://www.twitter.com/NathanBLawrence/status/819286249475293184", "819286249475293184")</f>
        <v/>
      </c>
      <c r="B1764" s="2" t="n">
        <v>42746.87081018519</v>
      </c>
      <c r="C1764" t="n">
        <v>0</v>
      </c>
      <c r="D1764" t="n">
        <v>2847</v>
      </c>
      <c r="E1764" t="s">
        <v>1769</v>
      </c>
      <c r="F1764" t="s"/>
      <c r="G1764" t="s"/>
      <c r="H1764" t="s"/>
      <c r="I1764" t="s"/>
      <c r="J1764" t="n">
        <v>-0.5719</v>
      </c>
      <c r="K1764" t="n">
        <v>0.183</v>
      </c>
      <c r="L1764" t="n">
        <v>0.8169999999999999</v>
      </c>
      <c r="M1764" t="n">
        <v>0</v>
      </c>
    </row>
    <row r="1765" spans="1:13">
      <c r="A1765" s="1">
        <f>HYPERLINK("http://www.twitter.com/NathanBLawrence/status/819277429986525184", "819277429986525184")</f>
        <v/>
      </c>
      <c r="B1765" s="2" t="n">
        <v>42746.84646990741</v>
      </c>
      <c r="C1765" t="n">
        <v>0</v>
      </c>
      <c r="D1765" t="n">
        <v>41</v>
      </c>
      <c r="E1765" t="s">
        <v>1770</v>
      </c>
      <c r="F1765" t="s"/>
      <c r="G1765" t="s"/>
      <c r="H1765" t="s"/>
      <c r="I1765" t="s"/>
      <c r="J1765" t="n">
        <v>0.4336</v>
      </c>
      <c r="K1765" t="n">
        <v>0</v>
      </c>
      <c r="L1765" t="n">
        <v>0.771</v>
      </c>
      <c r="M1765" t="n">
        <v>0.229</v>
      </c>
    </row>
    <row r="1766" spans="1:13">
      <c r="A1766" s="1">
        <f>HYPERLINK("http://www.twitter.com/NathanBLawrence/status/819268972969414657", "819268972969414657")</f>
        <v/>
      </c>
      <c r="B1766" s="2" t="n">
        <v>42746.82313657407</v>
      </c>
      <c r="C1766" t="n">
        <v>0</v>
      </c>
      <c r="D1766" t="n">
        <v>203</v>
      </c>
      <c r="E1766" t="s">
        <v>1771</v>
      </c>
      <c r="F1766" t="s"/>
      <c r="G1766" t="s"/>
      <c r="H1766" t="s"/>
      <c r="I1766" t="s"/>
      <c r="J1766" t="n">
        <v>-0.2023</v>
      </c>
      <c r="K1766" t="n">
        <v>0.079</v>
      </c>
      <c r="L1766" t="n">
        <v>0.921</v>
      </c>
      <c r="M1766" t="n">
        <v>0</v>
      </c>
    </row>
    <row r="1767" spans="1:13">
      <c r="A1767" s="1">
        <f>HYPERLINK("http://www.twitter.com/NathanBLawrence/status/819254875385135104", "819254875385135104")</f>
        <v/>
      </c>
      <c r="B1767" s="2" t="n">
        <v>42746.78422453703</v>
      </c>
      <c r="C1767" t="n">
        <v>0</v>
      </c>
      <c r="D1767" t="n">
        <v>727</v>
      </c>
      <c r="E1767" t="s">
        <v>1772</v>
      </c>
      <c r="F1767">
        <f>HYPERLINK("http://pbs.twimg.com/media/C15MW_rXcAAiHwU.jpg", "http://pbs.twimg.com/media/C15MW_rXcAAiHwU.jpg")</f>
        <v/>
      </c>
      <c r="G1767" t="s"/>
      <c r="H1767" t="s"/>
      <c r="I1767" t="s"/>
      <c r="J1767" t="n">
        <v>0.0276</v>
      </c>
      <c r="K1767" t="n">
        <v>0.132</v>
      </c>
      <c r="L1767" t="n">
        <v>0.731</v>
      </c>
      <c r="M1767" t="n">
        <v>0.137</v>
      </c>
    </row>
    <row r="1768" spans="1:13">
      <c r="A1768" s="1">
        <f>HYPERLINK("http://www.twitter.com/NathanBLawrence/status/819236202377256960", "819236202377256960")</f>
        <v/>
      </c>
      <c r="B1768" s="2" t="n">
        <v>42746.73269675926</v>
      </c>
      <c r="C1768" t="n">
        <v>0</v>
      </c>
      <c r="D1768" t="n">
        <v>23</v>
      </c>
      <c r="E1768" t="s">
        <v>1773</v>
      </c>
      <c r="F1768" t="s"/>
      <c r="G1768" t="s"/>
      <c r="H1768" t="s"/>
      <c r="I1768" t="s"/>
      <c r="J1768" t="n">
        <v>0.5994</v>
      </c>
      <c r="K1768" t="n">
        <v>0</v>
      </c>
      <c r="L1768" t="n">
        <v>0.849</v>
      </c>
      <c r="M1768" t="n">
        <v>0.151</v>
      </c>
    </row>
    <row r="1769" spans="1:13">
      <c r="A1769" s="1">
        <f>HYPERLINK("http://www.twitter.com/NathanBLawrence/status/819067321381752833", "819067321381752833")</f>
        <v/>
      </c>
      <c r="B1769" s="2" t="n">
        <v>42746.26667824074</v>
      </c>
      <c r="C1769" t="n">
        <v>0</v>
      </c>
      <c r="D1769" t="n">
        <v>756</v>
      </c>
      <c r="E1769" t="s">
        <v>1774</v>
      </c>
      <c r="F1769">
        <f>HYPERLINK("http://pbs.twimg.com/media/C12_-FnWgAAWwxV.jpg", "http://pbs.twimg.com/media/C12_-FnWgAAWwxV.jpg")</f>
        <v/>
      </c>
      <c r="G1769" t="s"/>
      <c r="H1769" t="s"/>
      <c r="I1769" t="s"/>
      <c r="J1769" t="n">
        <v>0</v>
      </c>
      <c r="K1769" t="n">
        <v>0</v>
      </c>
      <c r="L1769" t="n">
        <v>1</v>
      </c>
      <c r="M1769" t="n">
        <v>0</v>
      </c>
    </row>
    <row r="1770" spans="1:13">
      <c r="A1770" s="1">
        <f>HYPERLINK("http://www.twitter.com/NathanBLawrence/status/819011947609919488", "819011947609919488")</f>
        <v/>
      </c>
      <c r="B1770" s="2" t="n">
        <v>42746.11387731481</v>
      </c>
      <c r="C1770" t="n">
        <v>0</v>
      </c>
      <c r="D1770" t="n">
        <v>546</v>
      </c>
      <c r="E1770" t="s">
        <v>1775</v>
      </c>
      <c r="F1770" t="s"/>
      <c r="G1770" t="s"/>
      <c r="H1770" t="s"/>
      <c r="I1770" t="s"/>
      <c r="J1770" t="n">
        <v>0</v>
      </c>
      <c r="K1770" t="n">
        <v>0</v>
      </c>
      <c r="L1770" t="n">
        <v>1</v>
      </c>
      <c r="M1770" t="n">
        <v>0</v>
      </c>
    </row>
    <row r="1771" spans="1:13">
      <c r="A1771" s="1">
        <f>HYPERLINK("http://www.twitter.com/NathanBLawrence/status/819002082145501184", "819002082145501184")</f>
        <v/>
      </c>
      <c r="B1771" s="2" t="n">
        <v>42746.08665509259</v>
      </c>
      <c r="C1771" t="n">
        <v>0</v>
      </c>
      <c r="D1771" t="n">
        <v>14161</v>
      </c>
      <c r="E1771" t="s">
        <v>1776</v>
      </c>
      <c r="F1771" t="s"/>
      <c r="G1771" t="s"/>
      <c r="H1771" t="s"/>
      <c r="I1771" t="s"/>
      <c r="J1771" t="n">
        <v>0</v>
      </c>
      <c r="K1771" t="n">
        <v>0</v>
      </c>
      <c r="L1771" t="n">
        <v>1</v>
      </c>
      <c r="M1771" t="n">
        <v>0</v>
      </c>
    </row>
    <row r="1772" spans="1:13">
      <c r="A1772" s="1">
        <f>HYPERLINK("http://www.twitter.com/NathanBLawrence/status/819002082091028486", "819002082091028486")</f>
        <v/>
      </c>
      <c r="B1772" s="2" t="n">
        <v>42746.08665509259</v>
      </c>
      <c r="C1772" t="n">
        <v>0</v>
      </c>
      <c r="D1772" t="n">
        <v>3274</v>
      </c>
      <c r="E1772" t="s">
        <v>1777</v>
      </c>
      <c r="F1772" t="s"/>
      <c r="G1772" t="s"/>
      <c r="H1772" t="s"/>
      <c r="I1772" t="s"/>
      <c r="J1772" t="n">
        <v>-0.3182</v>
      </c>
      <c r="K1772" t="n">
        <v>0.108</v>
      </c>
      <c r="L1772" t="n">
        <v>0.892</v>
      </c>
      <c r="M1772" t="n">
        <v>0</v>
      </c>
    </row>
    <row r="1773" spans="1:13">
      <c r="A1773" s="1">
        <f>HYPERLINK("http://www.twitter.com/NathanBLawrence/status/818941865571586049", "818941865571586049")</f>
        <v/>
      </c>
      <c r="B1773" s="2" t="n">
        <v>42745.92048611111</v>
      </c>
      <c r="C1773" t="n">
        <v>0</v>
      </c>
      <c r="D1773" t="n">
        <v>1674</v>
      </c>
      <c r="E1773" t="s">
        <v>1778</v>
      </c>
      <c r="F1773" t="s"/>
      <c r="G1773" t="s"/>
      <c r="H1773" t="s"/>
      <c r="I1773" t="s"/>
      <c r="J1773" t="n">
        <v>0.5242</v>
      </c>
      <c r="K1773" t="n">
        <v>0</v>
      </c>
      <c r="L1773" t="n">
        <v>0.849</v>
      </c>
      <c r="M1773" t="n">
        <v>0.151</v>
      </c>
    </row>
    <row r="1774" spans="1:13">
      <c r="A1774" s="1">
        <f>HYPERLINK("http://www.twitter.com/NathanBLawrence/status/818863046676402176", "818863046676402176")</f>
        <v/>
      </c>
      <c r="B1774" s="2" t="n">
        <v>42745.70298611111</v>
      </c>
      <c r="C1774" t="n">
        <v>0</v>
      </c>
      <c r="D1774" t="n">
        <v>798</v>
      </c>
      <c r="E1774" t="s">
        <v>1779</v>
      </c>
      <c r="F1774">
        <f>HYPERLINK("http://pbs.twimg.com/media/C10s5hSWIAAwWhy.jpg", "http://pbs.twimg.com/media/C10s5hSWIAAwWhy.jpg")</f>
        <v/>
      </c>
      <c r="G1774" t="s"/>
      <c r="H1774" t="s"/>
      <c r="I1774" t="s"/>
      <c r="J1774" t="n">
        <v>-0.8679</v>
      </c>
      <c r="K1774" t="n">
        <v>0.356</v>
      </c>
      <c r="L1774" t="n">
        <v>0.5610000000000001</v>
      </c>
      <c r="M1774" t="n">
        <v>0.082</v>
      </c>
    </row>
    <row r="1775" spans="1:13">
      <c r="A1775" s="1">
        <f>HYPERLINK("http://www.twitter.com/NathanBLawrence/status/818651743798099968", "818651743798099968")</f>
        <v/>
      </c>
      <c r="B1775" s="2" t="n">
        <v>42745.11990740741</v>
      </c>
      <c r="C1775" t="n">
        <v>0</v>
      </c>
      <c r="D1775" t="n">
        <v>3034</v>
      </c>
      <c r="E1775" t="s">
        <v>1780</v>
      </c>
      <c r="F1775">
        <f>HYPERLINK("http://pbs.twimg.com/media/C1xqh1mUcAAfe2p.jpg", "http://pbs.twimg.com/media/C1xqh1mUcAAfe2p.jpg")</f>
        <v/>
      </c>
      <c r="G1775" t="s"/>
      <c r="H1775" t="s"/>
      <c r="I1775" t="s"/>
      <c r="J1775" t="n">
        <v>-0.25</v>
      </c>
      <c r="K1775" t="n">
        <v>0.154</v>
      </c>
      <c r="L1775" t="n">
        <v>0.846</v>
      </c>
      <c r="M1775" t="n">
        <v>0</v>
      </c>
    </row>
    <row r="1776" spans="1:13">
      <c r="A1776" s="1">
        <f>HYPERLINK("http://www.twitter.com/NathanBLawrence/status/818520142690840576", "818520142690840576")</f>
        <v/>
      </c>
      <c r="B1776" s="2" t="n">
        <v>42744.75675925926</v>
      </c>
      <c r="C1776" t="n">
        <v>0</v>
      </c>
      <c r="D1776" t="n">
        <v>118</v>
      </c>
      <c r="E1776" t="s">
        <v>1781</v>
      </c>
      <c r="F1776">
        <f>HYPERLINK("http://pbs.twimg.com/media/C1v2EicXUAIgujx.jpg", "http://pbs.twimg.com/media/C1v2EicXUAIgujx.jpg")</f>
        <v/>
      </c>
      <c r="G1776" t="s"/>
      <c r="H1776" t="s"/>
      <c r="I1776" t="s"/>
      <c r="J1776" t="n">
        <v>0</v>
      </c>
      <c r="K1776" t="n">
        <v>0</v>
      </c>
      <c r="L1776" t="n">
        <v>1</v>
      </c>
      <c r="M1776" t="n">
        <v>0</v>
      </c>
    </row>
    <row r="1777" spans="1:13">
      <c r="A1777" s="1">
        <f>HYPERLINK("http://www.twitter.com/NathanBLawrence/status/818283763545309185", "818283763545309185")</f>
        <v/>
      </c>
      <c r="B1777" s="2" t="n">
        <v>42744.1044675926</v>
      </c>
      <c r="C1777" t="n">
        <v>0</v>
      </c>
      <c r="D1777" t="n">
        <v>4061</v>
      </c>
      <c r="E1777" t="s">
        <v>1782</v>
      </c>
      <c r="F1777" t="s"/>
      <c r="G1777" t="s"/>
      <c r="H1777" t="s"/>
      <c r="I1777" t="s"/>
      <c r="J1777" t="n">
        <v>0.4753</v>
      </c>
      <c r="K1777" t="n">
        <v>0</v>
      </c>
      <c r="L1777" t="n">
        <v>0.853</v>
      </c>
      <c r="M1777" t="n">
        <v>0.147</v>
      </c>
    </row>
    <row r="1778" spans="1:13">
      <c r="A1778" s="1">
        <f>HYPERLINK("http://www.twitter.com/NathanBLawrence/status/817838576914362369", "817838576914362369")</f>
        <v/>
      </c>
      <c r="B1778" s="2" t="n">
        <v>42742.87599537037</v>
      </c>
      <c r="C1778" t="n">
        <v>0</v>
      </c>
      <c r="D1778" t="n">
        <v>847</v>
      </c>
      <c r="E1778" t="s">
        <v>1783</v>
      </c>
      <c r="F1778" t="s"/>
      <c r="G1778" t="s"/>
      <c r="H1778" t="s"/>
      <c r="I1778" t="s"/>
      <c r="J1778" t="n">
        <v>-0.5106000000000001</v>
      </c>
      <c r="K1778" t="n">
        <v>0.13</v>
      </c>
      <c r="L1778" t="n">
        <v>0.87</v>
      </c>
      <c r="M1778" t="n">
        <v>0</v>
      </c>
    </row>
    <row r="1779" spans="1:13">
      <c r="A1779" s="1">
        <f>HYPERLINK("http://www.twitter.com/NathanBLawrence/status/817768404237033472", "817768404237033472")</f>
        <v/>
      </c>
      <c r="B1779" s="2" t="n">
        <v>42742.68234953703</v>
      </c>
      <c r="C1779" t="n">
        <v>0</v>
      </c>
      <c r="D1779" t="n">
        <v>310</v>
      </c>
      <c r="E1779" t="s">
        <v>1784</v>
      </c>
      <c r="F1779">
        <f>HYPERLINK("http://pbs.twimg.com/media/C1j1hEeXcAEUOKk.jpg", "http://pbs.twimg.com/media/C1j1hEeXcAEUOKk.jpg")</f>
        <v/>
      </c>
      <c r="G1779" t="s"/>
      <c r="H1779" t="s"/>
      <c r="I1779" t="s"/>
      <c r="J1779" t="n">
        <v>-0.5719</v>
      </c>
      <c r="K1779" t="n">
        <v>0.171</v>
      </c>
      <c r="L1779" t="n">
        <v>0.829</v>
      </c>
      <c r="M1779" t="n">
        <v>0</v>
      </c>
    </row>
    <row r="1780" spans="1:13">
      <c r="A1780" s="1">
        <f>HYPERLINK("http://www.twitter.com/NathanBLawrence/status/817538448722690050", "817538448722690050")</f>
        <v/>
      </c>
      <c r="B1780" s="2" t="n">
        <v>42742.04778935185</v>
      </c>
      <c r="C1780" t="n">
        <v>0</v>
      </c>
      <c r="D1780" t="n">
        <v>4648</v>
      </c>
      <c r="E1780" t="s">
        <v>1785</v>
      </c>
      <c r="F1780">
        <f>HYPERLINK("http://pbs.twimg.com/media/C1huiRUXAAMizmj.jpg", "http://pbs.twimg.com/media/C1huiRUXAAMizmj.jpg")</f>
        <v/>
      </c>
      <c r="G1780" t="s"/>
      <c r="H1780" t="s"/>
      <c r="I1780" t="s"/>
      <c r="J1780" t="n">
        <v>0</v>
      </c>
      <c r="K1780" t="n">
        <v>0</v>
      </c>
      <c r="L1780" t="n">
        <v>1</v>
      </c>
      <c r="M1780" t="n">
        <v>0</v>
      </c>
    </row>
    <row r="1781" spans="1:13">
      <c r="A1781" s="1">
        <f>HYPERLINK("http://www.twitter.com/NathanBLawrence/status/817529169101881344", "817529169101881344")</f>
        <v/>
      </c>
      <c r="B1781" s="2" t="n">
        <v>42742.0221875</v>
      </c>
      <c r="C1781" t="n">
        <v>0</v>
      </c>
      <c r="D1781" t="n">
        <v>2543</v>
      </c>
      <c r="E1781" t="s">
        <v>1786</v>
      </c>
      <c r="F1781" t="s"/>
      <c r="G1781" t="s"/>
      <c r="H1781" t="s"/>
      <c r="I1781" t="s"/>
      <c r="J1781" t="n">
        <v>0</v>
      </c>
      <c r="K1781" t="n">
        <v>0</v>
      </c>
      <c r="L1781" t="n">
        <v>1</v>
      </c>
      <c r="M1781" t="n">
        <v>0</v>
      </c>
    </row>
    <row r="1782" spans="1:13">
      <c r="A1782" s="1">
        <f>HYPERLINK("http://www.twitter.com/NathanBLawrence/status/817414719455764480", "817414719455764480")</f>
        <v/>
      </c>
      <c r="B1782" s="2" t="n">
        <v>42741.70636574074</v>
      </c>
      <c r="C1782" t="n">
        <v>0</v>
      </c>
      <c r="D1782" t="n">
        <v>24711</v>
      </c>
      <c r="E1782" t="s">
        <v>1787</v>
      </c>
      <c r="F1782" t="s"/>
      <c r="G1782" t="s"/>
      <c r="H1782" t="s"/>
      <c r="I1782" t="s"/>
      <c r="J1782" t="n">
        <v>0.743</v>
      </c>
      <c r="K1782" t="n">
        <v>0</v>
      </c>
      <c r="L1782" t="n">
        <v>0.711</v>
      </c>
      <c r="M1782" t="n">
        <v>0.289</v>
      </c>
    </row>
    <row r="1783" spans="1:13">
      <c r="A1783" s="1">
        <f>HYPERLINK("http://www.twitter.com/NathanBLawrence/status/817407256719478784", "817407256719478784")</f>
        <v/>
      </c>
      <c r="B1783" s="2" t="n">
        <v>42741.68577546296</v>
      </c>
      <c r="C1783" t="n">
        <v>0</v>
      </c>
      <c r="D1783" t="n">
        <v>2612</v>
      </c>
      <c r="E1783" t="s">
        <v>1788</v>
      </c>
      <c r="F1783" t="s"/>
      <c r="G1783" t="s"/>
      <c r="H1783" t="s"/>
      <c r="I1783" t="s"/>
      <c r="J1783" t="n">
        <v>0.0258</v>
      </c>
      <c r="K1783" t="n">
        <v>0</v>
      </c>
      <c r="L1783" t="n">
        <v>0.9419999999999999</v>
      </c>
      <c r="M1783" t="n">
        <v>0.058</v>
      </c>
    </row>
    <row r="1784" spans="1:13">
      <c r="A1784" s="1">
        <f>HYPERLINK("http://www.twitter.com/NathanBLawrence/status/817375445121372160", "817375445121372160")</f>
        <v/>
      </c>
      <c r="B1784" s="2" t="n">
        <v>42741.59798611111</v>
      </c>
      <c r="C1784" t="n">
        <v>0</v>
      </c>
      <c r="D1784" t="n">
        <v>3625</v>
      </c>
      <c r="E1784" t="s">
        <v>1789</v>
      </c>
      <c r="F1784" t="s"/>
      <c r="G1784" t="s"/>
      <c r="H1784" t="s"/>
      <c r="I1784" t="s"/>
      <c r="J1784" t="n">
        <v>0.4939</v>
      </c>
      <c r="K1784" t="n">
        <v>0</v>
      </c>
      <c r="L1784" t="n">
        <v>0.887</v>
      </c>
      <c r="M1784" t="n">
        <v>0.113</v>
      </c>
    </row>
    <row r="1785" spans="1:13">
      <c r="A1785" s="1">
        <f>HYPERLINK("http://www.twitter.com/NathanBLawrence/status/817375034545152000", "817375034545152000")</f>
        <v/>
      </c>
      <c r="B1785" s="2" t="n">
        <v>42741.59685185185</v>
      </c>
      <c r="C1785" t="n">
        <v>0</v>
      </c>
      <c r="D1785" t="n">
        <v>1362</v>
      </c>
      <c r="E1785" t="s">
        <v>1790</v>
      </c>
      <c r="F1785" t="s"/>
      <c r="G1785" t="s"/>
      <c r="H1785" t="s"/>
      <c r="I1785" t="s"/>
      <c r="J1785" t="n">
        <v>-0.5423</v>
      </c>
      <c r="K1785" t="n">
        <v>0.143</v>
      </c>
      <c r="L1785" t="n">
        <v>0.857</v>
      </c>
      <c r="M1785" t="n">
        <v>0</v>
      </c>
    </row>
    <row r="1786" spans="1:13">
      <c r="A1786" s="1">
        <f>HYPERLINK("http://www.twitter.com/NathanBLawrence/status/817374395698135040", "817374395698135040")</f>
        <v/>
      </c>
      <c r="B1786" s="2" t="n">
        <v>42741.59509259259</v>
      </c>
      <c r="C1786" t="n">
        <v>0</v>
      </c>
      <c r="D1786" t="n">
        <v>10079</v>
      </c>
      <c r="E1786" t="s">
        <v>1791</v>
      </c>
      <c r="F1786" t="s"/>
      <c r="G1786" t="s"/>
      <c r="H1786" t="s"/>
      <c r="I1786" t="s"/>
      <c r="J1786" t="n">
        <v>0.347</v>
      </c>
      <c r="K1786" t="n">
        <v>0.051</v>
      </c>
      <c r="L1786" t="n">
        <v>0.832</v>
      </c>
      <c r="M1786" t="n">
        <v>0.117</v>
      </c>
    </row>
    <row r="1787" spans="1:13">
      <c r="A1787" s="1">
        <f>HYPERLINK("http://www.twitter.com/NathanBLawrence/status/817373822672367618", "817373822672367618")</f>
        <v/>
      </c>
      <c r="B1787" s="2" t="n">
        <v>42741.59351851852</v>
      </c>
      <c r="C1787" t="n">
        <v>0</v>
      </c>
      <c r="D1787" t="n">
        <v>2316</v>
      </c>
      <c r="E1787" t="s">
        <v>1792</v>
      </c>
      <c r="F1787" t="s"/>
      <c r="G1787" t="s"/>
      <c r="H1787" t="s"/>
      <c r="I1787" t="s"/>
      <c r="J1787" t="n">
        <v>-0.7351</v>
      </c>
      <c r="K1787" t="n">
        <v>0.323</v>
      </c>
      <c r="L1787" t="n">
        <v>0.677</v>
      </c>
      <c r="M1787" t="n">
        <v>0</v>
      </c>
    </row>
    <row r="1788" spans="1:13">
      <c r="A1788" s="1">
        <f>HYPERLINK("http://www.twitter.com/NathanBLawrence/status/817373668921765890", "817373668921765890")</f>
        <v/>
      </c>
      <c r="B1788" s="2" t="n">
        <v>42741.59309027778</v>
      </c>
      <c r="C1788" t="n">
        <v>0</v>
      </c>
      <c r="D1788" t="n">
        <v>2267</v>
      </c>
      <c r="E1788" t="s">
        <v>1793</v>
      </c>
      <c r="F1788">
        <f>HYPERLINK("http://pbs.twimg.com/media/C1fjXbuWgAExjPv.jpg", "http://pbs.twimg.com/media/C1fjXbuWgAExjPv.jpg")</f>
        <v/>
      </c>
      <c r="G1788" t="s"/>
      <c r="H1788" t="s"/>
      <c r="I1788" t="s"/>
      <c r="J1788" t="n">
        <v>-0.7003</v>
      </c>
      <c r="K1788" t="n">
        <v>0.209</v>
      </c>
      <c r="L1788" t="n">
        <v>0.791</v>
      </c>
      <c r="M1788" t="n">
        <v>0</v>
      </c>
    </row>
    <row r="1789" spans="1:13">
      <c r="A1789" s="1">
        <f>HYPERLINK("http://www.twitter.com/NathanBLawrence/status/817224795154763777", "817224795154763777")</f>
        <v/>
      </c>
      <c r="B1789" s="2" t="n">
        <v>42741.18228009259</v>
      </c>
      <c r="C1789" t="n">
        <v>0</v>
      </c>
      <c r="D1789" t="n">
        <v>1688</v>
      </c>
      <c r="E1789" t="s">
        <v>1794</v>
      </c>
      <c r="F1789" t="s"/>
      <c r="G1789" t="s"/>
      <c r="H1789" t="s"/>
      <c r="I1789" t="s"/>
      <c r="J1789" t="n">
        <v>-0.3818</v>
      </c>
      <c r="K1789" t="n">
        <v>0.126</v>
      </c>
      <c r="L1789" t="n">
        <v>0.874</v>
      </c>
      <c r="M1789" t="n">
        <v>0</v>
      </c>
    </row>
    <row r="1790" spans="1:13">
      <c r="A1790" s="1">
        <f>HYPERLINK("http://www.twitter.com/NathanBLawrence/status/817219013491249152", "817219013491249152")</f>
        <v/>
      </c>
      <c r="B1790" s="2" t="n">
        <v>42741.16631944444</v>
      </c>
      <c r="C1790" t="n">
        <v>0</v>
      </c>
      <c r="D1790" t="n">
        <v>1572</v>
      </c>
      <c r="E1790" t="s">
        <v>1795</v>
      </c>
      <c r="F1790" t="s"/>
      <c r="G1790" t="s"/>
      <c r="H1790" t="s"/>
      <c r="I1790" t="s"/>
      <c r="J1790" t="n">
        <v>-0.2732</v>
      </c>
      <c r="K1790" t="n">
        <v>0.1</v>
      </c>
      <c r="L1790" t="n">
        <v>0.9</v>
      </c>
      <c r="M1790" t="n">
        <v>0</v>
      </c>
    </row>
    <row r="1791" spans="1:13">
      <c r="A1791" s="1">
        <f>HYPERLINK("http://www.twitter.com/NathanBLawrence/status/817142971212660736", "817142971212660736")</f>
        <v/>
      </c>
      <c r="B1791" s="2" t="n">
        <v>42740.95648148148</v>
      </c>
      <c r="C1791" t="n">
        <v>0</v>
      </c>
      <c r="D1791" t="n">
        <v>5109</v>
      </c>
      <c r="E1791" t="s">
        <v>1796</v>
      </c>
      <c r="F1791" t="s"/>
      <c r="G1791" t="s"/>
      <c r="H1791" t="s"/>
      <c r="I1791" t="s"/>
      <c r="J1791" t="n">
        <v>0.5423</v>
      </c>
      <c r="K1791" t="n">
        <v>0</v>
      </c>
      <c r="L1791" t="n">
        <v>0.857</v>
      </c>
      <c r="M1791" t="n">
        <v>0.143</v>
      </c>
    </row>
    <row r="1792" spans="1:13">
      <c r="A1792" s="1">
        <f>HYPERLINK("http://www.twitter.com/NathanBLawrence/status/817097638919159808", "817097638919159808")</f>
        <v/>
      </c>
      <c r="B1792" s="2" t="n">
        <v>42740.83138888889</v>
      </c>
      <c r="C1792" t="n">
        <v>0</v>
      </c>
      <c r="D1792" t="n">
        <v>19</v>
      </c>
      <c r="E1792" t="s">
        <v>1797</v>
      </c>
      <c r="F1792" t="s"/>
      <c r="G1792" t="s"/>
      <c r="H1792" t="s"/>
      <c r="I1792" t="s"/>
      <c r="J1792" t="n">
        <v>-0.8176</v>
      </c>
      <c r="K1792" t="n">
        <v>0.306</v>
      </c>
      <c r="L1792" t="n">
        <v>0.694</v>
      </c>
      <c r="M1792" t="n">
        <v>0</v>
      </c>
    </row>
    <row r="1793" spans="1:13">
      <c r="A1793" s="1">
        <f>HYPERLINK("http://www.twitter.com/NathanBLawrence/status/817067447614369793", "817067447614369793")</f>
        <v/>
      </c>
      <c r="B1793" s="2" t="n">
        <v>42740.74807870371</v>
      </c>
      <c r="C1793" t="n">
        <v>0</v>
      </c>
      <c r="D1793" t="n">
        <v>1129</v>
      </c>
      <c r="E1793" t="s">
        <v>1798</v>
      </c>
      <c r="F1793" t="s"/>
      <c r="G1793" t="s"/>
      <c r="H1793" t="s"/>
      <c r="I1793" t="s"/>
      <c r="J1793" t="n">
        <v>0</v>
      </c>
      <c r="K1793" t="n">
        <v>0</v>
      </c>
      <c r="L1793" t="n">
        <v>1</v>
      </c>
      <c r="M1793" t="n">
        <v>0</v>
      </c>
    </row>
    <row r="1794" spans="1:13">
      <c r="A1794" s="1">
        <f>HYPERLINK("http://www.twitter.com/NathanBLawrence/status/817040549853200384", "817040549853200384")</f>
        <v/>
      </c>
      <c r="B1794" s="2" t="n">
        <v>42740.67385416666</v>
      </c>
      <c r="C1794" t="n">
        <v>0</v>
      </c>
      <c r="D1794" t="n">
        <v>4747</v>
      </c>
      <c r="E1794" t="s">
        <v>1799</v>
      </c>
      <c r="F1794" t="s"/>
      <c r="G1794" t="s"/>
      <c r="H1794" t="s"/>
      <c r="I1794" t="s"/>
      <c r="J1794" t="n">
        <v>0.3612</v>
      </c>
      <c r="K1794" t="n">
        <v>0</v>
      </c>
      <c r="L1794" t="n">
        <v>0.878</v>
      </c>
      <c r="M1794" t="n">
        <v>0.122</v>
      </c>
    </row>
    <row r="1795" spans="1:13">
      <c r="A1795" s="1">
        <f>HYPERLINK("http://www.twitter.com/NathanBLawrence/status/817040349361270784", "817040349361270784")</f>
        <v/>
      </c>
      <c r="B1795" s="2" t="n">
        <v>42740.67329861111</v>
      </c>
      <c r="C1795" t="n">
        <v>0</v>
      </c>
      <c r="D1795" t="n">
        <v>3515</v>
      </c>
      <c r="E1795" t="s">
        <v>1800</v>
      </c>
      <c r="F1795" t="s"/>
      <c r="G1795" t="s"/>
      <c r="H1795" t="s"/>
      <c r="I1795" t="s"/>
      <c r="J1795" t="n">
        <v>-0.5719</v>
      </c>
      <c r="K1795" t="n">
        <v>0.217</v>
      </c>
      <c r="L1795" t="n">
        <v>0.783</v>
      </c>
      <c r="M1795" t="n">
        <v>0</v>
      </c>
    </row>
    <row r="1796" spans="1:13">
      <c r="A1796" s="1">
        <f>HYPERLINK("http://www.twitter.com/NathanBLawrence/status/817040267773706240", "817040267773706240")</f>
        <v/>
      </c>
      <c r="B1796" s="2" t="n">
        <v>42740.6730787037</v>
      </c>
      <c r="C1796" t="n">
        <v>0</v>
      </c>
      <c r="D1796" t="n">
        <v>4260</v>
      </c>
      <c r="E1796" t="s">
        <v>1801</v>
      </c>
      <c r="F1796" t="s"/>
      <c r="G1796" t="s"/>
      <c r="H1796" t="s"/>
      <c r="I1796" t="s"/>
      <c r="J1796" t="n">
        <v>-0.4215</v>
      </c>
      <c r="K1796" t="n">
        <v>0.113</v>
      </c>
      <c r="L1796" t="n">
        <v>0.887</v>
      </c>
      <c r="M1796" t="n">
        <v>0</v>
      </c>
    </row>
    <row r="1797" spans="1:13">
      <c r="A1797" s="1">
        <f>HYPERLINK("http://www.twitter.com/NathanBLawrence/status/816872052703592448", "816872052703592448")</f>
        <v/>
      </c>
      <c r="B1797" s="2" t="n">
        <v>42740.20888888889</v>
      </c>
      <c r="C1797" t="n">
        <v>0</v>
      </c>
      <c r="D1797" t="n">
        <v>1893</v>
      </c>
      <c r="E1797" t="s">
        <v>1802</v>
      </c>
      <c r="F1797" t="s"/>
      <c r="G1797" t="s"/>
      <c r="H1797" t="s"/>
      <c r="I1797" t="s"/>
      <c r="J1797" t="n">
        <v>0</v>
      </c>
      <c r="K1797" t="n">
        <v>0</v>
      </c>
      <c r="L1797" t="n">
        <v>1</v>
      </c>
      <c r="M1797" t="n">
        <v>0</v>
      </c>
    </row>
    <row r="1798" spans="1:13">
      <c r="A1798" s="1">
        <f>HYPERLINK("http://www.twitter.com/NathanBLawrence/status/816848256131092480", "816848256131092480")</f>
        <v/>
      </c>
      <c r="B1798" s="2" t="n">
        <v>42740.14322916666</v>
      </c>
      <c r="C1798" t="n">
        <v>0</v>
      </c>
      <c r="D1798" t="n">
        <v>0</v>
      </c>
      <c r="E1798" t="s">
        <v>1803</v>
      </c>
      <c r="F1798" t="s"/>
      <c r="G1798" t="s"/>
      <c r="H1798" t="s"/>
      <c r="I1798" t="s"/>
      <c r="J1798" t="n">
        <v>0.3612</v>
      </c>
      <c r="K1798" t="n">
        <v>0</v>
      </c>
      <c r="L1798" t="n">
        <v>0.839</v>
      </c>
      <c r="M1798" t="n">
        <v>0.161</v>
      </c>
    </row>
    <row r="1799" spans="1:13">
      <c r="A1799" s="1">
        <f>HYPERLINK("http://www.twitter.com/NathanBLawrence/status/816847555824852994", "816847555824852994")</f>
        <v/>
      </c>
      <c r="B1799" s="2" t="n">
        <v>42740.14129629629</v>
      </c>
      <c r="C1799" t="n">
        <v>0</v>
      </c>
      <c r="D1799" t="n">
        <v>588</v>
      </c>
      <c r="E1799" t="s">
        <v>1804</v>
      </c>
      <c r="F1799" t="s"/>
      <c r="G1799" t="s"/>
      <c r="H1799" t="s"/>
      <c r="I1799" t="s"/>
      <c r="J1799" t="n">
        <v>0</v>
      </c>
      <c r="K1799" t="n">
        <v>0</v>
      </c>
      <c r="L1799" t="n">
        <v>1</v>
      </c>
      <c r="M1799" t="n">
        <v>0</v>
      </c>
    </row>
    <row r="1800" spans="1:13">
      <c r="A1800" s="1">
        <f>HYPERLINK("http://www.twitter.com/NathanBLawrence/status/816744227237466112", "816744227237466112")</f>
        <v/>
      </c>
      <c r="B1800" s="2" t="n">
        <v>42739.8561574074</v>
      </c>
      <c r="C1800" t="n">
        <v>0</v>
      </c>
      <c r="D1800" t="n">
        <v>3337</v>
      </c>
      <c r="E1800" t="s">
        <v>1805</v>
      </c>
      <c r="F1800" t="s"/>
      <c r="G1800" t="s"/>
      <c r="H1800" t="s"/>
      <c r="I1800" t="s"/>
      <c r="J1800" t="n">
        <v>-0.2263</v>
      </c>
      <c r="K1800" t="n">
        <v>0.134</v>
      </c>
      <c r="L1800" t="n">
        <v>0.769</v>
      </c>
      <c r="M1800" t="n">
        <v>0.097</v>
      </c>
    </row>
    <row r="1801" spans="1:13">
      <c r="A1801" s="1">
        <f>HYPERLINK("http://www.twitter.com/NathanBLawrence/status/816744182035443713", "816744182035443713")</f>
        <v/>
      </c>
      <c r="B1801" s="2" t="n">
        <v>42739.85604166667</v>
      </c>
      <c r="C1801" t="n">
        <v>0</v>
      </c>
      <c r="D1801" t="n">
        <v>240</v>
      </c>
      <c r="E1801" t="s">
        <v>1806</v>
      </c>
      <c r="F1801" t="s"/>
      <c r="G1801" t="s"/>
      <c r="H1801" t="s"/>
      <c r="I1801" t="s"/>
      <c r="J1801" t="n">
        <v>0.3578</v>
      </c>
      <c r="K1801" t="n">
        <v>0.112</v>
      </c>
      <c r="L1801" t="n">
        <v>0.6860000000000001</v>
      </c>
      <c r="M1801" t="n">
        <v>0.202</v>
      </c>
    </row>
    <row r="1802" spans="1:13">
      <c r="A1802" s="1">
        <f>HYPERLINK("http://www.twitter.com/NathanBLawrence/status/816743086365831168", "816743086365831168")</f>
        <v/>
      </c>
      <c r="B1802" s="2" t="n">
        <v>42739.85300925926</v>
      </c>
      <c r="C1802" t="n">
        <v>0</v>
      </c>
      <c r="D1802" t="n">
        <v>2368</v>
      </c>
      <c r="E1802" t="s">
        <v>1807</v>
      </c>
      <c r="F1802" t="s"/>
      <c r="G1802" t="s"/>
      <c r="H1802" t="s"/>
      <c r="I1802" t="s"/>
      <c r="J1802" t="n">
        <v>0.4767</v>
      </c>
      <c r="K1802" t="n">
        <v>0</v>
      </c>
      <c r="L1802" t="n">
        <v>0.829</v>
      </c>
      <c r="M1802" t="n">
        <v>0.171</v>
      </c>
    </row>
    <row r="1803" spans="1:13">
      <c r="A1803" s="1">
        <f>HYPERLINK("http://www.twitter.com/NathanBLawrence/status/816712879558819845", "816712879558819845")</f>
        <v/>
      </c>
      <c r="B1803" s="2" t="n">
        <v>42739.76965277778</v>
      </c>
      <c r="C1803" t="n">
        <v>0</v>
      </c>
      <c r="D1803" t="n">
        <v>2609</v>
      </c>
      <c r="E1803" t="s">
        <v>1808</v>
      </c>
      <c r="F1803">
        <f>HYPERLINK("http://pbs.twimg.com/media/C1WJr5PXgAEZJD-.jpg", "http://pbs.twimg.com/media/C1WJr5PXgAEZJD-.jpg")</f>
        <v/>
      </c>
      <c r="G1803" t="s"/>
      <c r="H1803" t="s"/>
      <c r="I1803" t="s"/>
      <c r="J1803" t="n">
        <v>0.4767</v>
      </c>
      <c r="K1803" t="n">
        <v>0</v>
      </c>
      <c r="L1803" t="n">
        <v>0.829</v>
      </c>
      <c r="M1803" t="n">
        <v>0.171</v>
      </c>
    </row>
    <row r="1804" spans="1:13">
      <c r="A1804" s="1">
        <f>HYPERLINK("http://www.twitter.com/NathanBLawrence/status/816710339966468098", "816710339966468098")</f>
        <v/>
      </c>
      <c r="B1804" s="2" t="n">
        <v>42739.76265046297</v>
      </c>
      <c r="C1804" t="n">
        <v>0</v>
      </c>
      <c r="D1804" t="n">
        <v>1789</v>
      </c>
      <c r="E1804" t="s">
        <v>1809</v>
      </c>
      <c r="F1804" t="s"/>
      <c r="G1804" t="s"/>
      <c r="H1804" t="s"/>
      <c r="I1804" t="s"/>
      <c r="J1804" t="n">
        <v>-0.0516</v>
      </c>
      <c r="K1804" t="n">
        <v>0.23</v>
      </c>
      <c r="L1804" t="n">
        <v>0.547</v>
      </c>
      <c r="M1804" t="n">
        <v>0.223</v>
      </c>
    </row>
    <row r="1805" spans="1:13">
      <c r="A1805" s="1">
        <f>HYPERLINK("http://www.twitter.com/NathanBLawrence/status/816708555403362305", "816708555403362305")</f>
        <v/>
      </c>
      <c r="B1805" s="2" t="n">
        <v>42739.75771990741</v>
      </c>
      <c r="C1805" t="n">
        <v>0</v>
      </c>
      <c r="D1805" t="n">
        <v>161</v>
      </c>
      <c r="E1805" t="s">
        <v>1810</v>
      </c>
      <c r="F1805">
        <f>HYPERLINK("http://pbs.twimg.com/media/C1WGvrxXcAAG5dE.jpg", "http://pbs.twimg.com/media/C1WGvrxXcAAG5dE.jpg")</f>
        <v/>
      </c>
      <c r="G1805" t="s"/>
      <c r="H1805" t="s"/>
      <c r="I1805" t="s"/>
      <c r="J1805" t="n">
        <v>-0.8555</v>
      </c>
      <c r="K1805" t="n">
        <v>0.318</v>
      </c>
      <c r="L1805" t="n">
        <v>0.6820000000000001</v>
      </c>
      <c r="M1805" t="n">
        <v>0</v>
      </c>
    </row>
    <row r="1806" spans="1:13">
      <c r="A1806" s="1">
        <f>HYPERLINK("http://www.twitter.com/NathanBLawrence/status/816706281977290752", "816706281977290752")</f>
        <v/>
      </c>
      <c r="B1806" s="2" t="n">
        <v>42739.75144675926</v>
      </c>
      <c r="C1806" t="n">
        <v>0</v>
      </c>
      <c r="D1806" t="n">
        <v>3325</v>
      </c>
      <c r="E1806" t="s">
        <v>1811</v>
      </c>
      <c r="F1806" t="s"/>
      <c r="G1806" t="s"/>
      <c r="H1806" t="s"/>
      <c r="I1806" t="s"/>
      <c r="J1806" t="n">
        <v>-0.4767</v>
      </c>
      <c r="K1806" t="n">
        <v>0.129</v>
      </c>
      <c r="L1806" t="n">
        <v>0.871</v>
      </c>
      <c r="M1806" t="n">
        <v>0</v>
      </c>
    </row>
    <row r="1807" spans="1:13">
      <c r="A1807" s="1">
        <f>HYPERLINK("http://www.twitter.com/NathanBLawrence/status/816702930606821376", "816702930606821376")</f>
        <v/>
      </c>
      <c r="B1807" s="2" t="n">
        <v>42739.74219907408</v>
      </c>
      <c r="C1807" t="n">
        <v>0</v>
      </c>
      <c r="D1807" t="n">
        <v>26</v>
      </c>
      <c r="E1807" t="s">
        <v>1812</v>
      </c>
      <c r="F1807">
        <f>HYPERLINK("http://pbs.twimg.com/media/C1VDE88WQAAZL3n.jpg", "http://pbs.twimg.com/media/C1VDE88WQAAZL3n.jpg")</f>
        <v/>
      </c>
      <c r="G1807" t="s"/>
      <c r="H1807" t="s"/>
      <c r="I1807" t="s"/>
      <c r="J1807" t="n">
        <v>0.25</v>
      </c>
      <c r="K1807" t="n">
        <v>0.109</v>
      </c>
      <c r="L1807" t="n">
        <v>0.739</v>
      </c>
      <c r="M1807" t="n">
        <v>0.152</v>
      </c>
    </row>
    <row r="1808" spans="1:13">
      <c r="A1808" s="1">
        <f>HYPERLINK("http://www.twitter.com/NathanBLawrence/status/816702226509004803", "816702226509004803")</f>
        <v/>
      </c>
      <c r="B1808" s="2" t="n">
        <v>42739.74026620371</v>
      </c>
      <c r="C1808" t="n">
        <v>0</v>
      </c>
      <c r="D1808" t="n">
        <v>439</v>
      </c>
      <c r="E1808" t="s">
        <v>1813</v>
      </c>
      <c r="F1808">
        <f>HYPERLINK("http://pbs.twimg.com/media/C1VYzoUW8AAjTMy.jpg", "http://pbs.twimg.com/media/C1VYzoUW8AAjTMy.jpg")</f>
        <v/>
      </c>
      <c r="G1808" t="s"/>
      <c r="H1808" t="s"/>
      <c r="I1808" t="s"/>
      <c r="J1808" t="n">
        <v>0</v>
      </c>
      <c r="K1808" t="n">
        <v>0</v>
      </c>
      <c r="L1808" t="n">
        <v>1</v>
      </c>
      <c r="M1808" t="n">
        <v>0</v>
      </c>
    </row>
    <row r="1809" spans="1:13">
      <c r="A1809" s="1">
        <f>HYPERLINK("http://www.twitter.com/NathanBLawrence/status/816701400654761984", "816701400654761984")</f>
        <v/>
      </c>
      <c r="B1809" s="2" t="n">
        <v>42739.73798611111</v>
      </c>
      <c r="C1809" t="n">
        <v>0</v>
      </c>
      <c r="D1809" t="n">
        <v>467</v>
      </c>
      <c r="E1809" t="s">
        <v>1814</v>
      </c>
      <c r="F1809" t="s"/>
      <c r="G1809" t="s"/>
      <c r="H1809" t="s"/>
      <c r="I1809" t="s"/>
      <c r="J1809" t="n">
        <v>-0.34</v>
      </c>
      <c r="K1809" t="n">
        <v>0.138</v>
      </c>
      <c r="L1809" t="n">
        <v>0.862</v>
      </c>
      <c r="M1809" t="n">
        <v>0</v>
      </c>
    </row>
    <row r="1810" spans="1:13">
      <c r="A1810" s="1">
        <f>HYPERLINK("http://www.twitter.com/NathanBLawrence/status/816701349014470657", "816701349014470657")</f>
        <v/>
      </c>
      <c r="B1810" s="2" t="n">
        <v>42739.73783564815</v>
      </c>
      <c r="C1810" t="n">
        <v>0</v>
      </c>
      <c r="D1810" t="n">
        <v>3252</v>
      </c>
      <c r="E1810" t="s">
        <v>1815</v>
      </c>
      <c r="F1810" t="s"/>
      <c r="G1810" t="s"/>
      <c r="H1810" t="s"/>
      <c r="I1810" t="s"/>
      <c r="J1810" t="n">
        <v>-0.2023</v>
      </c>
      <c r="K1810" t="n">
        <v>0.13</v>
      </c>
      <c r="L1810" t="n">
        <v>0.87</v>
      </c>
      <c r="M1810" t="n">
        <v>0</v>
      </c>
    </row>
    <row r="1811" spans="1:13">
      <c r="A1811" s="1">
        <f>HYPERLINK("http://www.twitter.com/NathanBLawrence/status/816673373753405440", "816673373753405440")</f>
        <v/>
      </c>
      <c r="B1811" s="2" t="n">
        <v>42739.66064814815</v>
      </c>
      <c r="C1811" t="n">
        <v>0</v>
      </c>
      <c r="D1811" t="n">
        <v>8684</v>
      </c>
      <c r="E1811" t="s">
        <v>1816</v>
      </c>
      <c r="F1811" t="s"/>
      <c r="G1811" t="s"/>
      <c r="H1811" t="s"/>
      <c r="I1811" t="s"/>
      <c r="J1811" t="n">
        <v>0</v>
      </c>
      <c r="K1811" t="n">
        <v>0</v>
      </c>
      <c r="L1811" t="n">
        <v>1</v>
      </c>
      <c r="M1811" t="n">
        <v>0</v>
      </c>
    </row>
    <row r="1812" spans="1:13">
      <c r="A1812" s="1">
        <f>HYPERLINK("http://www.twitter.com/NathanBLawrence/status/816673232904404993", "816673232904404993")</f>
        <v/>
      </c>
      <c r="B1812" s="2" t="n">
        <v>42739.66025462963</v>
      </c>
      <c r="C1812" t="n">
        <v>0</v>
      </c>
      <c r="D1812" t="n">
        <v>2652</v>
      </c>
      <c r="E1812" t="s">
        <v>1817</v>
      </c>
      <c r="F1812" t="s"/>
      <c r="G1812" t="s"/>
      <c r="H1812" t="s"/>
      <c r="I1812" t="s"/>
      <c r="J1812" t="n">
        <v>0</v>
      </c>
      <c r="K1812" t="n">
        <v>0</v>
      </c>
      <c r="L1812" t="n">
        <v>1</v>
      </c>
      <c r="M1812" t="n">
        <v>0</v>
      </c>
    </row>
    <row r="1813" spans="1:13">
      <c r="A1813" s="1">
        <f>HYPERLINK("http://www.twitter.com/NathanBLawrence/status/816672993573306368", "816672993573306368")</f>
        <v/>
      </c>
      <c r="B1813" s="2" t="n">
        <v>42739.65959490741</v>
      </c>
      <c r="C1813" t="n">
        <v>0</v>
      </c>
      <c r="D1813" t="n">
        <v>2387</v>
      </c>
      <c r="E1813" t="s">
        <v>1818</v>
      </c>
      <c r="F1813" t="s"/>
      <c r="G1813" t="s"/>
      <c r="H1813" t="s"/>
      <c r="I1813" t="s"/>
      <c r="J1813" t="n">
        <v>0.4019</v>
      </c>
      <c r="K1813" t="n">
        <v>0</v>
      </c>
      <c r="L1813" t="n">
        <v>0.791</v>
      </c>
      <c r="M1813" t="n">
        <v>0.209</v>
      </c>
    </row>
    <row r="1814" spans="1:13">
      <c r="A1814" s="1">
        <f>HYPERLINK("http://www.twitter.com/NathanBLawrence/status/816672940867588096", "816672940867588096")</f>
        <v/>
      </c>
      <c r="B1814" s="2" t="n">
        <v>42739.65944444444</v>
      </c>
      <c r="C1814" t="n">
        <v>0</v>
      </c>
      <c r="D1814" t="n">
        <v>555</v>
      </c>
      <c r="E1814" t="s">
        <v>1819</v>
      </c>
      <c r="F1814" t="s"/>
      <c r="G1814" t="s"/>
      <c r="H1814" t="s"/>
      <c r="I1814" t="s"/>
      <c r="J1814" t="n">
        <v>-0.5423</v>
      </c>
      <c r="K1814" t="n">
        <v>0.156</v>
      </c>
      <c r="L1814" t="n">
        <v>0.844</v>
      </c>
      <c r="M1814" t="n">
        <v>0</v>
      </c>
    </row>
    <row r="1815" spans="1:13">
      <c r="A1815" s="1">
        <f>HYPERLINK("http://www.twitter.com/NathanBLawrence/status/816473162825269248", "816473162825269248")</f>
        <v/>
      </c>
      <c r="B1815" s="2" t="n">
        <v>42739.1081712963</v>
      </c>
      <c r="C1815" t="n">
        <v>0</v>
      </c>
      <c r="D1815" t="n">
        <v>1530</v>
      </c>
      <c r="E1815" t="s">
        <v>1820</v>
      </c>
      <c r="F1815">
        <f>HYPERLINK("https://video.twimg.com/ext_tw_video/816445392929849345/pu/vid/320x180/4JJurdhLnKkFhfga.mp4", "https://video.twimg.com/ext_tw_video/816445392929849345/pu/vid/320x180/4JJurdhLnKkFhfga.mp4")</f>
        <v/>
      </c>
      <c r="G1815" t="s"/>
      <c r="H1815" t="s"/>
      <c r="I1815" t="s"/>
      <c r="J1815" t="n">
        <v>0.4404</v>
      </c>
      <c r="K1815" t="n">
        <v>0</v>
      </c>
      <c r="L1815" t="n">
        <v>0.822</v>
      </c>
      <c r="M1815" t="n">
        <v>0.178</v>
      </c>
    </row>
    <row r="1816" spans="1:13">
      <c r="A1816" s="1">
        <f>HYPERLINK("http://www.twitter.com/NathanBLawrence/status/816472199754354688", "816472199754354688")</f>
        <v/>
      </c>
      <c r="B1816" s="2" t="n">
        <v>42739.10550925926</v>
      </c>
      <c r="C1816" t="n">
        <v>0</v>
      </c>
      <c r="D1816" t="n">
        <v>299</v>
      </c>
      <c r="E1816" t="s">
        <v>1821</v>
      </c>
      <c r="F1816">
        <f>HYPERLINK("http://pbs.twimg.com/media/C1Sl6d-UoAAO84s.jpg", "http://pbs.twimg.com/media/C1Sl6d-UoAAO84s.jpg")</f>
        <v/>
      </c>
      <c r="G1816" t="s"/>
      <c r="H1816" t="s"/>
      <c r="I1816" t="s"/>
      <c r="J1816" t="n">
        <v>0</v>
      </c>
      <c r="K1816" t="n">
        <v>0</v>
      </c>
      <c r="L1816" t="n">
        <v>1</v>
      </c>
      <c r="M1816" t="n">
        <v>0</v>
      </c>
    </row>
    <row r="1817" spans="1:13">
      <c r="A1817" s="1">
        <f>HYPERLINK("http://www.twitter.com/NathanBLawrence/status/816471768433037312", "816471768433037312")</f>
        <v/>
      </c>
      <c r="B1817" s="2" t="n">
        <v>42739.10431712963</v>
      </c>
      <c r="C1817" t="n">
        <v>0</v>
      </c>
      <c r="D1817" t="n">
        <v>15500</v>
      </c>
      <c r="E1817" t="s">
        <v>1822</v>
      </c>
      <c r="F1817">
        <f>HYPERLINK("http://pbs.twimg.com/media/C1SlBhaWQAAHoFm.png", "http://pbs.twimg.com/media/C1SlBhaWQAAHoFm.png")</f>
        <v/>
      </c>
      <c r="G1817" t="s"/>
      <c r="H1817" t="s"/>
      <c r="I1817" t="s"/>
      <c r="J1817" t="n">
        <v>-0.3182</v>
      </c>
      <c r="K1817" t="n">
        <v>0.209</v>
      </c>
      <c r="L1817" t="n">
        <v>0.662</v>
      </c>
      <c r="M1817" t="n">
        <v>0.129</v>
      </c>
    </row>
    <row r="1818" spans="1:13">
      <c r="A1818" s="1">
        <f>HYPERLINK("http://www.twitter.com/NathanBLawrence/status/816422877390053376", "816422877390053376")</f>
        <v/>
      </c>
      <c r="B1818" s="2" t="n">
        <v>42738.96940972222</v>
      </c>
      <c r="C1818" t="n">
        <v>0</v>
      </c>
      <c r="D1818" t="n">
        <v>81</v>
      </c>
      <c r="E1818" t="s">
        <v>1823</v>
      </c>
      <c r="F1818" t="s"/>
      <c r="G1818" t="s"/>
      <c r="H1818" t="s"/>
      <c r="I1818" t="s"/>
      <c r="J1818" t="n">
        <v>-0.5871</v>
      </c>
      <c r="K1818" t="n">
        <v>0.241</v>
      </c>
      <c r="L1818" t="n">
        <v>0.759</v>
      </c>
      <c r="M1818" t="n">
        <v>0</v>
      </c>
    </row>
    <row r="1819" spans="1:13">
      <c r="A1819" s="1">
        <f>HYPERLINK("http://www.twitter.com/NathanBLawrence/status/816422822616662018", "816422822616662018")</f>
        <v/>
      </c>
      <c r="B1819" s="2" t="n">
        <v>42738.96924768519</v>
      </c>
      <c r="C1819" t="n">
        <v>0</v>
      </c>
      <c r="D1819" t="n">
        <v>157</v>
      </c>
      <c r="E1819" t="s">
        <v>1824</v>
      </c>
      <c r="F1819" t="s"/>
      <c r="G1819" t="s"/>
      <c r="H1819" t="s"/>
      <c r="I1819" t="s"/>
      <c r="J1819" t="n">
        <v>0.4749</v>
      </c>
      <c r="K1819" t="n">
        <v>0.075</v>
      </c>
      <c r="L1819" t="n">
        <v>0.777</v>
      </c>
      <c r="M1819" t="n">
        <v>0.148</v>
      </c>
    </row>
    <row r="1820" spans="1:13">
      <c r="A1820" s="1">
        <f>HYPERLINK("http://www.twitter.com/NathanBLawrence/status/816421981751013376", "816421981751013376")</f>
        <v/>
      </c>
      <c r="B1820" s="2" t="n">
        <v>42738.96693287037</v>
      </c>
      <c r="C1820" t="n">
        <v>0</v>
      </c>
      <c r="D1820" t="n">
        <v>3592</v>
      </c>
      <c r="E1820" t="s">
        <v>1825</v>
      </c>
      <c r="F1820">
        <f>HYPERLINK("http://pbs.twimg.com/media/C1R9HC2XgAAMdnh.jpg", "http://pbs.twimg.com/media/C1R9HC2XgAAMdnh.jpg")</f>
        <v/>
      </c>
      <c r="G1820" t="s"/>
      <c r="H1820" t="s"/>
      <c r="I1820" t="s"/>
      <c r="J1820" t="n">
        <v>-0.34</v>
      </c>
      <c r="K1820" t="n">
        <v>0.107</v>
      </c>
      <c r="L1820" t="n">
        <v>0.893</v>
      </c>
      <c r="M1820" t="n">
        <v>0</v>
      </c>
    </row>
    <row r="1821" spans="1:13">
      <c r="A1821" s="1">
        <f>HYPERLINK("http://www.twitter.com/NathanBLawrence/status/816421434255900672", "816421434255900672")</f>
        <v/>
      </c>
      <c r="B1821" s="2" t="n">
        <v>42738.96541666667</v>
      </c>
      <c r="C1821" t="n">
        <v>0</v>
      </c>
      <c r="D1821" t="n">
        <v>41</v>
      </c>
      <c r="E1821" t="s">
        <v>1826</v>
      </c>
      <c r="F1821" t="s"/>
      <c r="G1821" t="s"/>
      <c r="H1821" t="s"/>
      <c r="I1821" t="s"/>
      <c r="J1821" t="n">
        <v>-0.0772</v>
      </c>
      <c r="K1821" t="n">
        <v>0.07099999999999999</v>
      </c>
      <c r="L1821" t="n">
        <v>0.929</v>
      </c>
      <c r="M1821" t="n">
        <v>0</v>
      </c>
    </row>
    <row r="1822" spans="1:13">
      <c r="A1822" s="1">
        <f>HYPERLINK("http://www.twitter.com/NathanBLawrence/status/816031346464321536", "816031346464321536")</f>
        <v/>
      </c>
      <c r="B1822" s="2" t="n">
        <v>42737.88898148148</v>
      </c>
      <c r="C1822" t="n">
        <v>0</v>
      </c>
      <c r="D1822" t="n">
        <v>165</v>
      </c>
      <c r="E1822" t="s">
        <v>1827</v>
      </c>
      <c r="F1822" t="s"/>
      <c r="G1822" t="s"/>
      <c r="H1822" t="s"/>
      <c r="I1822" t="s"/>
      <c r="J1822" t="n">
        <v>-0.4215</v>
      </c>
      <c r="K1822" t="n">
        <v>0.235</v>
      </c>
      <c r="L1822" t="n">
        <v>0.634</v>
      </c>
      <c r="M1822" t="n">
        <v>0.131</v>
      </c>
    </row>
    <row r="1823" spans="1:13">
      <c r="A1823" s="1">
        <f>HYPERLINK("http://www.twitter.com/NathanBLawrence/status/816022130257174528", "816022130257174528")</f>
        <v/>
      </c>
      <c r="B1823" s="2" t="n">
        <v>42737.86355324074</v>
      </c>
      <c r="C1823" t="n">
        <v>0</v>
      </c>
      <c r="D1823" t="n">
        <v>45</v>
      </c>
      <c r="E1823" t="s">
        <v>1828</v>
      </c>
      <c r="F1823">
        <f>HYPERLINK("http://pbs.twimg.com/media/C1MKFnpUAAAkUdC.jpg", "http://pbs.twimg.com/media/C1MKFnpUAAAkUdC.jpg")</f>
        <v/>
      </c>
      <c r="G1823" t="s"/>
      <c r="H1823" t="s"/>
      <c r="I1823" t="s"/>
      <c r="J1823" t="n">
        <v>-0.6597</v>
      </c>
      <c r="K1823" t="n">
        <v>0.213</v>
      </c>
      <c r="L1823" t="n">
        <v>0.787</v>
      </c>
      <c r="M1823" t="n">
        <v>0</v>
      </c>
    </row>
    <row r="1824" spans="1:13">
      <c r="A1824" s="1">
        <f>HYPERLINK("http://www.twitter.com/NathanBLawrence/status/815658097737867264", "815658097737867264")</f>
        <v/>
      </c>
      <c r="B1824" s="2" t="n">
        <v>42736.85901620371</v>
      </c>
      <c r="C1824" t="n">
        <v>0</v>
      </c>
      <c r="D1824" t="n">
        <v>1</v>
      </c>
      <c r="E1824" t="s">
        <v>1829</v>
      </c>
      <c r="F1824" t="s"/>
      <c r="G1824" t="s"/>
      <c r="H1824" t="s"/>
      <c r="I1824" t="s"/>
      <c r="J1824" t="n">
        <v>0.2716</v>
      </c>
      <c r="K1824" t="n">
        <v>0</v>
      </c>
      <c r="L1824" t="n">
        <v>0.89</v>
      </c>
      <c r="M1824" t="n">
        <v>0.11</v>
      </c>
    </row>
    <row r="1825" spans="1:13">
      <c r="A1825" s="1">
        <f>HYPERLINK("http://www.twitter.com/NathanBLawrence/status/815546271813562369", "815546271813562369")</f>
        <v/>
      </c>
      <c r="B1825" s="2" t="n">
        <v>42736.55042824074</v>
      </c>
      <c r="C1825" t="n">
        <v>0</v>
      </c>
      <c r="D1825" t="n">
        <v>6078</v>
      </c>
      <c r="E1825" t="s">
        <v>1830</v>
      </c>
      <c r="F1825">
        <f>HYPERLINK("http://pbs.twimg.com/media/C1D1jaOWgAA6I3w.jpg", "http://pbs.twimg.com/media/C1D1jaOWgAA6I3w.jpg")</f>
        <v/>
      </c>
      <c r="G1825" t="s"/>
      <c r="H1825" t="s"/>
      <c r="I1825" t="s"/>
      <c r="J1825" t="n">
        <v>0</v>
      </c>
      <c r="K1825" t="n">
        <v>0</v>
      </c>
      <c r="L1825" t="n">
        <v>1</v>
      </c>
      <c r="M1825" t="n">
        <v>0</v>
      </c>
    </row>
    <row r="1826" spans="1:13">
      <c r="A1826" s="1">
        <f>HYPERLINK("http://www.twitter.com/NathanBLawrence/status/815546195535888384", "815546195535888384")</f>
        <v/>
      </c>
      <c r="B1826" s="2" t="n">
        <v>42736.55021990741</v>
      </c>
      <c r="C1826" t="n">
        <v>0</v>
      </c>
      <c r="D1826" t="n">
        <v>402</v>
      </c>
      <c r="E1826" t="s">
        <v>1831</v>
      </c>
      <c r="F1826" t="s"/>
      <c r="G1826" t="s"/>
      <c r="H1826" t="s"/>
      <c r="I1826" t="s"/>
      <c r="J1826" t="n">
        <v>0.8016</v>
      </c>
      <c r="K1826" t="n">
        <v>0</v>
      </c>
      <c r="L1826" t="n">
        <v>0.6870000000000001</v>
      </c>
      <c r="M1826" t="n">
        <v>0.313</v>
      </c>
    </row>
    <row r="1827" spans="1:13">
      <c r="A1827" s="1">
        <f>HYPERLINK("http://www.twitter.com/NathanBLawrence/status/815348039250546688", "815348039250546688")</f>
        <v/>
      </c>
      <c r="B1827" s="2" t="n">
        <v>42736.00341435185</v>
      </c>
      <c r="C1827" t="n">
        <v>0</v>
      </c>
      <c r="D1827" t="n">
        <v>75</v>
      </c>
      <c r="E1827" t="s">
        <v>1832</v>
      </c>
      <c r="F1827" t="s"/>
      <c r="G1827" t="s"/>
      <c r="H1827" t="s"/>
      <c r="I1827" t="s"/>
      <c r="J1827" t="n">
        <v>0.3612</v>
      </c>
      <c r="K1827" t="n">
        <v>0</v>
      </c>
      <c r="L1827" t="n">
        <v>0.902</v>
      </c>
      <c r="M1827" t="n">
        <v>0.098</v>
      </c>
    </row>
    <row r="1828" spans="1:13">
      <c r="A1828" s="1">
        <f>HYPERLINK("http://www.twitter.com/NathanBLawrence/status/815308922269614080", "815308922269614080")</f>
        <v/>
      </c>
      <c r="B1828" s="2" t="n">
        <v>42735.89547453704</v>
      </c>
      <c r="C1828" t="n">
        <v>0</v>
      </c>
      <c r="D1828" t="n">
        <v>2304</v>
      </c>
      <c r="E1828" t="s">
        <v>1833</v>
      </c>
      <c r="F1828" t="s"/>
      <c r="G1828" t="s"/>
      <c r="H1828" t="s"/>
      <c r="I1828" t="s"/>
      <c r="J1828" t="n">
        <v>-0.3597</v>
      </c>
      <c r="K1828" t="n">
        <v>0.111</v>
      </c>
      <c r="L1828" t="n">
        <v>0.889</v>
      </c>
      <c r="M1828" t="n">
        <v>0</v>
      </c>
    </row>
    <row r="1829" spans="1:13">
      <c r="A1829" s="1">
        <f>HYPERLINK("http://www.twitter.com/NathanBLawrence/status/815256228288929792", "815256228288929792")</f>
        <v/>
      </c>
      <c r="B1829" s="2" t="n">
        <v>42735.75006944445</v>
      </c>
      <c r="C1829" t="n">
        <v>0</v>
      </c>
      <c r="D1829" t="n">
        <v>412</v>
      </c>
      <c r="E1829" t="s">
        <v>1834</v>
      </c>
      <c r="F1829">
        <f>HYPERLINK("http://pbs.twimg.com/media/C0yYyg3XgAEha64.jpg", "http://pbs.twimg.com/media/C0yYyg3XgAEha64.jpg")</f>
        <v/>
      </c>
      <c r="G1829" t="s"/>
      <c r="H1829" t="s"/>
      <c r="I1829" t="s"/>
      <c r="J1829" t="n">
        <v>0.6908</v>
      </c>
      <c r="K1829" t="n">
        <v>0</v>
      </c>
      <c r="L1829" t="n">
        <v>0.467</v>
      </c>
      <c r="M1829" t="n">
        <v>0.533</v>
      </c>
    </row>
    <row r="1830" spans="1:13">
      <c r="A1830" s="1">
        <f>HYPERLINK("http://www.twitter.com/NathanBLawrence/status/815256033606205440", "815256033606205440")</f>
        <v/>
      </c>
      <c r="B1830" s="2" t="n">
        <v>42735.74952546296</v>
      </c>
      <c r="C1830" t="n">
        <v>0</v>
      </c>
      <c r="D1830" t="n">
        <v>175</v>
      </c>
      <c r="E1830" t="s">
        <v>1835</v>
      </c>
      <c r="F1830">
        <f>HYPERLINK("http://pbs.twimg.com/media/C0W6OGrWgAAQS2H.jpg", "http://pbs.twimg.com/media/C0W6OGrWgAAQS2H.jpg")</f>
        <v/>
      </c>
      <c r="G1830" t="s"/>
      <c r="H1830" t="s"/>
      <c r="I1830" t="s"/>
      <c r="J1830" t="n">
        <v>-0.8270999999999999</v>
      </c>
      <c r="K1830" t="n">
        <v>0.303</v>
      </c>
      <c r="L1830" t="n">
        <v>0.697</v>
      </c>
      <c r="M1830" t="n">
        <v>0</v>
      </c>
    </row>
    <row r="1831" spans="1:13">
      <c r="A1831" s="1">
        <f>HYPERLINK("http://www.twitter.com/NathanBLawrence/status/815024241296994304", "815024241296994304")</f>
        <v/>
      </c>
      <c r="B1831" s="2" t="n">
        <v>42735.10990740741</v>
      </c>
      <c r="C1831" t="n">
        <v>0</v>
      </c>
      <c r="D1831" t="n">
        <v>296</v>
      </c>
      <c r="E1831" t="s">
        <v>1836</v>
      </c>
      <c r="F1831" t="s"/>
      <c r="G1831" t="s"/>
      <c r="H1831" t="s"/>
      <c r="I1831" t="s"/>
      <c r="J1831" t="n">
        <v>0.6222</v>
      </c>
      <c r="K1831" t="n">
        <v>0</v>
      </c>
      <c r="L1831" t="n">
        <v>0.798</v>
      </c>
      <c r="M1831" t="n">
        <v>0.202</v>
      </c>
    </row>
    <row r="1832" spans="1:13">
      <c r="A1832" s="1">
        <f>HYPERLINK("http://www.twitter.com/NathanBLawrence/status/815015979231154176", "815015979231154176")</f>
        <v/>
      </c>
      <c r="B1832" s="2" t="n">
        <v>42735.08710648148</v>
      </c>
      <c r="C1832" t="n">
        <v>0</v>
      </c>
      <c r="D1832" t="n">
        <v>33</v>
      </c>
      <c r="E1832" t="s">
        <v>1837</v>
      </c>
      <c r="F1832">
        <f>HYPERLINK("http://pbs.twimg.com/media/C09TeyqXEAAXh_7.jpg", "http://pbs.twimg.com/media/C09TeyqXEAAXh_7.jpg")</f>
        <v/>
      </c>
      <c r="G1832" t="s"/>
      <c r="H1832" t="s"/>
      <c r="I1832" t="s"/>
      <c r="J1832" t="n">
        <v>0</v>
      </c>
      <c r="K1832" t="n">
        <v>0</v>
      </c>
      <c r="L1832" t="n">
        <v>1</v>
      </c>
      <c r="M1832" t="n">
        <v>0</v>
      </c>
    </row>
    <row r="1833" spans="1:13">
      <c r="A1833" s="1">
        <f>HYPERLINK("http://www.twitter.com/NathanBLawrence/status/815005461313425408", "815005461313425408")</f>
        <v/>
      </c>
      <c r="B1833" s="2" t="n">
        <v>42735.0580787037</v>
      </c>
      <c r="C1833" t="n">
        <v>0</v>
      </c>
      <c r="D1833" t="n">
        <v>122</v>
      </c>
      <c r="E1833" t="s">
        <v>1838</v>
      </c>
      <c r="F1833" t="s"/>
      <c r="G1833" t="s"/>
      <c r="H1833" t="s"/>
      <c r="I1833" t="s"/>
      <c r="J1833" t="n">
        <v>-0.6597</v>
      </c>
      <c r="K1833" t="n">
        <v>0.241</v>
      </c>
      <c r="L1833" t="n">
        <v>0.759</v>
      </c>
      <c r="M1833" t="n">
        <v>0</v>
      </c>
    </row>
    <row r="1834" spans="1:13">
      <c r="A1834" s="1">
        <f>HYPERLINK("http://www.twitter.com/NathanBLawrence/status/814996003866742784", "814996003866742784")</f>
        <v/>
      </c>
      <c r="B1834" s="2" t="n">
        <v>42735.03197916667</v>
      </c>
      <c r="C1834" t="n">
        <v>0</v>
      </c>
      <c r="D1834" t="n">
        <v>21648</v>
      </c>
      <c r="E1834" t="s">
        <v>1839</v>
      </c>
      <c r="F1834" t="s"/>
      <c r="G1834" t="s"/>
      <c r="H1834" t="s"/>
      <c r="I1834" t="s"/>
      <c r="J1834" t="n">
        <v>0.2003</v>
      </c>
      <c r="K1834" t="n">
        <v>0.122</v>
      </c>
      <c r="L1834" t="n">
        <v>0.6870000000000001</v>
      </c>
      <c r="M1834" t="n">
        <v>0.191</v>
      </c>
    </row>
    <row r="1835" spans="1:13">
      <c r="A1835" s="1">
        <f>HYPERLINK("http://www.twitter.com/NathanBLawrence/status/814884683003596800", "814884683003596800")</f>
        <v/>
      </c>
      <c r="B1835" s="2" t="n">
        <v>42734.72479166667</v>
      </c>
      <c r="C1835" t="n">
        <v>0</v>
      </c>
      <c r="D1835" t="n">
        <v>562</v>
      </c>
      <c r="E1835" t="s">
        <v>1840</v>
      </c>
      <c r="F1835" t="s"/>
      <c r="G1835" t="s"/>
      <c r="H1835" t="s"/>
      <c r="I1835" t="s"/>
      <c r="J1835" t="n">
        <v>0</v>
      </c>
      <c r="K1835" t="n">
        <v>0</v>
      </c>
      <c r="L1835" t="n">
        <v>1</v>
      </c>
      <c r="M1835" t="n">
        <v>0</v>
      </c>
    </row>
    <row r="1836" spans="1:13">
      <c r="A1836" s="1">
        <f>HYPERLINK("http://www.twitter.com/NathanBLawrence/status/814674217564258304", "814674217564258304")</f>
        <v/>
      </c>
      <c r="B1836" s="2" t="n">
        <v>42734.14402777778</v>
      </c>
      <c r="C1836" t="n">
        <v>0</v>
      </c>
      <c r="D1836" t="n">
        <v>30</v>
      </c>
      <c r="E1836" t="s">
        <v>1841</v>
      </c>
      <c r="F1836">
        <f>HYPERLINK("http://pbs.twimg.com/media/C05LwlaXgAA8gbr.jpg", "http://pbs.twimg.com/media/C05LwlaXgAA8gbr.jpg")</f>
        <v/>
      </c>
      <c r="G1836" t="s"/>
      <c r="H1836" t="s"/>
      <c r="I1836" t="s"/>
      <c r="J1836" t="n">
        <v>0</v>
      </c>
      <c r="K1836" t="n">
        <v>0</v>
      </c>
      <c r="L1836" t="n">
        <v>1</v>
      </c>
      <c r="M1836" t="n">
        <v>0</v>
      </c>
    </row>
    <row r="1837" spans="1:13">
      <c r="A1837" s="1">
        <f>HYPERLINK("http://www.twitter.com/NathanBLawrence/status/814637112419028992", "814637112419028992")</f>
        <v/>
      </c>
      <c r="B1837" s="2" t="n">
        <v>42734.04163194444</v>
      </c>
      <c r="C1837" t="n">
        <v>0</v>
      </c>
      <c r="D1837" t="n">
        <v>7</v>
      </c>
      <c r="E1837" t="s">
        <v>1842</v>
      </c>
      <c r="F1837" t="s"/>
      <c r="G1837" t="s"/>
      <c r="H1837" t="s"/>
      <c r="I1837" t="s"/>
      <c r="J1837" t="n">
        <v>0</v>
      </c>
      <c r="K1837" t="n">
        <v>0</v>
      </c>
      <c r="L1837" t="n">
        <v>1</v>
      </c>
      <c r="M1837" t="n">
        <v>0</v>
      </c>
    </row>
    <row r="1838" spans="1:13">
      <c r="A1838" s="1">
        <f>HYPERLINK("http://www.twitter.com/NathanBLawrence/status/814623776763740160", "814623776763740160")</f>
        <v/>
      </c>
      <c r="B1838" s="2" t="n">
        <v>42734.00483796297</v>
      </c>
      <c r="C1838" t="n">
        <v>0</v>
      </c>
      <c r="D1838" t="n">
        <v>1158</v>
      </c>
      <c r="E1838" t="s">
        <v>1843</v>
      </c>
      <c r="F1838" t="s"/>
      <c r="G1838" t="s"/>
      <c r="H1838" t="s"/>
      <c r="I1838" t="s"/>
      <c r="J1838" t="n">
        <v>0</v>
      </c>
      <c r="K1838" t="n">
        <v>0</v>
      </c>
      <c r="L1838" t="n">
        <v>1</v>
      </c>
      <c r="M1838" t="n">
        <v>0</v>
      </c>
    </row>
    <row r="1839" spans="1:13">
      <c r="A1839" s="1">
        <f>HYPERLINK("http://www.twitter.com/NathanBLawrence/status/814604268263079936", "814604268263079936")</f>
        <v/>
      </c>
      <c r="B1839" s="2" t="n">
        <v>42733.95099537037</v>
      </c>
      <c r="C1839" t="n">
        <v>0</v>
      </c>
      <c r="D1839" t="n">
        <v>141</v>
      </c>
      <c r="E1839" t="s">
        <v>1844</v>
      </c>
      <c r="F1839">
        <f>HYPERLINK("http://pbs.twimg.com/media/C02HWTTWEAAbaHb.jpg", "http://pbs.twimg.com/media/C02HWTTWEAAbaHb.jpg")</f>
        <v/>
      </c>
      <c r="G1839" t="s"/>
      <c r="H1839" t="s"/>
      <c r="I1839" t="s"/>
      <c r="J1839" t="n">
        <v>-0.6369</v>
      </c>
      <c r="K1839" t="n">
        <v>0.31</v>
      </c>
      <c r="L1839" t="n">
        <v>0.5629999999999999</v>
      </c>
      <c r="M1839" t="n">
        <v>0.127</v>
      </c>
    </row>
    <row r="1840" spans="1:13">
      <c r="A1840" s="1">
        <f>HYPERLINK("http://www.twitter.com/NathanBLawrence/status/814603518921281536", "814603518921281536")</f>
        <v/>
      </c>
      <c r="B1840" s="2" t="n">
        <v>42733.94893518519</v>
      </c>
      <c r="C1840" t="n">
        <v>0</v>
      </c>
      <c r="D1840" t="n">
        <v>12</v>
      </c>
      <c r="E1840" t="s">
        <v>1845</v>
      </c>
      <c r="F1840">
        <f>HYPERLINK("http://pbs.twimg.com/media/C04EVH8UUAAf6NH.jpg", "http://pbs.twimg.com/media/C04EVH8UUAAf6NH.jpg")</f>
        <v/>
      </c>
      <c r="G1840" t="s"/>
      <c r="H1840" t="s"/>
      <c r="I1840" t="s"/>
      <c r="J1840" t="n">
        <v>0.4067</v>
      </c>
      <c r="K1840" t="n">
        <v>0.05</v>
      </c>
      <c r="L1840" t="n">
        <v>0.829</v>
      </c>
      <c r="M1840" t="n">
        <v>0.121</v>
      </c>
    </row>
    <row r="1841" spans="1:13">
      <c r="A1841" s="1">
        <f>HYPERLINK("http://www.twitter.com/NathanBLawrence/status/814581060080177152", "814581060080177152")</f>
        <v/>
      </c>
      <c r="B1841" s="2" t="n">
        <v>42733.88695601852</v>
      </c>
      <c r="C1841" t="n">
        <v>0</v>
      </c>
      <c r="D1841" t="n">
        <v>2355</v>
      </c>
      <c r="E1841" t="s">
        <v>1846</v>
      </c>
      <c r="F1841" t="s"/>
      <c r="G1841" t="s"/>
      <c r="H1841" t="s"/>
      <c r="I1841" t="s"/>
      <c r="J1841" t="n">
        <v>0</v>
      </c>
      <c r="K1841" t="n">
        <v>0</v>
      </c>
      <c r="L1841" t="n">
        <v>1</v>
      </c>
      <c r="M1841" t="n">
        <v>0</v>
      </c>
    </row>
    <row r="1842" spans="1:13">
      <c r="A1842" s="1">
        <f>HYPERLINK("http://www.twitter.com/NathanBLawrence/status/814565491205357568", "814565491205357568")</f>
        <v/>
      </c>
      <c r="B1842" s="2" t="n">
        <v>42733.84399305555</v>
      </c>
      <c r="C1842" t="n">
        <v>0</v>
      </c>
      <c r="D1842" t="n">
        <v>9</v>
      </c>
      <c r="E1842" t="s">
        <v>1847</v>
      </c>
      <c r="F1842" t="s"/>
      <c r="G1842" t="s"/>
      <c r="H1842" t="s"/>
      <c r="I1842" t="s"/>
      <c r="J1842" t="n">
        <v>0.8555</v>
      </c>
      <c r="K1842" t="n">
        <v>0</v>
      </c>
      <c r="L1842" t="n">
        <v>0.657</v>
      </c>
      <c r="M1842" t="n">
        <v>0.343</v>
      </c>
    </row>
    <row r="1843" spans="1:13">
      <c r="A1843" s="1">
        <f>HYPERLINK("http://www.twitter.com/NathanBLawrence/status/814560679407521793", "814560679407521793")</f>
        <v/>
      </c>
      <c r="B1843" s="2" t="n">
        <v>42733.83071759259</v>
      </c>
      <c r="C1843" t="n">
        <v>0</v>
      </c>
      <c r="D1843" t="n">
        <v>0</v>
      </c>
      <c r="E1843" t="s">
        <v>1848</v>
      </c>
      <c r="F1843" t="s"/>
      <c r="G1843" t="s"/>
      <c r="H1843" t="s"/>
      <c r="I1843" t="s"/>
      <c r="J1843" t="n">
        <v>0.7964</v>
      </c>
      <c r="K1843" t="n">
        <v>0</v>
      </c>
      <c r="L1843" t="n">
        <v>0.664</v>
      </c>
      <c r="M1843" t="n">
        <v>0.336</v>
      </c>
    </row>
    <row r="1844" spans="1:13">
      <c r="A1844" s="1">
        <f>HYPERLINK("http://www.twitter.com/NathanBLawrence/status/814542629065134082", "814542629065134082")</f>
        <v/>
      </c>
      <c r="B1844" s="2" t="n">
        <v>42733.78090277778</v>
      </c>
      <c r="C1844" t="n">
        <v>0</v>
      </c>
      <c r="D1844" t="n">
        <v>541</v>
      </c>
      <c r="E1844" t="s">
        <v>1849</v>
      </c>
      <c r="F1844" t="s"/>
      <c r="G1844" t="s"/>
      <c r="H1844" t="s"/>
      <c r="I1844" t="s"/>
      <c r="J1844" t="n">
        <v>0.3595</v>
      </c>
      <c r="K1844" t="n">
        <v>0</v>
      </c>
      <c r="L1844" t="n">
        <v>0.884</v>
      </c>
      <c r="M1844" t="n">
        <v>0.116</v>
      </c>
    </row>
    <row r="1845" spans="1:13">
      <c r="A1845" s="1">
        <f>HYPERLINK("http://www.twitter.com/NathanBLawrence/status/814514077556994048", "814514077556994048")</f>
        <v/>
      </c>
      <c r="B1845" s="2" t="n">
        <v>42733.70211805555</v>
      </c>
      <c r="C1845" t="n">
        <v>0</v>
      </c>
      <c r="D1845" t="n">
        <v>680</v>
      </c>
      <c r="E1845" t="s">
        <v>1850</v>
      </c>
      <c r="F1845">
        <f>HYPERLINK("http://pbs.twimg.com/media/C02pkrGXAAARJCM.jpg", "http://pbs.twimg.com/media/C02pkrGXAAARJCM.jpg")</f>
        <v/>
      </c>
      <c r="G1845" t="s"/>
      <c r="H1845" t="s"/>
      <c r="I1845" t="s"/>
      <c r="J1845" t="n">
        <v>0.6808</v>
      </c>
      <c r="K1845" t="n">
        <v>0</v>
      </c>
      <c r="L1845" t="n">
        <v>0.763</v>
      </c>
      <c r="M1845" t="n">
        <v>0.237</v>
      </c>
    </row>
    <row r="1846" spans="1:13">
      <c r="A1846" s="1">
        <f>HYPERLINK("http://www.twitter.com/NathanBLawrence/status/814511716771971072", "814511716771971072")</f>
        <v/>
      </c>
      <c r="B1846" s="2" t="n">
        <v>42733.69560185185</v>
      </c>
      <c r="C1846" t="n">
        <v>0</v>
      </c>
      <c r="D1846" t="n">
        <v>11</v>
      </c>
      <c r="E1846" t="s">
        <v>1851</v>
      </c>
      <c r="F1846">
        <f>HYPERLINK("http://pbs.twimg.com/media/C02wQJGXAAAaWKq.jpg", "http://pbs.twimg.com/media/C02wQJGXAAAaWKq.jpg")</f>
        <v/>
      </c>
      <c r="G1846" t="s"/>
      <c r="H1846" t="s"/>
      <c r="I1846" t="s"/>
      <c r="J1846" t="n">
        <v>0</v>
      </c>
      <c r="K1846" t="n">
        <v>0</v>
      </c>
      <c r="L1846" t="n">
        <v>1</v>
      </c>
      <c r="M1846" t="n">
        <v>0</v>
      </c>
    </row>
    <row r="1847" spans="1:13">
      <c r="A1847" s="1">
        <f>HYPERLINK("http://www.twitter.com/NathanBLawrence/status/814510942776098816", "814510942776098816")</f>
        <v/>
      </c>
      <c r="B1847" s="2" t="n">
        <v>42733.69347222222</v>
      </c>
      <c r="C1847" t="n">
        <v>0</v>
      </c>
      <c r="D1847" t="n">
        <v>1136</v>
      </c>
      <c r="E1847" t="s">
        <v>1852</v>
      </c>
      <c r="F1847" t="s"/>
      <c r="G1847" t="s"/>
      <c r="H1847" t="s"/>
      <c r="I1847" t="s"/>
      <c r="J1847" t="n">
        <v>0.4939</v>
      </c>
      <c r="K1847" t="n">
        <v>0</v>
      </c>
      <c r="L1847" t="n">
        <v>0.856</v>
      </c>
      <c r="M1847" t="n">
        <v>0.144</v>
      </c>
    </row>
    <row r="1848" spans="1:13">
      <c r="A1848" s="1">
        <f>HYPERLINK("http://www.twitter.com/NathanBLawrence/status/814338368175833088", "814338368175833088")</f>
        <v/>
      </c>
      <c r="B1848" s="2" t="n">
        <v>42733.21725694444</v>
      </c>
      <c r="C1848" t="n">
        <v>0</v>
      </c>
      <c r="D1848" t="n">
        <v>24</v>
      </c>
      <c r="E1848" t="s">
        <v>1853</v>
      </c>
      <c r="F1848">
        <f>HYPERLINK("http://pbs.twimg.com/media/C00XhyyWEAAl12Q.jpg", "http://pbs.twimg.com/media/C00XhyyWEAAl12Q.jpg")</f>
        <v/>
      </c>
      <c r="G1848" t="s"/>
      <c r="H1848" t="s"/>
      <c r="I1848" t="s"/>
      <c r="J1848" t="n">
        <v>0</v>
      </c>
      <c r="K1848" t="n">
        <v>0</v>
      </c>
      <c r="L1848" t="n">
        <v>1</v>
      </c>
      <c r="M1848" t="n">
        <v>0</v>
      </c>
    </row>
    <row r="1849" spans="1:13">
      <c r="A1849" s="1">
        <f>HYPERLINK("http://www.twitter.com/NathanBLawrence/status/814337567705485317", "814337567705485317")</f>
        <v/>
      </c>
      <c r="B1849" s="2" t="n">
        <v>42733.2150462963</v>
      </c>
      <c r="C1849" t="n">
        <v>0</v>
      </c>
      <c r="D1849" t="n">
        <v>883</v>
      </c>
      <c r="E1849" t="s">
        <v>1854</v>
      </c>
      <c r="F1849">
        <f>HYPERLINK("http://pbs.twimg.com/media/C0zwwqKWIAEu4Ec.jpg", "http://pbs.twimg.com/media/C0zwwqKWIAEu4Ec.jpg")</f>
        <v/>
      </c>
      <c r="G1849" t="s"/>
      <c r="H1849" t="s"/>
      <c r="I1849" t="s"/>
      <c r="J1849" t="n">
        <v>-0.7003</v>
      </c>
      <c r="K1849" t="n">
        <v>0.537</v>
      </c>
      <c r="L1849" t="n">
        <v>0.463</v>
      </c>
      <c r="M1849" t="n">
        <v>0</v>
      </c>
    </row>
    <row r="1850" spans="1:13">
      <c r="A1850" s="1">
        <f>HYPERLINK("http://www.twitter.com/NathanBLawrence/status/814334679558082560", "814334679558082560")</f>
        <v/>
      </c>
      <c r="B1850" s="2" t="n">
        <v>42733.20707175926</v>
      </c>
      <c r="C1850" t="n">
        <v>0</v>
      </c>
      <c r="D1850" t="n">
        <v>124</v>
      </c>
      <c r="E1850" t="s">
        <v>1855</v>
      </c>
      <c r="F1850" t="s"/>
      <c r="G1850" t="s"/>
      <c r="H1850" t="s"/>
      <c r="I1850" t="s"/>
      <c r="J1850" t="n">
        <v>0</v>
      </c>
      <c r="K1850" t="n">
        <v>0</v>
      </c>
      <c r="L1850" t="n">
        <v>1</v>
      </c>
      <c r="M1850" t="n">
        <v>0</v>
      </c>
    </row>
    <row r="1851" spans="1:13">
      <c r="A1851" s="1">
        <f>HYPERLINK("http://www.twitter.com/NathanBLawrence/status/814332057870598144", "814332057870598144")</f>
        <v/>
      </c>
      <c r="B1851" s="2" t="n">
        <v>42733.19983796297</v>
      </c>
      <c r="C1851" t="n">
        <v>0</v>
      </c>
      <c r="D1851" t="n">
        <v>328</v>
      </c>
      <c r="E1851" t="s">
        <v>1856</v>
      </c>
      <c r="F1851" t="s"/>
      <c r="G1851" t="s"/>
      <c r="H1851" t="s"/>
      <c r="I1851" t="s"/>
      <c r="J1851" t="n">
        <v>-0.8409</v>
      </c>
      <c r="K1851" t="n">
        <v>0.401</v>
      </c>
      <c r="L1851" t="n">
        <v>0.599</v>
      </c>
      <c r="M1851" t="n">
        <v>0</v>
      </c>
    </row>
    <row r="1852" spans="1:13">
      <c r="A1852" s="1">
        <f>HYPERLINK("http://www.twitter.com/NathanBLawrence/status/814299589301899264", "814299589301899264")</f>
        <v/>
      </c>
      <c r="B1852" s="2" t="n">
        <v>42733.11024305555</v>
      </c>
      <c r="C1852" t="n">
        <v>0</v>
      </c>
      <c r="D1852" t="n">
        <v>114</v>
      </c>
      <c r="E1852" t="s">
        <v>1857</v>
      </c>
      <c r="F1852" t="s"/>
      <c r="G1852" t="s"/>
      <c r="H1852" t="s"/>
      <c r="I1852" t="s"/>
      <c r="J1852" t="n">
        <v>-0.296</v>
      </c>
      <c r="K1852" t="n">
        <v>0.099</v>
      </c>
      <c r="L1852" t="n">
        <v>0.901</v>
      </c>
      <c r="M1852" t="n">
        <v>0</v>
      </c>
    </row>
    <row r="1853" spans="1:13">
      <c r="A1853" s="1">
        <f>HYPERLINK("http://www.twitter.com/NathanBLawrence/status/814248458492190722", "814248458492190722")</f>
        <v/>
      </c>
      <c r="B1853" s="2" t="n">
        <v>42732.96915509259</v>
      </c>
      <c r="C1853" t="n">
        <v>0</v>
      </c>
      <c r="D1853" t="n">
        <v>396</v>
      </c>
      <c r="E1853" t="s">
        <v>1858</v>
      </c>
      <c r="F1853" t="s"/>
      <c r="G1853" t="s"/>
      <c r="H1853" t="s"/>
      <c r="I1853" t="s"/>
      <c r="J1853" t="n">
        <v>0</v>
      </c>
      <c r="K1853" t="n">
        <v>0</v>
      </c>
      <c r="L1853" t="n">
        <v>1</v>
      </c>
      <c r="M1853" t="n">
        <v>0</v>
      </c>
    </row>
    <row r="1854" spans="1:13">
      <c r="A1854" s="1">
        <f>HYPERLINK("http://www.twitter.com/NathanBLawrence/status/814192794285776896", "814192794285776896")</f>
        <v/>
      </c>
      <c r="B1854" s="2" t="n">
        <v>42732.81554398148</v>
      </c>
      <c r="C1854" t="n">
        <v>0</v>
      </c>
      <c r="D1854" t="n">
        <v>0</v>
      </c>
      <c r="E1854" t="s">
        <v>1859</v>
      </c>
      <c r="F1854" t="s"/>
      <c r="G1854" t="s"/>
      <c r="H1854" t="s"/>
      <c r="I1854" t="s"/>
      <c r="J1854" t="n">
        <v>-0.6249</v>
      </c>
      <c r="K1854" t="n">
        <v>0.215</v>
      </c>
      <c r="L1854" t="n">
        <v>0.785</v>
      </c>
      <c r="M1854" t="n">
        <v>0</v>
      </c>
    </row>
    <row r="1855" spans="1:13">
      <c r="A1855" s="1">
        <f>HYPERLINK("http://www.twitter.com/NathanBLawrence/status/814188237065519104", "814188237065519104")</f>
        <v/>
      </c>
      <c r="B1855" s="2" t="n">
        <v>42732.80297453704</v>
      </c>
      <c r="C1855" t="n">
        <v>0</v>
      </c>
      <c r="D1855" t="n">
        <v>330</v>
      </c>
      <c r="E1855" t="s">
        <v>1860</v>
      </c>
      <c r="F1855" t="s"/>
      <c r="G1855" t="s"/>
      <c r="H1855" t="s"/>
      <c r="I1855" t="s"/>
      <c r="J1855" t="n">
        <v>-0.12</v>
      </c>
      <c r="K1855" t="n">
        <v>0.194</v>
      </c>
      <c r="L1855" t="n">
        <v>0.673</v>
      </c>
      <c r="M1855" t="n">
        <v>0.132</v>
      </c>
    </row>
    <row r="1856" spans="1:13">
      <c r="A1856" s="1">
        <f>HYPERLINK("http://www.twitter.com/NathanBLawrence/status/814186249070268417", "814186249070268417")</f>
        <v/>
      </c>
      <c r="B1856" s="2" t="n">
        <v>42732.79748842592</v>
      </c>
      <c r="C1856" t="n">
        <v>0</v>
      </c>
      <c r="D1856" t="n">
        <v>23</v>
      </c>
      <c r="E1856" t="s">
        <v>1861</v>
      </c>
      <c r="F1856">
        <f>HYPERLINK("http://pbs.twimg.com/media/C0yJWV-WgAAy-fe.jpg", "http://pbs.twimg.com/media/C0yJWV-WgAAy-fe.jpg")</f>
        <v/>
      </c>
      <c r="G1856" t="s"/>
      <c r="H1856" t="s"/>
      <c r="I1856" t="s"/>
      <c r="J1856" t="n">
        <v>0</v>
      </c>
      <c r="K1856" t="n">
        <v>0</v>
      </c>
      <c r="L1856" t="n">
        <v>1</v>
      </c>
      <c r="M1856" t="n">
        <v>0</v>
      </c>
    </row>
    <row r="1857" spans="1:13">
      <c r="A1857" s="1">
        <f>HYPERLINK("http://www.twitter.com/NathanBLawrence/status/814183642352193537", "814183642352193537")</f>
        <v/>
      </c>
      <c r="B1857" s="2" t="n">
        <v>42732.79028935185</v>
      </c>
      <c r="C1857" t="n">
        <v>0</v>
      </c>
      <c r="D1857" t="n">
        <v>122</v>
      </c>
      <c r="E1857" t="s">
        <v>1862</v>
      </c>
      <c r="F1857" t="s"/>
      <c r="G1857" t="s"/>
      <c r="H1857" t="s"/>
      <c r="I1857" t="s"/>
      <c r="J1857" t="n">
        <v>-0.7845</v>
      </c>
      <c r="K1857" t="n">
        <v>0.317</v>
      </c>
      <c r="L1857" t="n">
        <v>0.594</v>
      </c>
      <c r="M1857" t="n">
        <v>0.089</v>
      </c>
    </row>
    <row r="1858" spans="1:13">
      <c r="A1858" s="1">
        <f>HYPERLINK("http://www.twitter.com/NathanBLawrence/status/814180303837270016", "814180303837270016")</f>
        <v/>
      </c>
      <c r="B1858" s="2" t="n">
        <v>42732.78107638889</v>
      </c>
      <c r="C1858" t="n">
        <v>0</v>
      </c>
      <c r="D1858" t="n">
        <v>172</v>
      </c>
      <c r="E1858" t="s">
        <v>1863</v>
      </c>
      <c r="F1858" t="s"/>
      <c r="G1858" t="s"/>
      <c r="H1858" t="s"/>
      <c r="I1858" t="s"/>
      <c r="J1858" t="n">
        <v>0.7506</v>
      </c>
      <c r="K1858" t="n">
        <v>0</v>
      </c>
      <c r="L1858" t="n">
        <v>0.758</v>
      </c>
      <c r="M1858" t="n">
        <v>0.242</v>
      </c>
    </row>
    <row r="1859" spans="1:13">
      <c r="A1859" s="1">
        <f>HYPERLINK("http://www.twitter.com/NathanBLawrence/status/814160922059112450", "814160922059112450")</f>
        <v/>
      </c>
      <c r="B1859" s="2" t="n">
        <v>42732.72759259259</v>
      </c>
      <c r="C1859" t="n">
        <v>0</v>
      </c>
      <c r="D1859" t="n">
        <v>83</v>
      </c>
      <c r="E1859" t="s">
        <v>1864</v>
      </c>
      <c r="F1859" t="s"/>
      <c r="G1859" t="s"/>
      <c r="H1859" t="s"/>
      <c r="I1859" t="s"/>
      <c r="J1859" t="n">
        <v>0.3565</v>
      </c>
      <c r="K1859" t="n">
        <v>0.053</v>
      </c>
      <c r="L1859" t="n">
        <v>0.829</v>
      </c>
      <c r="M1859" t="n">
        <v>0.118</v>
      </c>
    </row>
    <row r="1860" spans="1:13">
      <c r="A1860" s="1">
        <f>HYPERLINK("http://www.twitter.com/NathanBLawrence/status/814158559957155841", "814158559957155841")</f>
        <v/>
      </c>
      <c r="B1860" s="2" t="n">
        <v>42732.72107638889</v>
      </c>
      <c r="C1860" t="n">
        <v>0</v>
      </c>
      <c r="D1860" t="n">
        <v>278</v>
      </c>
      <c r="E1860" t="s">
        <v>1865</v>
      </c>
      <c r="F1860" t="s"/>
      <c r="G1860" t="s"/>
      <c r="H1860" t="s"/>
      <c r="I1860" t="s"/>
      <c r="J1860" t="n">
        <v>0.2023</v>
      </c>
      <c r="K1860" t="n">
        <v>0.184</v>
      </c>
      <c r="L1860" t="n">
        <v>0.5600000000000001</v>
      </c>
      <c r="M1860" t="n">
        <v>0.256</v>
      </c>
    </row>
    <row r="1861" spans="1:13">
      <c r="A1861" s="1">
        <f>HYPERLINK("http://www.twitter.com/NathanBLawrence/status/814158427723366401", "814158427723366401")</f>
        <v/>
      </c>
      <c r="B1861" s="2" t="n">
        <v>42732.72071759259</v>
      </c>
      <c r="C1861" t="n">
        <v>0</v>
      </c>
      <c r="D1861" t="n">
        <v>158</v>
      </c>
      <c r="E1861" t="s">
        <v>1866</v>
      </c>
      <c r="F1861" t="s"/>
      <c r="G1861" t="s"/>
      <c r="H1861" t="s"/>
      <c r="I1861" t="s"/>
      <c r="J1861" t="n">
        <v>-0.3818</v>
      </c>
      <c r="K1861" t="n">
        <v>0.235</v>
      </c>
      <c r="L1861" t="n">
        <v>0.612</v>
      </c>
      <c r="M1861" t="n">
        <v>0.153</v>
      </c>
    </row>
    <row r="1862" spans="1:13">
      <c r="A1862" s="1">
        <f>HYPERLINK("http://www.twitter.com/NathanBLawrence/status/814149538067910656", "814149538067910656")</f>
        <v/>
      </c>
      <c r="B1862" s="2" t="n">
        <v>42732.69618055555</v>
      </c>
      <c r="C1862" t="n">
        <v>0</v>
      </c>
      <c r="D1862" t="n">
        <v>1665</v>
      </c>
      <c r="E1862" t="s">
        <v>1867</v>
      </c>
      <c r="F1862" t="s"/>
      <c r="G1862" t="s"/>
      <c r="H1862" t="s"/>
      <c r="I1862" t="s"/>
      <c r="J1862" t="n">
        <v>-0.34</v>
      </c>
      <c r="K1862" t="n">
        <v>0.118</v>
      </c>
      <c r="L1862" t="n">
        <v>0.882</v>
      </c>
      <c r="M1862" t="n">
        <v>0</v>
      </c>
    </row>
    <row r="1863" spans="1:13">
      <c r="A1863" s="1">
        <f>HYPERLINK("http://www.twitter.com/NathanBLawrence/status/814149015801647104", "814149015801647104")</f>
        <v/>
      </c>
      <c r="B1863" s="2" t="n">
        <v>42732.69474537037</v>
      </c>
      <c r="C1863" t="n">
        <v>0</v>
      </c>
      <c r="D1863" t="n">
        <v>1126</v>
      </c>
      <c r="E1863" t="s">
        <v>1868</v>
      </c>
      <c r="F1863">
        <f>HYPERLINK("http://pbs.twimg.com/media/C0sM-TWXcAUcPZk.png", "http://pbs.twimg.com/media/C0sM-TWXcAUcPZk.png")</f>
        <v/>
      </c>
      <c r="G1863" t="s"/>
      <c r="H1863" t="s"/>
      <c r="I1863" t="s"/>
      <c r="J1863" t="n">
        <v>0</v>
      </c>
      <c r="K1863" t="n">
        <v>0</v>
      </c>
      <c r="L1863" t="n">
        <v>1</v>
      </c>
      <c r="M1863" t="n">
        <v>0</v>
      </c>
    </row>
    <row r="1864" spans="1:13">
      <c r="A1864" s="1">
        <f>HYPERLINK("http://www.twitter.com/NathanBLawrence/status/814145664082911237", "814145664082911237")</f>
        <v/>
      </c>
      <c r="B1864" s="2" t="n">
        <v>42732.68549768518</v>
      </c>
      <c r="C1864" t="n">
        <v>0</v>
      </c>
      <c r="D1864" t="n">
        <v>32271</v>
      </c>
      <c r="E1864" t="s">
        <v>1869</v>
      </c>
      <c r="F1864" t="s"/>
      <c r="G1864" t="s"/>
      <c r="H1864" t="s"/>
      <c r="I1864" t="s"/>
      <c r="J1864" t="n">
        <v>-0.126</v>
      </c>
      <c r="K1864" t="n">
        <v>0.135</v>
      </c>
      <c r="L1864" t="n">
        <v>0.748</v>
      </c>
      <c r="M1864" t="n">
        <v>0.117</v>
      </c>
    </row>
    <row r="1865" spans="1:13">
      <c r="A1865" s="1">
        <f>HYPERLINK("http://www.twitter.com/NathanBLawrence/status/814145655740436481", "814145655740436481")</f>
        <v/>
      </c>
      <c r="B1865" s="2" t="n">
        <v>42732.68547453704</v>
      </c>
      <c r="C1865" t="n">
        <v>0</v>
      </c>
      <c r="D1865" t="n">
        <v>28343</v>
      </c>
      <c r="E1865" t="s">
        <v>1870</v>
      </c>
      <c r="F1865" t="s"/>
      <c r="G1865" t="s"/>
      <c r="H1865" t="s"/>
      <c r="I1865" t="s"/>
      <c r="J1865" t="n">
        <v>0.34</v>
      </c>
      <c r="K1865" t="n">
        <v>0.183</v>
      </c>
      <c r="L1865" t="n">
        <v>0.59</v>
      </c>
      <c r="M1865" t="n">
        <v>0.227</v>
      </c>
    </row>
    <row r="1866" spans="1:13">
      <c r="A1866" s="1">
        <f>HYPERLINK("http://www.twitter.com/NathanBLawrence/status/814145327049670656", "814145327049670656")</f>
        <v/>
      </c>
      <c r="B1866" s="2" t="n">
        <v>42732.68456018518</v>
      </c>
      <c r="C1866" t="n">
        <v>0</v>
      </c>
      <c r="D1866" t="n">
        <v>180</v>
      </c>
      <c r="E1866" t="s">
        <v>1871</v>
      </c>
      <c r="F1866">
        <f>HYPERLINK("http://pbs.twimg.com/media/C0xRm3DUkAEcp2R.jpg", "http://pbs.twimg.com/media/C0xRm3DUkAEcp2R.jpg")</f>
        <v/>
      </c>
      <c r="G1866" t="s"/>
      <c r="H1866" t="s"/>
      <c r="I1866" t="s"/>
      <c r="J1866" t="n">
        <v>-0.743</v>
      </c>
      <c r="K1866" t="n">
        <v>0.289</v>
      </c>
      <c r="L1866" t="n">
        <v>0.711</v>
      </c>
      <c r="M1866" t="n">
        <v>0</v>
      </c>
    </row>
    <row r="1867" spans="1:13">
      <c r="A1867" s="1">
        <f>HYPERLINK("http://www.twitter.com/NathanBLawrence/status/813871002379833345", "813871002379833345")</f>
        <v/>
      </c>
      <c r="B1867" s="2" t="n">
        <v>42731.92756944444</v>
      </c>
      <c r="C1867" t="n">
        <v>0</v>
      </c>
      <c r="D1867" t="n">
        <v>96</v>
      </c>
      <c r="E1867" t="s">
        <v>1872</v>
      </c>
      <c r="F1867" t="s"/>
      <c r="G1867" t="s"/>
      <c r="H1867" t="s"/>
      <c r="I1867" t="s"/>
      <c r="J1867" t="n">
        <v>0.34</v>
      </c>
      <c r="K1867" t="n">
        <v>0</v>
      </c>
      <c r="L1867" t="n">
        <v>0.882</v>
      </c>
      <c r="M1867" t="n">
        <v>0.118</v>
      </c>
    </row>
    <row r="1868" spans="1:13">
      <c r="A1868" s="1">
        <f>HYPERLINK("http://www.twitter.com/NathanBLawrence/status/813870293961895937", "813870293961895937")</f>
        <v/>
      </c>
      <c r="B1868" s="2" t="n">
        <v>42731.92561342593</v>
      </c>
      <c r="C1868" t="n">
        <v>0</v>
      </c>
      <c r="D1868" t="n">
        <v>448</v>
      </c>
      <c r="E1868" t="s">
        <v>1873</v>
      </c>
      <c r="F1868" t="s"/>
      <c r="G1868" t="s"/>
      <c r="H1868" t="s"/>
      <c r="I1868" t="s"/>
      <c r="J1868" t="n">
        <v>0</v>
      </c>
      <c r="K1868" t="n">
        <v>0</v>
      </c>
      <c r="L1868" t="n">
        <v>1</v>
      </c>
      <c r="M1868" t="n">
        <v>0</v>
      </c>
    </row>
    <row r="1869" spans="1:13">
      <c r="A1869" s="1">
        <f>HYPERLINK("http://www.twitter.com/NathanBLawrence/status/813869932471533568", "813869932471533568")</f>
        <v/>
      </c>
      <c r="B1869" s="2" t="n">
        <v>42731.92461805556</v>
      </c>
      <c r="C1869" t="n">
        <v>0</v>
      </c>
      <c r="D1869" t="n">
        <v>231</v>
      </c>
      <c r="E1869" t="s">
        <v>1874</v>
      </c>
      <c r="F1869">
        <f>HYPERLINK("http://pbs.twimg.com/media/C0sfEAmVIAA87CN.jpg", "http://pbs.twimg.com/media/C0sfEAmVIAA87CN.jpg")</f>
        <v/>
      </c>
      <c r="G1869" t="s"/>
      <c r="H1869" t="s"/>
      <c r="I1869" t="s"/>
      <c r="J1869" t="n">
        <v>0.6155</v>
      </c>
      <c r="K1869" t="n">
        <v>0</v>
      </c>
      <c r="L1869" t="n">
        <v>0.8169999999999999</v>
      </c>
      <c r="M1869" t="n">
        <v>0.183</v>
      </c>
    </row>
    <row r="1870" spans="1:13">
      <c r="A1870" s="1">
        <f>HYPERLINK("http://www.twitter.com/NathanBLawrence/status/813562613917503488", "813562613917503488")</f>
        <v/>
      </c>
      <c r="B1870" s="2" t="n">
        <v>42731.07658564814</v>
      </c>
      <c r="C1870" t="n">
        <v>1</v>
      </c>
      <c r="D1870" t="n">
        <v>0</v>
      </c>
      <c r="E1870" t="s">
        <v>1875</v>
      </c>
      <c r="F1870" t="s"/>
      <c r="G1870" t="s"/>
      <c r="H1870" t="s"/>
      <c r="I1870" t="s"/>
      <c r="J1870" t="n">
        <v>0</v>
      </c>
      <c r="K1870" t="n">
        <v>0</v>
      </c>
      <c r="L1870" t="n">
        <v>1</v>
      </c>
      <c r="M1870" t="n">
        <v>0</v>
      </c>
    </row>
    <row r="1871" spans="1:13">
      <c r="A1871" s="1">
        <f>HYPERLINK("http://www.twitter.com/NathanBLawrence/status/813492894728355840", "813492894728355840")</f>
        <v/>
      </c>
      <c r="B1871" s="2" t="n">
        <v>42730.88418981482</v>
      </c>
      <c r="C1871" t="n">
        <v>0</v>
      </c>
      <c r="D1871" t="n">
        <v>228</v>
      </c>
      <c r="E1871" t="s">
        <v>1876</v>
      </c>
      <c r="F1871" t="s"/>
      <c r="G1871" t="s"/>
      <c r="H1871" t="s"/>
      <c r="I1871" t="s"/>
      <c r="J1871" t="n">
        <v>0</v>
      </c>
      <c r="K1871" t="n">
        <v>0</v>
      </c>
      <c r="L1871" t="n">
        <v>1</v>
      </c>
      <c r="M1871" t="n">
        <v>0</v>
      </c>
    </row>
    <row r="1872" spans="1:13">
      <c r="A1872" s="1">
        <f>HYPERLINK("http://www.twitter.com/NathanBLawrence/status/813482998121250817", "813482998121250817")</f>
        <v/>
      </c>
      <c r="B1872" s="2" t="n">
        <v>42730.85688657407</v>
      </c>
      <c r="C1872" t="n">
        <v>0</v>
      </c>
      <c r="D1872" t="n">
        <v>177</v>
      </c>
      <c r="E1872" t="s">
        <v>1877</v>
      </c>
      <c r="F1872" t="s"/>
      <c r="G1872" t="s"/>
      <c r="H1872" t="s"/>
      <c r="I1872" t="s"/>
      <c r="J1872" t="n">
        <v>-0.4404</v>
      </c>
      <c r="K1872" t="n">
        <v>0.146</v>
      </c>
      <c r="L1872" t="n">
        <v>0.854</v>
      </c>
      <c r="M1872" t="n">
        <v>0</v>
      </c>
    </row>
    <row r="1873" spans="1:13">
      <c r="A1873" s="1">
        <f>HYPERLINK("http://www.twitter.com/NathanBLawrence/status/813473229373206528", "813473229373206528")</f>
        <v/>
      </c>
      <c r="B1873" s="2" t="n">
        <v>42730.82993055556</v>
      </c>
      <c r="C1873" t="n">
        <v>0</v>
      </c>
      <c r="D1873" t="n">
        <v>772</v>
      </c>
      <c r="E1873" t="s">
        <v>1878</v>
      </c>
      <c r="F1873" t="s"/>
      <c r="G1873" t="s"/>
      <c r="H1873" t="s"/>
      <c r="I1873" t="s"/>
      <c r="J1873" t="n">
        <v>-0.5106000000000001</v>
      </c>
      <c r="K1873" t="n">
        <v>0.142</v>
      </c>
      <c r="L1873" t="n">
        <v>0.858</v>
      </c>
      <c r="M1873" t="n">
        <v>0</v>
      </c>
    </row>
    <row r="1874" spans="1:13">
      <c r="A1874" s="1">
        <f>HYPERLINK("http://www.twitter.com/NathanBLawrence/status/813473078768521216", "813473078768521216")</f>
        <v/>
      </c>
      <c r="B1874" s="2" t="n">
        <v>42730.82951388889</v>
      </c>
      <c r="C1874" t="n">
        <v>0</v>
      </c>
      <c r="D1874" t="n">
        <v>188</v>
      </c>
      <c r="E1874" t="s">
        <v>1879</v>
      </c>
      <c r="F1874" t="s"/>
      <c r="G1874" t="s"/>
      <c r="H1874" t="s"/>
      <c r="I1874" t="s"/>
      <c r="J1874" t="n">
        <v>-0.656</v>
      </c>
      <c r="K1874" t="n">
        <v>0.251</v>
      </c>
      <c r="L1874" t="n">
        <v>0.749</v>
      </c>
      <c r="M1874" t="n">
        <v>0</v>
      </c>
    </row>
    <row r="1875" spans="1:13">
      <c r="A1875" s="1">
        <f>HYPERLINK("http://www.twitter.com/NathanBLawrence/status/813472707878801408", "813472707878801408")</f>
        <v/>
      </c>
      <c r="B1875" s="2" t="n">
        <v>42730.82848379629</v>
      </c>
      <c r="C1875" t="n">
        <v>0</v>
      </c>
      <c r="D1875" t="n">
        <v>838</v>
      </c>
      <c r="E1875" t="s">
        <v>1880</v>
      </c>
      <c r="F1875">
        <f>HYPERLINK("http://pbs.twimg.com/media/C0nCM2eVQAA-qhO.jpg", "http://pbs.twimg.com/media/C0nCM2eVQAA-qhO.jpg")</f>
        <v/>
      </c>
      <c r="G1875" t="s"/>
      <c r="H1875" t="s"/>
      <c r="I1875" t="s"/>
      <c r="J1875" t="n">
        <v>0</v>
      </c>
      <c r="K1875" t="n">
        <v>0.146</v>
      </c>
      <c r="L1875" t="n">
        <v>0.707</v>
      </c>
      <c r="M1875" t="n">
        <v>0.146</v>
      </c>
    </row>
    <row r="1876" spans="1:13">
      <c r="A1876" s="1">
        <f>HYPERLINK("http://www.twitter.com/NathanBLawrence/status/813471908947697664", "813471908947697664")</f>
        <v/>
      </c>
      <c r="B1876" s="2" t="n">
        <v>42730.82628472222</v>
      </c>
      <c r="C1876" t="n">
        <v>0</v>
      </c>
      <c r="D1876" t="n">
        <v>37</v>
      </c>
      <c r="E1876" t="s">
        <v>1881</v>
      </c>
      <c r="F1876">
        <f>HYPERLINK("http://pbs.twimg.com/media/C0n-ot3UkAAgs8h.jpg", "http://pbs.twimg.com/media/C0n-ot3UkAAgs8h.jpg")</f>
        <v/>
      </c>
      <c r="G1876" t="s"/>
      <c r="H1876" t="s"/>
      <c r="I1876" t="s"/>
      <c r="J1876" t="n">
        <v>0</v>
      </c>
      <c r="K1876" t="n">
        <v>0</v>
      </c>
      <c r="L1876" t="n">
        <v>1</v>
      </c>
      <c r="M1876" t="n">
        <v>0</v>
      </c>
    </row>
    <row r="1877" spans="1:13">
      <c r="A1877" s="1">
        <f>HYPERLINK("http://www.twitter.com/NathanBLawrence/status/813459542059126786", "813459542059126786")</f>
        <v/>
      </c>
      <c r="B1877" s="2" t="n">
        <v>42730.79215277778</v>
      </c>
      <c r="C1877" t="n">
        <v>0</v>
      </c>
      <c r="D1877" t="n">
        <v>935</v>
      </c>
      <c r="E1877" t="s">
        <v>1882</v>
      </c>
      <c r="F1877" t="s"/>
      <c r="G1877" t="s"/>
      <c r="H1877" t="s"/>
      <c r="I1877" t="s"/>
      <c r="J1877" t="n">
        <v>-0.1477</v>
      </c>
      <c r="K1877" t="n">
        <v>0.183</v>
      </c>
      <c r="L1877" t="n">
        <v>0.614</v>
      </c>
      <c r="M1877" t="n">
        <v>0.203</v>
      </c>
    </row>
    <row r="1878" spans="1:13">
      <c r="A1878" s="1">
        <f>HYPERLINK("http://www.twitter.com/NathanBLawrence/status/812765509125029888", "812765509125029888")</f>
        <v/>
      </c>
      <c r="B1878" s="2" t="n">
        <v>42728.87699074074</v>
      </c>
      <c r="C1878" t="n">
        <v>0</v>
      </c>
      <c r="D1878" t="n">
        <v>15499</v>
      </c>
      <c r="E1878" t="s">
        <v>1883</v>
      </c>
      <c r="F1878" t="s"/>
      <c r="G1878" t="s"/>
      <c r="H1878" t="s"/>
      <c r="I1878" t="s"/>
      <c r="J1878" t="n">
        <v>0</v>
      </c>
      <c r="K1878" t="n">
        <v>0</v>
      </c>
      <c r="L1878" t="n">
        <v>1</v>
      </c>
      <c r="M1878" t="n">
        <v>0</v>
      </c>
    </row>
    <row r="1879" spans="1:13">
      <c r="A1879" s="1">
        <f>HYPERLINK("http://www.twitter.com/NathanBLawrence/status/812761117244145664", "812761117244145664")</f>
        <v/>
      </c>
      <c r="B1879" s="2" t="n">
        <v>42728.86487268518</v>
      </c>
      <c r="C1879" t="n">
        <v>0</v>
      </c>
      <c r="D1879" t="n">
        <v>757</v>
      </c>
      <c r="E1879" t="s">
        <v>1884</v>
      </c>
      <c r="F1879" t="s"/>
      <c r="G1879" t="s"/>
      <c r="H1879" t="s"/>
      <c r="I1879" t="s"/>
      <c r="J1879" t="n">
        <v>0.6488</v>
      </c>
      <c r="K1879" t="n">
        <v>0</v>
      </c>
      <c r="L1879" t="n">
        <v>0.819</v>
      </c>
      <c r="M1879" t="n">
        <v>0.181</v>
      </c>
    </row>
    <row r="1880" spans="1:13">
      <c r="A1880" s="1">
        <f>HYPERLINK("http://www.twitter.com/NathanBLawrence/status/812746350546849792", "812746350546849792")</f>
        <v/>
      </c>
      <c r="B1880" s="2" t="n">
        <v>42728.82412037037</v>
      </c>
      <c r="C1880" t="n">
        <v>1</v>
      </c>
      <c r="D1880" t="n">
        <v>0</v>
      </c>
      <c r="E1880" t="s">
        <v>1885</v>
      </c>
      <c r="F1880" t="s"/>
      <c r="G1880" t="s"/>
      <c r="H1880" t="s"/>
      <c r="I1880" t="s"/>
      <c r="J1880" t="n">
        <v>0.5859</v>
      </c>
      <c r="K1880" t="n">
        <v>0</v>
      </c>
      <c r="L1880" t="n">
        <v>0.676</v>
      </c>
      <c r="M1880" t="n">
        <v>0.324</v>
      </c>
    </row>
    <row r="1881" spans="1:13">
      <c r="A1881" s="1">
        <f>HYPERLINK("http://www.twitter.com/NathanBLawrence/status/812705022471507968", "812705022471507968")</f>
        <v/>
      </c>
      <c r="B1881" s="2" t="n">
        <v>42728.71008101852</v>
      </c>
      <c r="C1881" t="n">
        <v>0</v>
      </c>
      <c r="D1881" t="n">
        <v>384</v>
      </c>
      <c r="E1881" t="s">
        <v>1886</v>
      </c>
      <c r="F1881">
        <f>HYPERLINK("http://pbs.twimg.com/media/C0dOZ7aWIAAQAsO.jpg", "http://pbs.twimg.com/media/C0dOZ7aWIAAQAsO.jpg")</f>
        <v/>
      </c>
      <c r="G1881" t="s"/>
      <c r="H1881" t="s"/>
      <c r="I1881" t="s"/>
      <c r="J1881" t="n">
        <v>0.4215</v>
      </c>
      <c r="K1881" t="n">
        <v>0</v>
      </c>
      <c r="L1881" t="n">
        <v>0.843</v>
      </c>
      <c r="M1881" t="n">
        <v>0.157</v>
      </c>
    </row>
    <row r="1882" spans="1:13">
      <c r="A1882" s="1">
        <f>HYPERLINK("http://www.twitter.com/NathanBLawrence/status/812520025521262592", "812520025521262592")</f>
        <v/>
      </c>
      <c r="B1882" s="2" t="n">
        <v>42728.19958333333</v>
      </c>
      <c r="C1882" t="n">
        <v>0</v>
      </c>
      <c r="D1882" t="n">
        <v>870</v>
      </c>
      <c r="E1882" t="s">
        <v>1887</v>
      </c>
      <c r="F1882">
        <f>HYPERLINK("http://pbs.twimg.com/media/C0ZHmboVIAA7P9S.jpg", "http://pbs.twimg.com/media/C0ZHmboVIAA7P9S.jpg")</f>
        <v/>
      </c>
      <c r="G1882" t="s"/>
      <c r="H1882" t="s"/>
      <c r="I1882" t="s"/>
      <c r="J1882" t="n">
        <v>-0.7269</v>
      </c>
      <c r="K1882" t="n">
        <v>0.234</v>
      </c>
      <c r="L1882" t="n">
        <v>0.766</v>
      </c>
      <c r="M1882" t="n">
        <v>0</v>
      </c>
    </row>
    <row r="1883" spans="1:13">
      <c r="A1883" s="1">
        <f>HYPERLINK("http://www.twitter.com/NathanBLawrence/status/812443970307493888", "812443970307493888")</f>
        <v/>
      </c>
      <c r="B1883" s="2" t="n">
        <v>42727.98971064815</v>
      </c>
      <c r="C1883" t="n">
        <v>0</v>
      </c>
      <c r="D1883" t="n">
        <v>8</v>
      </c>
      <c r="E1883" t="s">
        <v>1888</v>
      </c>
      <c r="F1883">
        <f>HYPERLINK("http://pbs.twimg.com/media/C0UzGjrWQAUNwFY.jpg", "http://pbs.twimg.com/media/C0UzGjrWQAUNwFY.jpg")</f>
        <v/>
      </c>
      <c r="G1883" t="s"/>
      <c r="H1883" t="s"/>
      <c r="I1883" t="s"/>
      <c r="J1883" t="n">
        <v>-0.85</v>
      </c>
      <c r="K1883" t="n">
        <v>0.316</v>
      </c>
      <c r="L1883" t="n">
        <v>0.6840000000000001</v>
      </c>
      <c r="M1883" t="n">
        <v>0</v>
      </c>
    </row>
    <row r="1884" spans="1:13">
      <c r="A1884" s="1">
        <f>HYPERLINK("http://www.twitter.com/NathanBLawrence/status/812442715556347904", "812442715556347904")</f>
        <v/>
      </c>
      <c r="B1884" s="2" t="n">
        <v>42727.98625</v>
      </c>
      <c r="C1884" t="n">
        <v>0</v>
      </c>
      <c r="D1884" t="n">
        <v>332</v>
      </c>
      <c r="E1884" t="s">
        <v>1889</v>
      </c>
      <c r="F1884">
        <f>HYPERLINK("http://pbs.twimg.com/media/C0YN6FWXgAAlU7A.jpg", "http://pbs.twimg.com/media/C0YN6FWXgAAlU7A.jpg")</f>
        <v/>
      </c>
      <c r="G1884" t="s"/>
      <c r="H1884" t="s"/>
      <c r="I1884" t="s"/>
      <c r="J1884" t="n">
        <v>0.4404</v>
      </c>
      <c r="K1884" t="n">
        <v>0</v>
      </c>
      <c r="L1884" t="n">
        <v>0.868</v>
      </c>
      <c r="M1884" t="n">
        <v>0.132</v>
      </c>
    </row>
    <row r="1885" spans="1:13">
      <c r="A1885" s="1">
        <f>HYPERLINK("http://www.twitter.com/NathanBLawrence/status/812349723973718016", "812349723973718016")</f>
        <v/>
      </c>
      <c r="B1885" s="2" t="n">
        <v>42727.7296412037</v>
      </c>
      <c r="C1885" t="n">
        <v>0</v>
      </c>
      <c r="D1885" t="n">
        <v>6131</v>
      </c>
      <c r="E1885" t="s">
        <v>1890</v>
      </c>
      <c r="F1885" t="s"/>
      <c r="G1885" t="s"/>
      <c r="H1885" t="s"/>
      <c r="I1885" t="s"/>
      <c r="J1885" t="n">
        <v>-0.5423</v>
      </c>
      <c r="K1885" t="n">
        <v>0.179</v>
      </c>
      <c r="L1885" t="n">
        <v>0.821</v>
      </c>
      <c r="M1885" t="n">
        <v>0</v>
      </c>
    </row>
    <row r="1886" spans="1:13">
      <c r="A1886" s="1">
        <f>HYPERLINK("http://www.twitter.com/NathanBLawrence/status/812300004106915844", "812300004106915844")</f>
        <v/>
      </c>
      <c r="B1886" s="2" t="n">
        <v>42727.59244212963</v>
      </c>
      <c r="C1886" t="n">
        <v>0</v>
      </c>
      <c r="D1886" t="n">
        <v>69</v>
      </c>
      <c r="E1886" t="s">
        <v>1891</v>
      </c>
      <c r="F1886">
        <f>HYPERLINK("http://pbs.twimg.com/media/C0XctriUsAE_K0e.jpg", "http://pbs.twimg.com/media/C0XctriUsAE_K0e.jpg")</f>
        <v/>
      </c>
      <c r="G1886" t="s"/>
      <c r="H1886" t="s"/>
      <c r="I1886" t="s"/>
      <c r="J1886" t="n">
        <v>0.631</v>
      </c>
      <c r="K1886" t="n">
        <v>0</v>
      </c>
      <c r="L1886" t="n">
        <v>0.722</v>
      </c>
      <c r="M1886" t="n">
        <v>0.278</v>
      </c>
    </row>
    <row r="1887" spans="1:13">
      <c r="A1887" s="1">
        <f>HYPERLINK("http://www.twitter.com/NathanBLawrence/status/811972648662167552", "811972648662167552")</f>
        <v/>
      </c>
      <c r="B1887" s="2" t="n">
        <v>42726.68910879629</v>
      </c>
      <c r="C1887" t="n">
        <v>0</v>
      </c>
      <c r="D1887" t="n">
        <v>1953</v>
      </c>
      <c r="E1887" t="s">
        <v>1892</v>
      </c>
      <c r="F1887">
        <f>HYPERLINK("http://pbs.twimg.com/media/C0SyhxrWIAEn0fL.jpg", "http://pbs.twimg.com/media/C0SyhxrWIAEn0fL.jpg")</f>
        <v/>
      </c>
      <c r="G1887" t="s"/>
      <c r="H1887" t="s"/>
      <c r="I1887" t="s"/>
      <c r="J1887" t="n">
        <v>-0.4767</v>
      </c>
      <c r="K1887" t="n">
        <v>0.147</v>
      </c>
      <c r="L1887" t="n">
        <v>0.853</v>
      </c>
      <c r="M1887" t="n">
        <v>0</v>
      </c>
    </row>
    <row r="1888" spans="1:13">
      <c r="A1888" s="1">
        <f>HYPERLINK("http://www.twitter.com/NathanBLawrence/status/811972109773787136", "811972109773787136")</f>
        <v/>
      </c>
      <c r="B1888" s="2" t="n">
        <v>42726.68762731482</v>
      </c>
      <c r="C1888" t="n">
        <v>0</v>
      </c>
      <c r="D1888" t="n">
        <v>134</v>
      </c>
      <c r="E1888" t="s">
        <v>1893</v>
      </c>
      <c r="F1888" t="s"/>
      <c r="G1888" t="s"/>
      <c r="H1888" t="s"/>
      <c r="I1888" t="s"/>
      <c r="J1888" t="n">
        <v>-0.1027</v>
      </c>
      <c r="K1888" t="n">
        <v>0.091</v>
      </c>
      <c r="L1888" t="n">
        <v>0.909</v>
      </c>
      <c r="M1888" t="n">
        <v>0</v>
      </c>
    </row>
    <row r="1889" spans="1:13">
      <c r="A1889" s="1">
        <f>HYPERLINK("http://www.twitter.com/NathanBLawrence/status/811610816353042433", "811610816353042433")</f>
        <v/>
      </c>
      <c r="B1889" s="2" t="n">
        <v>42725.69064814815</v>
      </c>
      <c r="C1889" t="n">
        <v>0</v>
      </c>
      <c r="D1889" t="n">
        <v>439</v>
      </c>
      <c r="E1889" t="s">
        <v>1894</v>
      </c>
      <c r="F1889">
        <f>HYPERLINK("http://pbs.twimg.com/media/C0NbKNJVIAEazib.jpg", "http://pbs.twimg.com/media/C0NbKNJVIAEazib.jpg")</f>
        <v/>
      </c>
      <c r="G1889" t="s"/>
      <c r="H1889" t="s"/>
      <c r="I1889" t="s"/>
      <c r="J1889" t="n">
        <v>-0.7845</v>
      </c>
      <c r="K1889" t="n">
        <v>0.289</v>
      </c>
      <c r="L1889" t="n">
        <v>0.711</v>
      </c>
      <c r="M1889" t="n">
        <v>0</v>
      </c>
    </row>
    <row r="1890" spans="1:13">
      <c r="A1890" s="1">
        <f>HYPERLINK("http://www.twitter.com/NathanBLawrence/status/811609257296691200", "811609257296691200")</f>
        <v/>
      </c>
      <c r="B1890" s="2" t="n">
        <v>42725.68634259259</v>
      </c>
      <c r="C1890" t="n">
        <v>0</v>
      </c>
      <c r="D1890" t="n">
        <v>0</v>
      </c>
      <c r="E1890" t="s">
        <v>1895</v>
      </c>
      <c r="F1890" t="s"/>
      <c r="G1890" t="s"/>
      <c r="H1890" t="s"/>
      <c r="I1890" t="s"/>
      <c r="J1890" t="n">
        <v>0.636</v>
      </c>
      <c r="K1890" t="n">
        <v>0</v>
      </c>
      <c r="L1890" t="n">
        <v>0.193</v>
      </c>
      <c r="M1890" t="n">
        <v>0.8070000000000001</v>
      </c>
    </row>
    <row r="1891" spans="1:13">
      <c r="A1891" s="1">
        <f>HYPERLINK("http://www.twitter.com/NathanBLawrence/status/811249284175765505", "811249284175765505")</f>
        <v/>
      </c>
      <c r="B1891" s="2" t="n">
        <v>42724.69300925926</v>
      </c>
      <c r="C1891" t="n">
        <v>0</v>
      </c>
      <c r="D1891" t="n">
        <v>10122</v>
      </c>
      <c r="E1891" t="s">
        <v>1896</v>
      </c>
      <c r="F1891" t="s"/>
      <c r="G1891" t="s"/>
      <c r="H1891" t="s"/>
      <c r="I1891" t="s"/>
      <c r="J1891" t="n">
        <v>0.7901</v>
      </c>
      <c r="K1891" t="n">
        <v>0</v>
      </c>
      <c r="L1891" t="n">
        <v>0.6820000000000001</v>
      </c>
      <c r="M1891" t="n">
        <v>0.318</v>
      </c>
    </row>
    <row r="1892" spans="1:13">
      <c r="A1892" s="1">
        <f>HYPERLINK("http://www.twitter.com/NathanBLawrence/status/811214359846391808", "811214359846391808")</f>
        <v/>
      </c>
      <c r="B1892" s="2" t="n">
        <v>42724.59663194444</v>
      </c>
      <c r="C1892" t="n">
        <v>0</v>
      </c>
      <c r="D1892" t="n">
        <v>4417</v>
      </c>
      <c r="E1892" t="s">
        <v>1897</v>
      </c>
      <c r="F1892" t="s"/>
      <c r="G1892" t="s"/>
      <c r="H1892" t="s"/>
      <c r="I1892" t="s"/>
      <c r="J1892" t="n">
        <v>-0.4588</v>
      </c>
      <c r="K1892" t="n">
        <v>0.261</v>
      </c>
      <c r="L1892" t="n">
        <v>0.588</v>
      </c>
      <c r="M1892" t="n">
        <v>0.151</v>
      </c>
    </row>
    <row r="1893" spans="1:13">
      <c r="A1893" s="1">
        <f>HYPERLINK("http://www.twitter.com/NathanBLawrence/status/811153735430840320", "811153735430840320")</f>
        <v/>
      </c>
      <c r="B1893" s="2" t="n">
        <v>42724.42934027778</v>
      </c>
      <c r="C1893" t="n">
        <v>1</v>
      </c>
      <c r="D1893" t="n">
        <v>0</v>
      </c>
      <c r="E1893" t="s">
        <v>1898</v>
      </c>
      <c r="F1893" t="s"/>
      <c r="G1893" t="s"/>
      <c r="H1893" t="s"/>
      <c r="I1893" t="s"/>
      <c r="J1893" t="n">
        <v>0.0772</v>
      </c>
      <c r="K1893" t="n">
        <v>0.166</v>
      </c>
      <c r="L1893" t="n">
        <v>0.603</v>
      </c>
      <c r="M1893" t="n">
        <v>0.231</v>
      </c>
    </row>
    <row r="1894" spans="1:13">
      <c r="A1894" s="1">
        <f>HYPERLINK("http://www.twitter.com/NathanBLawrence/status/811015291463462916", "811015291463462916")</f>
        <v/>
      </c>
      <c r="B1894" s="2" t="n">
        <v>42724.04731481482</v>
      </c>
      <c r="C1894" t="n">
        <v>0</v>
      </c>
      <c r="D1894" t="n">
        <v>2949</v>
      </c>
      <c r="E1894" t="s">
        <v>1899</v>
      </c>
      <c r="F1894">
        <f>HYPERLINK("http://pbs.twimg.com/media/Cz-I_10UcAECBa_.jpg", "http://pbs.twimg.com/media/Cz-I_10UcAECBa_.jpg")</f>
        <v/>
      </c>
      <c r="G1894" t="s"/>
      <c r="H1894" t="s"/>
      <c r="I1894" t="s"/>
      <c r="J1894" t="n">
        <v>0.296</v>
      </c>
      <c r="K1894" t="n">
        <v>0</v>
      </c>
      <c r="L1894" t="n">
        <v>0.905</v>
      </c>
      <c r="M1894" t="n">
        <v>0.095</v>
      </c>
    </row>
    <row r="1895" spans="1:13">
      <c r="A1895" s="1">
        <f>HYPERLINK("http://www.twitter.com/NathanBLawrence/status/810942214050287616", "810942214050287616")</f>
        <v/>
      </c>
      <c r="B1895" s="2" t="n">
        <v>42723.84565972222</v>
      </c>
      <c r="C1895" t="n">
        <v>0</v>
      </c>
      <c r="D1895" t="n">
        <v>9450</v>
      </c>
      <c r="E1895" t="s">
        <v>1900</v>
      </c>
      <c r="F1895" t="s"/>
      <c r="G1895" t="s"/>
      <c r="H1895" t="s"/>
      <c r="I1895" t="s"/>
      <c r="J1895" t="n">
        <v>0.4215</v>
      </c>
      <c r="K1895" t="n">
        <v>0</v>
      </c>
      <c r="L1895" t="n">
        <v>0.882</v>
      </c>
      <c r="M1895" t="n">
        <v>0.118</v>
      </c>
    </row>
    <row r="1896" spans="1:13">
      <c r="A1896" s="1">
        <f>HYPERLINK("http://www.twitter.com/NathanBLawrence/status/810927169438261248", "810927169438261248")</f>
        <v/>
      </c>
      <c r="B1896" s="2" t="n">
        <v>42723.80414351852</v>
      </c>
      <c r="C1896" t="n">
        <v>0</v>
      </c>
      <c r="D1896" t="n">
        <v>2505</v>
      </c>
      <c r="E1896" t="s">
        <v>1901</v>
      </c>
      <c r="F1896" t="s"/>
      <c r="G1896" t="s"/>
      <c r="H1896" t="s"/>
      <c r="I1896" t="s"/>
      <c r="J1896" t="n">
        <v>0</v>
      </c>
      <c r="K1896" t="n">
        <v>0</v>
      </c>
      <c r="L1896" t="n">
        <v>1</v>
      </c>
      <c r="M1896" t="n">
        <v>0</v>
      </c>
    </row>
    <row r="1897" spans="1:13">
      <c r="A1897" s="1">
        <f>HYPERLINK("http://www.twitter.com/NathanBLawrence/status/810909509824692224", "810909509824692224")</f>
        <v/>
      </c>
      <c r="B1897" s="2" t="n">
        <v>42723.75540509259</v>
      </c>
      <c r="C1897" t="n">
        <v>0</v>
      </c>
      <c r="D1897" t="n">
        <v>28</v>
      </c>
      <c r="E1897" t="s">
        <v>1902</v>
      </c>
      <c r="F1897">
        <f>HYPERLINK("http://pbs.twimg.com/media/C0DeehUUkAARfJi.jpg", "http://pbs.twimg.com/media/C0DeehUUkAARfJi.jpg")</f>
        <v/>
      </c>
      <c r="G1897" t="s"/>
      <c r="H1897" t="s"/>
      <c r="I1897" t="s"/>
      <c r="J1897" t="n">
        <v>0</v>
      </c>
      <c r="K1897" t="n">
        <v>0</v>
      </c>
      <c r="L1897" t="n">
        <v>1</v>
      </c>
      <c r="M1897" t="n">
        <v>0</v>
      </c>
    </row>
    <row r="1898" spans="1:13">
      <c r="A1898" s="1">
        <f>HYPERLINK("http://www.twitter.com/NathanBLawrence/status/810881360680407041", "810881360680407041")</f>
        <v/>
      </c>
      <c r="B1898" s="2" t="n">
        <v>42723.67773148148</v>
      </c>
      <c r="C1898" t="n">
        <v>0</v>
      </c>
      <c r="D1898" t="n">
        <v>6703</v>
      </c>
      <c r="E1898" t="s">
        <v>1903</v>
      </c>
      <c r="F1898">
        <f>HYPERLINK("http://pbs.twimg.com/media/C0DAbBoXAAEA4mD.jpg", "http://pbs.twimg.com/media/C0DAbBoXAAEA4mD.jpg")</f>
        <v/>
      </c>
      <c r="G1898" t="s"/>
      <c r="H1898" t="s"/>
      <c r="I1898" t="s"/>
      <c r="J1898" t="n">
        <v>0.5719</v>
      </c>
      <c r="K1898" t="n">
        <v>0</v>
      </c>
      <c r="L1898" t="n">
        <v>0.8120000000000001</v>
      </c>
      <c r="M1898" t="n">
        <v>0.188</v>
      </c>
    </row>
    <row r="1899" spans="1:13">
      <c r="A1899" s="1">
        <f>HYPERLINK("http://www.twitter.com/NathanBLawrence/status/810880831518572544", "810880831518572544")</f>
        <v/>
      </c>
      <c r="B1899" s="2" t="n">
        <v>42723.67627314815</v>
      </c>
      <c r="C1899" t="n">
        <v>0</v>
      </c>
      <c r="D1899" t="n">
        <v>156</v>
      </c>
      <c r="E1899" t="s">
        <v>1904</v>
      </c>
      <c r="F1899" t="s"/>
      <c r="G1899" t="s"/>
      <c r="H1899" t="s"/>
      <c r="I1899" t="s"/>
      <c r="J1899" t="n">
        <v>0.4019</v>
      </c>
      <c r="K1899" t="n">
        <v>0</v>
      </c>
      <c r="L1899" t="n">
        <v>0.881</v>
      </c>
      <c r="M1899" t="n">
        <v>0.119</v>
      </c>
    </row>
    <row r="1900" spans="1:13">
      <c r="A1900" s="1">
        <f>HYPERLINK("http://www.twitter.com/NathanBLawrence/status/810592680178749442", "810592680178749442")</f>
        <v/>
      </c>
      <c r="B1900" s="2" t="n">
        <v>42722.88112268518</v>
      </c>
      <c r="C1900" t="n">
        <v>0</v>
      </c>
      <c r="D1900" t="n">
        <v>1935</v>
      </c>
      <c r="E1900" t="s">
        <v>1905</v>
      </c>
      <c r="F1900">
        <f>HYPERLINK("http://pbs.twimg.com/media/Cz6gZAXWQAIA0tl.jpg", "http://pbs.twimg.com/media/Cz6gZAXWQAIA0tl.jpg")</f>
        <v/>
      </c>
      <c r="G1900" t="s"/>
      <c r="H1900" t="s"/>
      <c r="I1900" t="s"/>
      <c r="J1900" t="n">
        <v>0.6124000000000001</v>
      </c>
      <c r="K1900" t="n">
        <v>0</v>
      </c>
      <c r="L1900" t="n">
        <v>0.762</v>
      </c>
      <c r="M1900" t="n">
        <v>0.238</v>
      </c>
    </row>
    <row r="1901" spans="1:13">
      <c r="A1901" s="1">
        <f>HYPERLINK("http://www.twitter.com/NathanBLawrence/status/810587174479523840", "810587174479523840")</f>
        <v/>
      </c>
      <c r="B1901" s="2" t="n">
        <v>42722.8659375</v>
      </c>
      <c r="C1901" t="n">
        <v>0</v>
      </c>
      <c r="D1901" t="n">
        <v>1236</v>
      </c>
      <c r="E1901" t="s">
        <v>1906</v>
      </c>
      <c r="F1901">
        <f>HYPERLINK("http://pbs.twimg.com/media/Cz_AdeXXUAIVeyi.jpg", "http://pbs.twimg.com/media/Cz_AdeXXUAIVeyi.jpg")</f>
        <v/>
      </c>
      <c r="G1901" t="s"/>
      <c r="H1901" t="s"/>
      <c r="I1901" t="s"/>
      <c r="J1901" t="n">
        <v>0.9136</v>
      </c>
      <c r="K1901" t="n">
        <v>0</v>
      </c>
      <c r="L1901" t="n">
        <v>0.623</v>
      </c>
      <c r="M1901" t="n">
        <v>0.377</v>
      </c>
    </row>
    <row r="1902" spans="1:13">
      <c r="A1902" s="1">
        <f>HYPERLINK("http://www.twitter.com/NathanBLawrence/status/810586281289936896", "810586281289936896")</f>
        <v/>
      </c>
      <c r="B1902" s="2" t="n">
        <v>42722.86347222222</v>
      </c>
      <c r="C1902" t="n">
        <v>0</v>
      </c>
      <c r="D1902" t="n">
        <v>5530</v>
      </c>
      <c r="E1902" t="s">
        <v>1907</v>
      </c>
      <c r="F1902" t="s"/>
      <c r="G1902" t="s"/>
      <c r="H1902" t="s"/>
      <c r="I1902" t="s"/>
      <c r="J1902" t="n">
        <v>-0.8442</v>
      </c>
      <c r="K1902" t="n">
        <v>0.336</v>
      </c>
      <c r="L1902" t="n">
        <v>0.664</v>
      </c>
      <c r="M1902" t="n">
        <v>0</v>
      </c>
    </row>
    <row r="1903" spans="1:13">
      <c r="A1903" s="1">
        <f>HYPERLINK("http://www.twitter.com/NathanBLawrence/status/810585578332979200", "810585578332979200")</f>
        <v/>
      </c>
      <c r="B1903" s="2" t="n">
        <v>42722.86152777778</v>
      </c>
      <c r="C1903" t="n">
        <v>0</v>
      </c>
      <c r="D1903" t="n">
        <v>165</v>
      </c>
      <c r="E1903" t="s">
        <v>1908</v>
      </c>
      <c r="F1903">
        <f>HYPERLINK("http://pbs.twimg.com/media/Cz_G6fGWEAIjPMD.jpg", "http://pbs.twimg.com/media/Cz_G6fGWEAIjPMD.jpg")</f>
        <v/>
      </c>
      <c r="G1903" t="s"/>
      <c r="H1903" t="s"/>
      <c r="I1903" t="s"/>
      <c r="J1903" t="n">
        <v>0</v>
      </c>
      <c r="K1903" t="n">
        <v>0</v>
      </c>
      <c r="L1903" t="n">
        <v>1</v>
      </c>
      <c r="M1903" t="n">
        <v>0</v>
      </c>
    </row>
    <row r="1904" spans="1:13">
      <c r="A1904" s="1">
        <f>HYPERLINK("http://www.twitter.com/NathanBLawrence/status/810585495084429313", "810585495084429313")</f>
        <v/>
      </c>
      <c r="B1904" s="2" t="n">
        <v>42722.86129629629</v>
      </c>
      <c r="C1904" t="n">
        <v>0</v>
      </c>
      <c r="D1904" t="n">
        <v>2122</v>
      </c>
      <c r="E1904" t="s">
        <v>1909</v>
      </c>
      <c r="F1904" t="s"/>
      <c r="G1904" t="s"/>
      <c r="H1904" t="s"/>
      <c r="I1904" t="s"/>
      <c r="J1904" t="n">
        <v>0.6597</v>
      </c>
      <c r="K1904" t="n">
        <v>0.093</v>
      </c>
      <c r="L1904" t="n">
        <v>0.679</v>
      </c>
      <c r="M1904" t="n">
        <v>0.228</v>
      </c>
    </row>
    <row r="1905" spans="1:13">
      <c r="A1905" s="1">
        <f>HYPERLINK("http://www.twitter.com/NathanBLawrence/status/810547746281230336", "810547746281230336")</f>
        <v/>
      </c>
      <c r="B1905" s="2" t="n">
        <v>42722.75712962963</v>
      </c>
      <c r="C1905" t="n">
        <v>0</v>
      </c>
      <c r="D1905" t="n">
        <v>1</v>
      </c>
      <c r="E1905" t="s">
        <v>1910</v>
      </c>
      <c r="F1905" t="s"/>
      <c r="G1905" t="s"/>
      <c r="H1905" t="s"/>
      <c r="I1905" t="s"/>
      <c r="J1905" t="n">
        <v>-0.5719</v>
      </c>
      <c r="K1905" t="n">
        <v>0.222</v>
      </c>
      <c r="L1905" t="n">
        <v>0.778</v>
      </c>
      <c r="M1905" t="n">
        <v>0</v>
      </c>
    </row>
    <row r="1906" spans="1:13">
      <c r="A1906" s="1">
        <f>HYPERLINK("http://www.twitter.com/NathanBLawrence/status/810261694824009728", "810261694824009728")</f>
        <v/>
      </c>
      <c r="B1906" s="2" t="n">
        <v>42721.96777777778</v>
      </c>
      <c r="C1906" t="n">
        <v>0</v>
      </c>
      <c r="D1906" t="n">
        <v>259</v>
      </c>
      <c r="E1906" t="s">
        <v>1911</v>
      </c>
      <c r="F1906" t="s"/>
      <c r="G1906" t="s"/>
      <c r="H1906" t="s"/>
      <c r="I1906" t="s"/>
      <c r="J1906" t="n">
        <v>-0.6249</v>
      </c>
      <c r="K1906" t="n">
        <v>0.338</v>
      </c>
      <c r="L1906" t="n">
        <v>0.662</v>
      </c>
      <c r="M1906" t="n">
        <v>0</v>
      </c>
    </row>
    <row r="1907" spans="1:13">
      <c r="A1907" s="1">
        <f>HYPERLINK("http://www.twitter.com/NathanBLawrence/status/810248849155616772", "810248849155616772")</f>
        <v/>
      </c>
      <c r="B1907" s="2" t="n">
        <v>42721.93232638889</v>
      </c>
      <c r="C1907" t="n">
        <v>0</v>
      </c>
      <c r="D1907" t="n">
        <v>1717</v>
      </c>
      <c r="E1907" t="s">
        <v>1912</v>
      </c>
      <c r="F1907" t="s"/>
      <c r="G1907" t="s"/>
      <c r="H1907" t="s"/>
      <c r="I1907" t="s"/>
      <c r="J1907" t="n">
        <v>0</v>
      </c>
      <c r="K1907" t="n">
        <v>0</v>
      </c>
      <c r="L1907" t="n">
        <v>1</v>
      </c>
      <c r="M1907" t="n">
        <v>0</v>
      </c>
    </row>
    <row r="1908" spans="1:13">
      <c r="A1908" s="1">
        <f>HYPERLINK("http://www.twitter.com/NathanBLawrence/status/810177532926500865", "810177532926500865")</f>
        <v/>
      </c>
      <c r="B1908" s="2" t="n">
        <v>42721.73553240741</v>
      </c>
      <c r="C1908" t="n">
        <v>0</v>
      </c>
      <c r="D1908" t="n">
        <v>216</v>
      </c>
      <c r="E1908" t="s">
        <v>1913</v>
      </c>
      <c r="F1908" t="s"/>
      <c r="G1908" t="s"/>
      <c r="H1908" t="s"/>
      <c r="I1908" t="s"/>
      <c r="J1908" t="n">
        <v>0</v>
      </c>
      <c r="K1908" t="n">
        <v>0</v>
      </c>
      <c r="L1908" t="n">
        <v>1</v>
      </c>
      <c r="M1908" t="n">
        <v>0</v>
      </c>
    </row>
    <row r="1909" spans="1:13">
      <c r="A1909" s="1">
        <f>HYPERLINK("http://www.twitter.com/NathanBLawrence/status/810160375685672960", "810160375685672960")</f>
        <v/>
      </c>
      <c r="B1909" s="2" t="n">
        <v>42721.68819444445</v>
      </c>
      <c r="C1909" t="n">
        <v>0</v>
      </c>
      <c r="D1909" t="n">
        <v>1</v>
      </c>
      <c r="E1909" t="s">
        <v>1914</v>
      </c>
      <c r="F1909">
        <f>HYPERLINK("http://pbs.twimg.com/media/Cz4rfeKUUAAEnet.jpg", "http://pbs.twimg.com/media/Cz4rfeKUUAAEnet.jpg")</f>
        <v/>
      </c>
      <c r="G1909" t="s"/>
      <c r="H1909" t="s"/>
      <c r="I1909" t="s"/>
      <c r="J1909" t="n">
        <v>0</v>
      </c>
      <c r="K1909" t="n">
        <v>0</v>
      </c>
      <c r="L1909" t="n">
        <v>1</v>
      </c>
      <c r="M1909" t="n">
        <v>0</v>
      </c>
    </row>
    <row r="1910" spans="1:13">
      <c r="A1910" s="1">
        <f>HYPERLINK("http://www.twitter.com/NathanBLawrence/status/810160119220731904", "810160119220731904")</f>
        <v/>
      </c>
      <c r="B1910" s="2" t="n">
        <v>42721.68748842592</v>
      </c>
      <c r="C1910" t="n">
        <v>0</v>
      </c>
      <c r="D1910" t="n">
        <v>2814</v>
      </c>
      <c r="E1910" t="s">
        <v>1915</v>
      </c>
      <c r="F1910" t="s"/>
      <c r="G1910" t="s"/>
      <c r="H1910" t="s"/>
      <c r="I1910" t="s"/>
      <c r="J1910" t="n">
        <v>-0.4767</v>
      </c>
      <c r="K1910" t="n">
        <v>0.147</v>
      </c>
      <c r="L1910" t="n">
        <v>0.853</v>
      </c>
      <c r="M1910" t="n">
        <v>0</v>
      </c>
    </row>
    <row r="1911" spans="1:13">
      <c r="A1911" s="1">
        <f>HYPERLINK("http://www.twitter.com/NathanBLawrence/status/809825169976033280", "809825169976033280")</f>
        <v/>
      </c>
      <c r="B1911" s="2" t="n">
        <v>42720.76320601852</v>
      </c>
      <c r="C1911" t="n">
        <v>0</v>
      </c>
      <c r="D1911" t="n">
        <v>3755</v>
      </c>
      <c r="E1911" t="s">
        <v>1916</v>
      </c>
      <c r="F1911" t="s"/>
      <c r="G1911" t="s"/>
      <c r="H1911" t="s"/>
      <c r="I1911" t="s"/>
      <c r="J1911" t="n">
        <v>0.5719</v>
      </c>
      <c r="K1911" t="n">
        <v>0</v>
      </c>
      <c r="L1911" t="n">
        <v>0.802</v>
      </c>
      <c r="M1911" t="n">
        <v>0.198</v>
      </c>
    </row>
    <row r="1912" spans="1:13">
      <c r="A1912" s="1">
        <f>HYPERLINK("http://www.twitter.com/NathanBLawrence/status/809817538225958912", "809817538225958912")</f>
        <v/>
      </c>
      <c r="B1912" s="2" t="n">
        <v>42720.7421412037</v>
      </c>
      <c r="C1912" t="n">
        <v>0</v>
      </c>
      <c r="D1912" t="n">
        <v>2757</v>
      </c>
      <c r="E1912" t="s">
        <v>1917</v>
      </c>
      <c r="F1912">
        <f>HYPERLINK("http://pbs.twimg.com/media/Cz0GxkZWgAEN6Db.jpg", "http://pbs.twimg.com/media/Cz0GxkZWgAEN6Db.jpg")</f>
        <v/>
      </c>
      <c r="G1912" t="s"/>
      <c r="H1912" t="s"/>
      <c r="I1912" t="s"/>
      <c r="J1912" t="n">
        <v>0.3818</v>
      </c>
      <c r="K1912" t="n">
        <v>0</v>
      </c>
      <c r="L1912" t="n">
        <v>0.852</v>
      </c>
      <c r="M1912" t="n">
        <v>0.148</v>
      </c>
    </row>
    <row r="1913" spans="1:13">
      <c r="A1913" s="1">
        <f>HYPERLINK("http://www.twitter.com/NathanBLawrence/status/809816738271547392", "809816738271547392")</f>
        <v/>
      </c>
      <c r="B1913" s="2" t="n">
        <v>42720.73993055556</v>
      </c>
      <c r="C1913" t="n">
        <v>0</v>
      </c>
      <c r="D1913" t="n">
        <v>3516</v>
      </c>
      <c r="E1913" t="s">
        <v>1918</v>
      </c>
      <c r="F1913">
        <f>HYPERLINK("http://pbs.twimg.com/media/CzvVDenXcAMwPZ5.jpg", "http://pbs.twimg.com/media/CzvVDenXcAMwPZ5.jpg")</f>
        <v/>
      </c>
      <c r="G1913" t="s"/>
      <c r="H1913" t="s"/>
      <c r="I1913" t="s"/>
      <c r="J1913" t="n">
        <v>-0.4767</v>
      </c>
      <c r="K1913" t="n">
        <v>0.124</v>
      </c>
      <c r="L1913" t="n">
        <v>0.876</v>
      </c>
      <c r="M1913" t="n">
        <v>0</v>
      </c>
    </row>
    <row r="1914" spans="1:13">
      <c r="A1914" s="1">
        <f>HYPERLINK("http://www.twitter.com/NathanBLawrence/status/809816680687955968", "809816680687955968")</f>
        <v/>
      </c>
      <c r="B1914" s="2" t="n">
        <v>42720.73976851852</v>
      </c>
      <c r="C1914" t="n">
        <v>0</v>
      </c>
      <c r="D1914" t="n">
        <v>319</v>
      </c>
      <c r="E1914" t="s">
        <v>1919</v>
      </c>
      <c r="F1914">
        <f>HYPERLINK("http://pbs.twimg.com/media/CzwENeCUkAQtIhl.jpg", "http://pbs.twimg.com/media/CzwENeCUkAQtIhl.jpg")</f>
        <v/>
      </c>
      <c r="G1914" t="s"/>
      <c r="H1914" t="s"/>
      <c r="I1914" t="s"/>
      <c r="J1914" t="n">
        <v>-0.6486</v>
      </c>
      <c r="K1914" t="n">
        <v>0.194</v>
      </c>
      <c r="L1914" t="n">
        <v>0.806</v>
      </c>
      <c r="M1914" t="n">
        <v>0</v>
      </c>
    </row>
    <row r="1915" spans="1:13">
      <c r="A1915" s="1">
        <f>HYPERLINK("http://www.twitter.com/NathanBLawrence/status/809816447820197888", "809816447820197888")</f>
        <v/>
      </c>
      <c r="B1915" s="2" t="n">
        <v>42720.73913194444</v>
      </c>
      <c r="C1915" t="n">
        <v>0</v>
      </c>
      <c r="D1915" t="n">
        <v>3576</v>
      </c>
      <c r="E1915" t="s">
        <v>1920</v>
      </c>
      <c r="F1915" t="s"/>
      <c r="G1915" t="s"/>
      <c r="H1915" t="s"/>
      <c r="I1915" t="s"/>
      <c r="J1915" t="n">
        <v>0.5574</v>
      </c>
      <c r="K1915" t="n">
        <v>0.094</v>
      </c>
      <c r="L1915" t="n">
        <v>0.6830000000000001</v>
      </c>
      <c r="M1915" t="n">
        <v>0.223</v>
      </c>
    </row>
    <row r="1916" spans="1:13">
      <c r="A1916" s="1">
        <f>HYPERLINK("http://www.twitter.com/NathanBLawrence/status/809816194349940736", "809816194349940736")</f>
        <v/>
      </c>
      <c r="B1916" s="2" t="n">
        <v>42720.7384375</v>
      </c>
      <c r="C1916" t="n">
        <v>0</v>
      </c>
      <c r="D1916" t="n">
        <v>766</v>
      </c>
      <c r="E1916" t="s">
        <v>1921</v>
      </c>
      <c r="F1916">
        <f>HYPERLINK("http://pbs.twimg.com/media/CzwzxfiUoAIPtON.jpg", "http://pbs.twimg.com/media/CzwzxfiUoAIPtON.jpg")</f>
        <v/>
      </c>
      <c r="G1916" t="s"/>
      <c r="H1916" t="s"/>
      <c r="I1916" t="s"/>
      <c r="J1916" t="n">
        <v>0.25</v>
      </c>
      <c r="K1916" t="n">
        <v>0</v>
      </c>
      <c r="L1916" t="n">
        <v>0.92</v>
      </c>
      <c r="M1916" t="n">
        <v>0.08</v>
      </c>
    </row>
    <row r="1917" spans="1:13">
      <c r="A1917" s="1">
        <f>HYPERLINK("http://www.twitter.com/NathanBLawrence/status/809804479176605696", "809804479176605696")</f>
        <v/>
      </c>
      <c r="B1917" s="2" t="n">
        <v>42720.70609953703</v>
      </c>
      <c r="C1917" t="n">
        <v>2</v>
      </c>
      <c r="D1917" t="n">
        <v>1</v>
      </c>
      <c r="E1917" t="s">
        <v>1922</v>
      </c>
      <c r="F1917" t="s"/>
      <c r="G1917" t="s"/>
      <c r="H1917" t="s"/>
      <c r="I1917" t="s"/>
      <c r="J1917" t="n">
        <v>-0.0258</v>
      </c>
      <c r="K1917" t="n">
        <v>0.237</v>
      </c>
      <c r="L1917" t="n">
        <v>0.538</v>
      </c>
      <c r="M1917" t="n">
        <v>0.226</v>
      </c>
    </row>
    <row r="1918" spans="1:13">
      <c r="A1918" s="1">
        <f>HYPERLINK("http://www.twitter.com/NathanBLawrence/status/809794666602303488", "809794666602303488")</f>
        <v/>
      </c>
      <c r="B1918" s="2" t="n">
        <v>42720.67902777778</v>
      </c>
      <c r="C1918" t="n">
        <v>0</v>
      </c>
      <c r="D1918" t="n">
        <v>2032</v>
      </c>
      <c r="E1918" t="s">
        <v>1923</v>
      </c>
      <c r="F1918" t="s"/>
      <c r="G1918" t="s"/>
      <c r="H1918" t="s"/>
      <c r="I1918" t="s"/>
      <c r="J1918" t="n">
        <v>-0.7003</v>
      </c>
      <c r="K1918" t="n">
        <v>0.216</v>
      </c>
      <c r="L1918" t="n">
        <v>0.784</v>
      </c>
      <c r="M1918" t="n">
        <v>0</v>
      </c>
    </row>
    <row r="1919" spans="1:13">
      <c r="A1919" s="1">
        <f>HYPERLINK("http://www.twitter.com/NathanBLawrence/status/809792253011099648", "809792253011099648")</f>
        <v/>
      </c>
      <c r="B1919" s="2" t="n">
        <v>42720.67236111111</v>
      </c>
      <c r="C1919" t="n">
        <v>0</v>
      </c>
      <c r="D1919" t="n">
        <v>4829</v>
      </c>
      <c r="E1919" t="s">
        <v>1924</v>
      </c>
      <c r="F1919">
        <f>HYPERLINK("http://pbs.twimg.com/amplify_video_thumb/809719456540672000/img/vp__4zT0RgHgu-UY.jpg", "http://pbs.twimg.com/amplify_video_thumb/809719456540672000/img/vp__4zT0RgHgu-UY.jpg")</f>
        <v/>
      </c>
      <c r="G1919" t="s"/>
      <c r="H1919" t="s"/>
      <c r="I1919" t="s"/>
      <c r="J1919" t="n">
        <v>0</v>
      </c>
      <c r="K1919" t="n">
        <v>0</v>
      </c>
      <c r="L1919" t="n">
        <v>1</v>
      </c>
      <c r="M1919" t="n">
        <v>0</v>
      </c>
    </row>
    <row r="1920" spans="1:13">
      <c r="A1920" s="1">
        <f>HYPERLINK("http://www.twitter.com/NathanBLawrence/status/809780078930497536", "809780078930497536")</f>
        <v/>
      </c>
      <c r="B1920" s="2" t="n">
        <v>42720.63877314814</v>
      </c>
      <c r="C1920" t="n">
        <v>0</v>
      </c>
      <c r="D1920" t="n">
        <v>11307</v>
      </c>
      <c r="E1920" t="s">
        <v>1925</v>
      </c>
      <c r="F1920" t="s"/>
      <c r="G1920" t="s"/>
      <c r="H1920" t="s"/>
      <c r="I1920" t="s"/>
      <c r="J1920" t="n">
        <v>0</v>
      </c>
      <c r="K1920" t="n">
        <v>0</v>
      </c>
      <c r="L1920" t="n">
        <v>1</v>
      </c>
      <c r="M1920" t="n">
        <v>0</v>
      </c>
    </row>
    <row r="1921" spans="1:13">
      <c r="A1921" s="1">
        <f>HYPERLINK("http://www.twitter.com/NathanBLawrence/status/809547625695473664", "809547625695473664")</f>
        <v/>
      </c>
      <c r="B1921" s="2" t="n">
        <v>42719.99732638889</v>
      </c>
      <c r="C1921" t="n">
        <v>0</v>
      </c>
      <c r="D1921" t="n">
        <v>4021</v>
      </c>
      <c r="E1921" t="s">
        <v>1926</v>
      </c>
      <c r="F1921" t="s"/>
      <c r="G1921" t="s"/>
      <c r="H1921" t="s"/>
      <c r="I1921" t="s"/>
      <c r="J1921" t="n">
        <v>0</v>
      </c>
      <c r="K1921" t="n">
        <v>0</v>
      </c>
      <c r="L1921" t="n">
        <v>1</v>
      </c>
      <c r="M1921" t="n">
        <v>0</v>
      </c>
    </row>
    <row r="1922" spans="1:13">
      <c r="A1922" s="1">
        <f>HYPERLINK("http://www.twitter.com/NathanBLawrence/status/809531866311262208", "809531866311262208")</f>
        <v/>
      </c>
      <c r="B1922" s="2" t="n">
        <v>42719.95383101852</v>
      </c>
      <c r="C1922" t="n">
        <v>0</v>
      </c>
      <c r="D1922" t="n">
        <v>141</v>
      </c>
      <c r="E1922" t="s">
        <v>1927</v>
      </c>
      <c r="F1922">
        <f>HYPERLINK("http://pbs.twimg.com/media/CzwBWg5W8AAlpdi.jpg", "http://pbs.twimg.com/media/CzwBWg5W8AAlpdi.jpg")</f>
        <v/>
      </c>
      <c r="G1922" t="s"/>
      <c r="H1922" t="s"/>
      <c r="I1922" t="s"/>
      <c r="J1922" t="n">
        <v>0.3034</v>
      </c>
      <c r="K1922" t="n">
        <v>0</v>
      </c>
      <c r="L1922" t="n">
        <v>0.87</v>
      </c>
      <c r="M1922" t="n">
        <v>0.13</v>
      </c>
    </row>
    <row r="1923" spans="1:13">
      <c r="A1923" s="1">
        <f>HYPERLINK("http://www.twitter.com/NathanBLawrence/status/809527229499801600", "809527229499801600")</f>
        <v/>
      </c>
      <c r="B1923" s="2" t="n">
        <v>42719.94104166667</v>
      </c>
      <c r="C1923" t="n">
        <v>0</v>
      </c>
      <c r="D1923" t="n">
        <v>134</v>
      </c>
      <c r="E1923" t="s">
        <v>1928</v>
      </c>
      <c r="F1923" t="s"/>
      <c r="G1923" t="s"/>
      <c r="H1923" t="s"/>
      <c r="I1923" t="s"/>
      <c r="J1923" t="n">
        <v>-0.2942</v>
      </c>
      <c r="K1923" t="n">
        <v>0.114</v>
      </c>
      <c r="L1923" t="n">
        <v>0.886</v>
      </c>
      <c r="M1923" t="n">
        <v>0</v>
      </c>
    </row>
    <row r="1924" spans="1:13">
      <c r="A1924" s="1">
        <f>HYPERLINK("http://www.twitter.com/NathanBLawrence/status/809466202028380160", "809466202028380160")</f>
        <v/>
      </c>
      <c r="B1924" s="2" t="n">
        <v>42719.77263888889</v>
      </c>
      <c r="C1924" t="n">
        <v>0</v>
      </c>
      <c r="D1924" t="n">
        <v>10</v>
      </c>
      <c r="E1924" t="s">
        <v>1929</v>
      </c>
      <c r="F1924">
        <f>HYPERLINK("http://pbs.twimg.com/media/CzvHY6OUQAAY6Ht.jpg", "http://pbs.twimg.com/media/CzvHY6OUQAAY6Ht.jpg")</f>
        <v/>
      </c>
      <c r="G1924" t="s"/>
      <c r="H1924" t="s"/>
      <c r="I1924" t="s"/>
      <c r="J1924" t="n">
        <v>0</v>
      </c>
      <c r="K1924" t="n">
        <v>0</v>
      </c>
      <c r="L1924" t="n">
        <v>1</v>
      </c>
      <c r="M1924" t="n">
        <v>0</v>
      </c>
    </row>
    <row r="1925" spans="1:13">
      <c r="A1925" s="1">
        <f>HYPERLINK("http://www.twitter.com/NathanBLawrence/status/809457249555021825", "809457249555021825")</f>
        <v/>
      </c>
      <c r="B1925" s="2" t="n">
        <v>42719.74792824074</v>
      </c>
      <c r="C1925" t="n">
        <v>0</v>
      </c>
      <c r="D1925" t="n">
        <v>5021</v>
      </c>
      <c r="E1925" t="s">
        <v>1930</v>
      </c>
      <c r="F1925" t="s"/>
      <c r="G1925" t="s"/>
      <c r="H1925" t="s"/>
      <c r="I1925" t="s"/>
      <c r="J1925" t="n">
        <v>-0.6289</v>
      </c>
      <c r="K1925" t="n">
        <v>0.204</v>
      </c>
      <c r="L1925" t="n">
        <v>0.796</v>
      </c>
      <c r="M1925" t="n">
        <v>0</v>
      </c>
    </row>
    <row r="1926" spans="1:13">
      <c r="A1926" s="1">
        <f>HYPERLINK("http://www.twitter.com/NathanBLawrence/status/809426185465856000", "809426185465856000")</f>
        <v/>
      </c>
      <c r="B1926" s="2" t="n">
        <v>42719.66221064814</v>
      </c>
      <c r="C1926" t="n">
        <v>0</v>
      </c>
      <c r="D1926" t="n">
        <v>5783</v>
      </c>
      <c r="E1926" t="s">
        <v>1931</v>
      </c>
      <c r="F1926" t="s"/>
      <c r="G1926" t="s"/>
      <c r="H1926" t="s"/>
      <c r="I1926" t="s"/>
      <c r="J1926" t="n">
        <v>-0.3818</v>
      </c>
      <c r="K1926" t="n">
        <v>0.102</v>
      </c>
      <c r="L1926" t="n">
        <v>0.898</v>
      </c>
      <c r="M1926" t="n">
        <v>0</v>
      </c>
    </row>
    <row r="1927" spans="1:13">
      <c r="A1927" s="1">
        <f>HYPERLINK("http://www.twitter.com/NathanBLawrence/status/809424584386678784", "809424584386678784")</f>
        <v/>
      </c>
      <c r="B1927" s="2" t="n">
        <v>42719.65778935186</v>
      </c>
      <c r="C1927" t="n">
        <v>0</v>
      </c>
      <c r="D1927" t="n">
        <v>162</v>
      </c>
      <c r="E1927" t="s">
        <v>1932</v>
      </c>
      <c r="F1927">
        <f>HYPERLINK("http://pbs.twimg.com/media/CzuP-pjUcAAiWkA.jpg", "http://pbs.twimg.com/media/CzuP-pjUcAAiWkA.jpg")</f>
        <v/>
      </c>
      <c r="G1927" t="s"/>
      <c r="H1927" t="s"/>
      <c r="I1927" t="s"/>
      <c r="J1927" t="n">
        <v>0.2411</v>
      </c>
      <c r="K1927" t="n">
        <v>0</v>
      </c>
      <c r="L1927" t="n">
        <v>0.891</v>
      </c>
      <c r="M1927" t="n">
        <v>0.109</v>
      </c>
    </row>
    <row r="1928" spans="1:13">
      <c r="A1928" s="1">
        <f>HYPERLINK("http://www.twitter.com/NathanBLawrence/status/809317045623984128", "809317045623984128")</f>
        <v/>
      </c>
      <c r="B1928" s="2" t="n">
        <v>42719.36104166666</v>
      </c>
      <c r="C1928" t="n">
        <v>0</v>
      </c>
      <c r="D1928" t="n">
        <v>3500</v>
      </c>
      <c r="E1928" t="s">
        <v>1933</v>
      </c>
      <c r="F1928" t="s"/>
      <c r="G1928" t="s"/>
      <c r="H1928" t="s"/>
      <c r="I1928" t="s"/>
      <c r="J1928" t="n">
        <v>0.296</v>
      </c>
      <c r="K1928" t="n">
        <v>0.114</v>
      </c>
      <c r="L1928" t="n">
        <v>0.678</v>
      </c>
      <c r="M1928" t="n">
        <v>0.208</v>
      </c>
    </row>
    <row r="1929" spans="1:13">
      <c r="A1929" s="1">
        <f>HYPERLINK("http://www.twitter.com/NathanBLawrence/status/809230751459921928", "809230751459921928")</f>
        <v/>
      </c>
      <c r="B1929" s="2" t="n">
        <v>42719.12291666667</v>
      </c>
      <c r="C1929" t="n">
        <v>0</v>
      </c>
      <c r="D1929" t="n">
        <v>215</v>
      </c>
      <c r="E1929" t="s">
        <v>1934</v>
      </c>
      <c r="F1929" t="s"/>
      <c r="G1929" t="s"/>
      <c r="H1929" t="s"/>
      <c r="I1929" t="s"/>
      <c r="J1929" t="n">
        <v>-0.3182</v>
      </c>
      <c r="K1929" t="n">
        <v>0.113</v>
      </c>
      <c r="L1929" t="n">
        <v>0.887</v>
      </c>
      <c r="M1929" t="n">
        <v>0</v>
      </c>
    </row>
    <row r="1930" spans="1:13">
      <c r="A1930" s="1">
        <f>HYPERLINK("http://www.twitter.com/NathanBLawrence/status/809183579901165568", "809183579901165568")</f>
        <v/>
      </c>
      <c r="B1930" s="2" t="n">
        <v>42718.99275462963</v>
      </c>
      <c r="C1930" t="n">
        <v>0</v>
      </c>
      <c r="D1930" t="n">
        <v>18</v>
      </c>
      <c r="E1930" t="s">
        <v>1935</v>
      </c>
      <c r="F1930">
        <f>HYPERLINK("http://pbs.twimg.com/media/CzqKSSgWEAEQmTN.jpg", "http://pbs.twimg.com/media/CzqKSSgWEAEQmTN.jpg")</f>
        <v/>
      </c>
      <c r="G1930" t="s"/>
      <c r="H1930" t="s"/>
      <c r="I1930" t="s"/>
      <c r="J1930" t="n">
        <v>0</v>
      </c>
      <c r="K1930" t="n">
        <v>0</v>
      </c>
      <c r="L1930" t="n">
        <v>1</v>
      </c>
      <c r="M1930" t="n">
        <v>0</v>
      </c>
    </row>
    <row r="1931" spans="1:13">
      <c r="A1931" s="1">
        <f>HYPERLINK("http://www.twitter.com/NathanBLawrence/status/809076267958026243", "809076267958026243")</f>
        <v/>
      </c>
      <c r="B1931" s="2" t="n">
        <v>42718.69662037037</v>
      </c>
      <c r="C1931" t="n">
        <v>0</v>
      </c>
      <c r="D1931" t="n">
        <v>25</v>
      </c>
      <c r="E1931" t="s">
        <v>1936</v>
      </c>
      <c r="F1931" t="s"/>
      <c r="G1931" t="s"/>
      <c r="H1931" t="s"/>
      <c r="I1931" t="s"/>
      <c r="J1931" t="n">
        <v>-0.2732</v>
      </c>
      <c r="K1931" t="n">
        <v>0.259</v>
      </c>
      <c r="L1931" t="n">
        <v>0.741</v>
      </c>
      <c r="M1931" t="n">
        <v>0</v>
      </c>
    </row>
    <row r="1932" spans="1:13">
      <c r="A1932" s="1">
        <f>HYPERLINK("http://www.twitter.com/NathanBLawrence/status/809073890098028544", "809073890098028544")</f>
        <v/>
      </c>
      <c r="B1932" s="2" t="n">
        <v>42718.69005787037</v>
      </c>
      <c r="C1932" t="n">
        <v>0</v>
      </c>
      <c r="D1932" t="n">
        <v>4445</v>
      </c>
      <c r="E1932" t="s">
        <v>1937</v>
      </c>
      <c r="F1932">
        <f>HYPERLINK("http://pbs.twimg.com/media/CzoIzv6UQAAimcA.jpg", "http://pbs.twimg.com/media/CzoIzv6UQAAimcA.jpg")</f>
        <v/>
      </c>
      <c r="G1932" t="s"/>
      <c r="H1932" t="s"/>
      <c r="I1932" t="s"/>
      <c r="J1932" t="n">
        <v>0.6566</v>
      </c>
      <c r="K1932" t="n">
        <v>0</v>
      </c>
      <c r="L1932" t="n">
        <v>0.739</v>
      </c>
      <c r="M1932" t="n">
        <v>0.261</v>
      </c>
    </row>
    <row r="1933" spans="1:13">
      <c r="A1933" s="1">
        <f>HYPERLINK("http://www.twitter.com/NathanBLawrence/status/808455242199265286", "808455242199265286")</f>
        <v/>
      </c>
      <c r="B1933" s="2" t="n">
        <v>42716.98291666667</v>
      </c>
      <c r="C1933" t="n">
        <v>0</v>
      </c>
      <c r="D1933" t="n">
        <v>3580</v>
      </c>
      <c r="E1933" t="s">
        <v>1938</v>
      </c>
      <c r="F1933" t="s"/>
      <c r="G1933" t="s"/>
      <c r="H1933" t="s"/>
      <c r="I1933" t="s"/>
      <c r="J1933" t="n">
        <v>-0.5574</v>
      </c>
      <c r="K1933" t="n">
        <v>0.187</v>
      </c>
      <c r="L1933" t="n">
        <v>0.8129999999999999</v>
      </c>
      <c r="M1933" t="n">
        <v>0</v>
      </c>
    </row>
    <row r="1934" spans="1:13">
      <c r="A1934" s="1">
        <f>HYPERLINK("http://www.twitter.com/NathanBLawrence/status/808426897570926592", "808426897570926592")</f>
        <v/>
      </c>
      <c r="B1934" s="2" t="n">
        <v>42716.90469907408</v>
      </c>
      <c r="C1934" t="n">
        <v>0</v>
      </c>
      <c r="D1934" t="n">
        <v>8161</v>
      </c>
      <c r="E1934" t="s">
        <v>1939</v>
      </c>
      <c r="F1934">
        <f>HYPERLINK("http://pbs.twimg.com/media/CzgXw4jVQAAHSDV.jpg", "http://pbs.twimg.com/media/CzgXw4jVQAAHSDV.jpg")</f>
        <v/>
      </c>
      <c r="G1934" t="s"/>
      <c r="H1934" t="s"/>
      <c r="I1934" t="s"/>
      <c r="J1934" t="n">
        <v>-0.8745000000000001</v>
      </c>
      <c r="K1934" t="n">
        <v>0.357</v>
      </c>
      <c r="L1934" t="n">
        <v>0.643</v>
      </c>
      <c r="M1934" t="n">
        <v>0</v>
      </c>
    </row>
    <row r="1935" spans="1:13">
      <c r="A1935" s="1">
        <f>HYPERLINK("http://www.twitter.com/NathanBLawrence/status/808426324226408448", "808426324226408448")</f>
        <v/>
      </c>
      <c r="B1935" s="2" t="n">
        <v>42716.903125</v>
      </c>
      <c r="C1935" t="n">
        <v>0</v>
      </c>
      <c r="D1935" t="n">
        <v>970</v>
      </c>
      <c r="E1935" t="s">
        <v>1940</v>
      </c>
      <c r="F1935">
        <f>HYPERLINK("http://pbs.twimg.com/media/Czf-v7UVEAEYend.jpg", "http://pbs.twimg.com/media/Czf-v7UVEAEYend.jpg")</f>
        <v/>
      </c>
      <c r="G1935" t="s"/>
      <c r="H1935" t="s"/>
      <c r="I1935" t="s"/>
      <c r="J1935" t="n">
        <v>-0.4767</v>
      </c>
      <c r="K1935" t="n">
        <v>0.147</v>
      </c>
      <c r="L1935" t="n">
        <v>0.853</v>
      </c>
      <c r="M1935" t="n">
        <v>0</v>
      </c>
    </row>
    <row r="1936" spans="1:13">
      <c r="A1936" s="1">
        <f>HYPERLINK("http://www.twitter.com/NathanBLawrence/status/808366687229771776", "808366687229771776")</f>
        <v/>
      </c>
      <c r="B1936" s="2" t="n">
        <v>42716.73855324074</v>
      </c>
      <c r="C1936" t="n">
        <v>0</v>
      </c>
      <c r="D1936" t="n">
        <v>1686</v>
      </c>
      <c r="E1936" t="s">
        <v>1941</v>
      </c>
      <c r="F1936" t="s"/>
      <c r="G1936" t="s"/>
      <c r="H1936" t="s"/>
      <c r="I1936" t="s"/>
      <c r="J1936" t="n">
        <v>0.4215</v>
      </c>
      <c r="K1936" t="n">
        <v>0</v>
      </c>
      <c r="L1936" t="n">
        <v>0.887</v>
      </c>
      <c r="M1936" t="n">
        <v>0.113</v>
      </c>
    </row>
    <row r="1937" spans="1:13">
      <c r="A1937" s="1">
        <f>HYPERLINK("http://www.twitter.com/NathanBLawrence/status/808350294178414592", "808350294178414592")</f>
        <v/>
      </c>
      <c r="B1937" s="2" t="n">
        <v>42716.69332175926</v>
      </c>
      <c r="C1937" t="n">
        <v>0</v>
      </c>
      <c r="D1937" t="n">
        <v>52</v>
      </c>
      <c r="E1937" t="s">
        <v>1942</v>
      </c>
      <c r="F1937">
        <f>HYPERLINK("http://pbs.twimg.com/media/CzfRxhPUsAAKHr4.jpg", "http://pbs.twimg.com/media/CzfRxhPUsAAKHr4.jpg")</f>
        <v/>
      </c>
      <c r="G1937" t="s"/>
      <c r="H1937" t="s"/>
      <c r="I1937" t="s"/>
      <c r="J1937" t="n">
        <v>0</v>
      </c>
      <c r="K1937" t="n">
        <v>0</v>
      </c>
      <c r="L1937" t="n">
        <v>1</v>
      </c>
      <c r="M1937" t="n">
        <v>0</v>
      </c>
    </row>
    <row r="1938" spans="1:13">
      <c r="A1938" s="1">
        <f>HYPERLINK("http://www.twitter.com/NathanBLawrence/status/808349473416114176", "808349473416114176")</f>
        <v/>
      </c>
      <c r="B1938" s="2" t="n">
        <v>42716.69105324074</v>
      </c>
      <c r="C1938" t="n">
        <v>0</v>
      </c>
      <c r="D1938" t="n">
        <v>130</v>
      </c>
      <c r="E1938" t="s">
        <v>1943</v>
      </c>
      <c r="F1938" t="s"/>
      <c r="G1938" t="s"/>
      <c r="H1938" t="s"/>
      <c r="I1938" t="s"/>
      <c r="J1938" t="n">
        <v>-0.7269</v>
      </c>
      <c r="K1938" t="n">
        <v>0.357</v>
      </c>
      <c r="L1938" t="n">
        <v>0.643</v>
      </c>
      <c r="M1938" t="n">
        <v>0</v>
      </c>
    </row>
    <row r="1939" spans="1:13">
      <c r="A1939" s="1">
        <f>HYPERLINK("http://www.twitter.com/NathanBLawrence/status/808345332593676292", "808345332593676292")</f>
        <v/>
      </c>
      <c r="B1939" s="2" t="n">
        <v>42716.67962962963</v>
      </c>
      <c r="C1939" t="n">
        <v>0</v>
      </c>
      <c r="D1939" t="n">
        <v>978</v>
      </c>
      <c r="E1939" t="s">
        <v>1944</v>
      </c>
      <c r="F1939">
        <f>HYPERLINK("http://pbs.twimg.com/media/Czburg3UQAA9e8J.jpg", "http://pbs.twimg.com/media/Czburg3UQAA9e8J.jpg")</f>
        <v/>
      </c>
      <c r="G1939" t="s"/>
      <c r="H1939" t="s"/>
      <c r="I1939" t="s"/>
      <c r="J1939" t="n">
        <v>0</v>
      </c>
      <c r="K1939" t="n">
        <v>0</v>
      </c>
      <c r="L1939" t="n">
        <v>1</v>
      </c>
      <c r="M1939" t="n">
        <v>0</v>
      </c>
    </row>
    <row r="1940" spans="1:13">
      <c r="A1940" s="1">
        <f>HYPERLINK("http://www.twitter.com/NathanBLawrence/status/808345331159236608", "808345331159236608")</f>
        <v/>
      </c>
      <c r="B1940" s="2" t="n">
        <v>42716.67961805555</v>
      </c>
      <c r="C1940" t="n">
        <v>0</v>
      </c>
      <c r="D1940" t="n">
        <v>637</v>
      </c>
      <c r="E1940" t="s">
        <v>1945</v>
      </c>
      <c r="F1940" t="s"/>
      <c r="G1940" t="s"/>
      <c r="H1940" t="s"/>
      <c r="I1940" t="s"/>
      <c r="J1940" t="n">
        <v>-0.5574</v>
      </c>
      <c r="K1940" t="n">
        <v>0.231</v>
      </c>
      <c r="L1940" t="n">
        <v>0.769</v>
      </c>
      <c r="M1940" t="n">
        <v>0</v>
      </c>
    </row>
    <row r="1941" spans="1:13">
      <c r="A1941" s="1">
        <f>HYPERLINK("http://www.twitter.com/NathanBLawrence/status/807918610823999489", "807918610823999489")</f>
        <v/>
      </c>
      <c r="B1941" s="2" t="n">
        <v>42715.50209490741</v>
      </c>
      <c r="C1941" t="n">
        <v>0</v>
      </c>
      <c r="D1941" t="n">
        <v>3928</v>
      </c>
      <c r="E1941" t="s">
        <v>1946</v>
      </c>
      <c r="F1941" t="s"/>
      <c r="G1941" t="s"/>
      <c r="H1941" t="s"/>
      <c r="I1941" t="s"/>
      <c r="J1941" t="n">
        <v>0</v>
      </c>
      <c r="K1941" t="n">
        <v>0</v>
      </c>
      <c r="L1941" t="n">
        <v>1</v>
      </c>
      <c r="M1941" t="n">
        <v>0</v>
      </c>
    </row>
    <row r="1942" spans="1:13">
      <c r="A1942" s="1">
        <f>HYPERLINK("http://www.twitter.com/NathanBLawrence/status/807791370991714304", "807791370991714304")</f>
        <v/>
      </c>
      <c r="B1942" s="2" t="n">
        <v>42715.15098379629</v>
      </c>
      <c r="C1942" t="n">
        <v>0</v>
      </c>
      <c r="D1942" t="n">
        <v>3196</v>
      </c>
      <c r="E1942" t="s">
        <v>1947</v>
      </c>
      <c r="F1942" t="s"/>
      <c r="G1942" t="s"/>
      <c r="H1942" t="s"/>
      <c r="I1942" t="s"/>
      <c r="J1942" t="n">
        <v>-0.296</v>
      </c>
      <c r="K1942" t="n">
        <v>0.115</v>
      </c>
      <c r="L1942" t="n">
        <v>0.885</v>
      </c>
      <c r="M1942" t="n">
        <v>0</v>
      </c>
    </row>
    <row r="1943" spans="1:13">
      <c r="A1943" s="1">
        <f>HYPERLINK("http://www.twitter.com/NathanBLawrence/status/807781077427298306", "807781077427298306")</f>
        <v/>
      </c>
      <c r="B1943" s="2" t="n">
        <v>42715.12258101852</v>
      </c>
      <c r="C1943" t="n">
        <v>0</v>
      </c>
      <c r="D1943" t="n">
        <v>6346</v>
      </c>
      <c r="E1943" t="s">
        <v>1948</v>
      </c>
      <c r="F1943" t="s"/>
      <c r="G1943" t="s"/>
      <c r="H1943" t="s"/>
      <c r="I1943" t="s"/>
      <c r="J1943" t="n">
        <v>-0.3453</v>
      </c>
      <c r="K1943" t="n">
        <v>0.125</v>
      </c>
      <c r="L1943" t="n">
        <v>0.875</v>
      </c>
      <c r="M1943" t="n">
        <v>0</v>
      </c>
    </row>
    <row r="1944" spans="1:13">
      <c r="A1944" s="1">
        <f>HYPERLINK("http://www.twitter.com/NathanBLawrence/status/807779629314490368", "807779629314490368")</f>
        <v/>
      </c>
      <c r="B1944" s="2" t="n">
        <v>42715.11858796296</v>
      </c>
      <c r="C1944" t="n">
        <v>0</v>
      </c>
      <c r="D1944" t="n">
        <v>1584</v>
      </c>
      <c r="E1944" t="s">
        <v>1949</v>
      </c>
      <c r="F1944" t="s"/>
      <c r="G1944" t="s"/>
      <c r="H1944" t="s"/>
      <c r="I1944" t="s"/>
      <c r="J1944" t="n">
        <v>-0.9246</v>
      </c>
      <c r="K1944" t="n">
        <v>0.474</v>
      </c>
      <c r="L1944" t="n">
        <v>0.526</v>
      </c>
      <c r="M1944" t="n">
        <v>0</v>
      </c>
    </row>
    <row r="1945" spans="1:13">
      <c r="A1945" s="1">
        <f>HYPERLINK("http://www.twitter.com/NathanBLawrence/status/807770757883449346", "807770757883449346")</f>
        <v/>
      </c>
      <c r="B1945" s="2" t="n">
        <v>42715.09409722222</v>
      </c>
      <c r="C1945" t="n">
        <v>0</v>
      </c>
      <c r="D1945" t="n">
        <v>493</v>
      </c>
      <c r="E1945" t="s">
        <v>1950</v>
      </c>
      <c r="F1945" t="s"/>
      <c r="G1945" t="s"/>
      <c r="H1945" t="s"/>
      <c r="I1945" t="s"/>
      <c r="J1945" t="n">
        <v>-0.5423</v>
      </c>
      <c r="K1945" t="n">
        <v>0.268</v>
      </c>
      <c r="L1945" t="n">
        <v>0.632</v>
      </c>
      <c r="M1945" t="n">
        <v>0.1</v>
      </c>
    </row>
    <row r="1946" spans="1:13">
      <c r="A1946" s="1">
        <f>HYPERLINK("http://www.twitter.com/NathanBLawrence/status/807704171193503744", "807704171193503744")</f>
        <v/>
      </c>
      <c r="B1946" s="2" t="n">
        <v>42714.9103587963</v>
      </c>
      <c r="C1946" t="n">
        <v>0</v>
      </c>
      <c r="D1946" t="n">
        <v>1490</v>
      </c>
      <c r="E1946" t="s">
        <v>1951</v>
      </c>
      <c r="F1946" t="s"/>
      <c r="G1946" t="s"/>
      <c r="H1946" t="s"/>
      <c r="I1946" t="s"/>
      <c r="J1946" t="n">
        <v>-0.4939</v>
      </c>
      <c r="K1946" t="n">
        <v>0.138</v>
      </c>
      <c r="L1946" t="n">
        <v>0.862</v>
      </c>
      <c r="M1946" t="n">
        <v>0</v>
      </c>
    </row>
    <row r="1947" spans="1:13">
      <c r="A1947" s="1">
        <f>HYPERLINK("http://www.twitter.com/NathanBLawrence/status/807593637307678720", "807593637307678720")</f>
        <v/>
      </c>
      <c r="B1947" s="2" t="n">
        <v>42714.60534722222</v>
      </c>
      <c r="C1947" t="n">
        <v>0</v>
      </c>
      <c r="D1947" t="n">
        <v>85</v>
      </c>
      <c r="E1947" t="s">
        <v>1952</v>
      </c>
      <c r="F1947" t="s"/>
      <c r="G1947" t="s"/>
      <c r="H1947" t="s"/>
      <c r="I1947" t="s"/>
      <c r="J1947" t="n">
        <v>-0.7003</v>
      </c>
      <c r="K1947" t="n">
        <v>0.291</v>
      </c>
      <c r="L1947" t="n">
        <v>0.636</v>
      </c>
      <c r="M1947" t="n">
        <v>0.073</v>
      </c>
    </row>
    <row r="1948" spans="1:13">
      <c r="A1948" s="1">
        <f>HYPERLINK("http://www.twitter.com/NathanBLawrence/status/807410424618553344", "807410424618553344")</f>
        <v/>
      </c>
      <c r="B1948" s="2" t="n">
        <v>42714.09976851852</v>
      </c>
      <c r="C1948" t="n">
        <v>0</v>
      </c>
      <c r="D1948" t="n">
        <v>3685</v>
      </c>
      <c r="E1948" t="s">
        <v>1953</v>
      </c>
      <c r="F1948">
        <f>HYPERLINK("https://video.twimg.com/amplify_video/807390164628566016/vid/654x360/UH_QKu4TZa6Hkb4Q.mp4", "https://video.twimg.com/amplify_video/807390164628566016/vid/654x360/UH_QKu4TZa6Hkb4Q.mp4")</f>
        <v/>
      </c>
      <c r="G1948" t="s"/>
      <c r="H1948" t="s"/>
      <c r="I1948" t="s"/>
      <c r="J1948" t="n">
        <v>0</v>
      </c>
      <c r="K1948" t="n">
        <v>0</v>
      </c>
      <c r="L1948" t="n">
        <v>1</v>
      </c>
      <c r="M1948" t="n">
        <v>0</v>
      </c>
    </row>
    <row r="1949" spans="1:13">
      <c r="A1949" s="1">
        <f>HYPERLINK("http://www.twitter.com/NathanBLawrence/status/807310208905203713", "807310208905203713")</f>
        <v/>
      </c>
      <c r="B1949" s="2" t="n">
        <v>42713.82322916666</v>
      </c>
      <c r="C1949" t="n">
        <v>0</v>
      </c>
      <c r="D1949" t="n">
        <v>5787</v>
      </c>
      <c r="E1949" t="s">
        <v>1954</v>
      </c>
      <c r="F1949">
        <f>HYPERLINK("https://video.twimg.com/amplify_video/807177213380440064/vid/656x360/mm5ZPHOHqOPOReu9.mp4", "https://video.twimg.com/amplify_video/807177213380440064/vid/656x360/mm5ZPHOHqOPOReu9.mp4")</f>
        <v/>
      </c>
      <c r="G1949" t="s"/>
      <c r="H1949" t="s"/>
      <c r="I1949" t="s"/>
      <c r="J1949" t="n">
        <v>-0.4939</v>
      </c>
      <c r="K1949" t="n">
        <v>0.225</v>
      </c>
      <c r="L1949" t="n">
        <v>0.775</v>
      </c>
      <c r="M1949" t="n">
        <v>0</v>
      </c>
    </row>
    <row r="1950" spans="1:13">
      <c r="A1950" s="1">
        <f>HYPERLINK("http://www.twitter.com/NathanBLawrence/status/807279115099402240", "807279115099402240")</f>
        <v/>
      </c>
      <c r="B1950" s="2" t="n">
        <v>42713.73743055556</v>
      </c>
      <c r="C1950" t="n">
        <v>0</v>
      </c>
      <c r="D1950" t="n">
        <v>1934</v>
      </c>
      <c r="E1950" t="s">
        <v>1955</v>
      </c>
      <c r="F1950" t="s"/>
      <c r="G1950" t="s"/>
      <c r="H1950" t="s"/>
      <c r="I1950" t="s"/>
      <c r="J1950" t="n">
        <v>0.5106000000000001</v>
      </c>
      <c r="K1950" t="n">
        <v>0.063</v>
      </c>
      <c r="L1950" t="n">
        <v>0.769</v>
      </c>
      <c r="M1950" t="n">
        <v>0.167</v>
      </c>
    </row>
    <row r="1951" spans="1:13">
      <c r="A1951" s="1">
        <f>HYPERLINK("http://www.twitter.com/NathanBLawrence/status/807267347044122625", "807267347044122625")</f>
        <v/>
      </c>
      <c r="B1951" s="2" t="n">
        <v>42713.7049537037</v>
      </c>
      <c r="C1951" t="n">
        <v>0</v>
      </c>
      <c r="D1951" t="n">
        <v>5722</v>
      </c>
      <c r="E1951" t="s">
        <v>1956</v>
      </c>
      <c r="F1951">
        <f>HYPERLINK("http://pbs.twimg.com/media/CzP6OpUUAAIeCfn.jpg", "http://pbs.twimg.com/media/CzP6OpUUAAIeCfn.jpg")</f>
        <v/>
      </c>
      <c r="G1951" t="s"/>
      <c r="H1951" t="s"/>
      <c r="I1951" t="s"/>
      <c r="J1951" t="n">
        <v>-0.4767</v>
      </c>
      <c r="K1951" t="n">
        <v>0.154</v>
      </c>
      <c r="L1951" t="n">
        <v>0.846</v>
      </c>
      <c r="M1951" t="n">
        <v>0</v>
      </c>
    </row>
    <row r="1952" spans="1:13">
      <c r="A1952" s="1">
        <f>HYPERLINK("http://www.twitter.com/NathanBLawrence/status/807267276856639489", "807267276856639489")</f>
        <v/>
      </c>
      <c r="B1952" s="2" t="n">
        <v>42713.70475694445</v>
      </c>
      <c r="C1952" t="n">
        <v>0</v>
      </c>
      <c r="D1952" t="n">
        <v>4798</v>
      </c>
      <c r="E1952" t="s">
        <v>1957</v>
      </c>
      <c r="F1952" t="s"/>
      <c r="G1952" t="s"/>
      <c r="H1952" t="s"/>
      <c r="I1952" t="s"/>
      <c r="J1952" t="n">
        <v>0.296</v>
      </c>
      <c r="K1952" t="n">
        <v>0</v>
      </c>
      <c r="L1952" t="n">
        <v>0.891</v>
      </c>
      <c r="M1952" t="n">
        <v>0.109</v>
      </c>
    </row>
    <row r="1953" spans="1:13">
      <c r="A1953" s="1">
        <f>HYPERLINK("http://www.twitter.com/NathanBLawrence/status/807125422660026368", "807125422660026368")</f>
        <v/>
      </c>
      <c r="B1953" s="2" t="n">
        <v>42713.31332175926</v>
      </c>
      <c r="C1953" t="n">
        <v>0</v>
      </c>
      <c r="D1953" t="n">
        <v>1407</v>
      </c>
      <c r="E1953" t="s">
        <v>1958</v>
      </c>
      <c r="F1953" t="s"/>
      <c r="G1953" t="s"/>
      <c r="H1953" t="s"/>
      <c r="I1953" t="s"/>
      <c r="J1953" t="n">
        <v>0.5558999999999999</v>
      </c>
      <c r="K1953" t="n">
        <v>0</v>
      </c>
      <c r="L1953" t="n">
        <v>0.8129999999999999</v>
      </c>
      <c r="M1953" t="n">
        <v>0.187</v>
      </c>
    </row>
    <row r="1954" spans="1:13">
      <c r="A1954" s="1">
        <f>HYPERLINK("http://www.twitter.com/NathanBLawrence/status/807076065684373504", "807076065684373504")</f>
        <v/>
      </c>
      <c r="B1954" s="2" t="n">
        <v>42713.17711805556</v>
      </c>
      <c r="C1954" t="n">
        <v>0</v>
      </c>
      <c r="D1954" t="n">
        <v>349</v>
      </c>
      <c r="E1954" t="s">
        <v>1959</v>
      </c>
      <c r="F1954" t="s"/>
      <c r="G1954" t="s"/>
      <c r="H1954" t="s"/>
      <c r="I1954" t="s"/>
      <c r="J1954" t="n">
        <v>-0.8519</v>
      </c>
      <c r="K1954" t="n">
        <v>0.306</v>
      </c>
      <c r="L1954" t="n">
        <v>0.629</v>
      </c>
      <c r="M1954" t="n">
        <v>0.065</v>
      </c>
    </row>
    <row r="1955" spans="1:13">
      <c r="A1955" s="1">
        <f>HYPERLINK("http://www.twitter.com/NathanBLawrence/status/807058240609644546", "807058240609644546")</f>
        <v/>
      </c>
      <c r="B1955" s="2" t="n">
        <v>42713.12792824074</v>
      </c>
      <c r="C1955" t="n">
        <v>0</v>
      </c>
      <c r="D1955" t="n">
        <v>3704</v>
      </c>
      <c r="E1955" t="s">
        <v>1960</v>
      </c>
      <c r="F1955" t="s"/>
      <c r="G1955" t="s"/>
      <c r="H1955" t="s"/>
      <c r="I1955" t="s"/>
      <c r="J1955" t="n">
        <v>-0.4019</v>
      </c>
      <c r="K1955" t="n">
        <v>0.168</v>
      </c>
      <c r="L1955" t="n">
        <v>0.757</v>
      </c>
      <c r="M1955" t="n">
        <v>0.076</v>
      </c>
    </row>
    <row r="1956" spans="1:13">
      <c r="A1956" s="1">
        <f>HYPERLINK("http://www.twitter.com/NathanBLawrence/status/807058125723488256", "807058125723488256")</f>
        <v/>
      </c>
      <c r="B1956" s="2" t="n">
        <v>42713.12761574074</v>
      </c>
      <c r="C1956" t="n">
        <v>0</v>
      </c>
      <c r="D1956" t="n">
        <v>101</v>
      </c>
      <c r="E1956" t="s">
        <v>1961</v>
      </c>
      <c r="F1956" t="s"/>
      <c r="G1956" t="s"/>
      <c r="H1956" t="s"/>
      <c r="I1956" t="s"/>
      <c r="J1956" t="n">
        <v>-0.6808</v>
      </c>
      <c r="K1956" t="n">
        <v>0.248</v>
      </c>
      <c r="L1956" t="n">
        <v>0.752</v>
      </c>
      <c r="M1956" t="n">
        <v>0</v>
      </c>
    </row>
    <row r="1957" spans="1:13">
      <c r="A1957" s="1">
        <f>HYPERLINK("http://www.twitter.com/NathanBLawrence/status/807004952874733568", "807004952874733568")</f>
        <v/>
      </c>
      <c r="B1957" s="2" t="n">
        <v>42712.98087962963</v>
      </c>
      <c r="C1957" t="n">
        <v>0</v>
      </c>
      <c r="D1957" t="n">
        <v>130</v>
      </c>
      <c r="E1957" t="s">
        <v>1962</v>
      </c>
      <c r="F1957">
        <f>HYPERLINK("http://pbs.twimg.com/media/CzMN6ZpUoAAv5Cq.jpg", "http://pbs.twimg.com/media/CzMN6ZpUoAAv5Cq.jpg")</f>
        <v/>
      </c>
      <c r="G1957" t="s"/>
      <c r="H1957" t="s"/>
      <c r="I1957" t="s"/>
      <c r="J1957" t="n">
        <v>0</v>
      </c>
      <c r="K1957" t="n">
        <v>0</v>
      </c>
      <c r="L1957" t="n">
        <v>1</v>
      </c>
      <c r="M1957" t="n">
        <v>0</v>
      </c>
    </row>
    <row r="1958" spans="1:13">
      <c r="A1958" s="1">
        <f>HYPERLINK("http://www.twitter.com/NathanBLawrence/status/806966604856774656", "806966604856774656")</f>
        <v/>
      </c>
      <c r="B1958" s="2" t="n">
        <v>42712.87505787037</v>
      </c>
      <c r="C1958" t="n">
        <v>0</v>
      </c>
      <c r="D1958" t="n">
        <v>654</v>
      </c>
      <c r="E1958" t="s">
        <v>1963</v>
      </c>
      <c r="F1958" t="s"/>
      <c r="G1958" t="s"/>
      <c r="H1958" t="s"/>
      <c r="I1958" t="s"/>
      <c r="J1958" t="n">
        <v>-0.6249</v>
      </c>
      <c r="K1958" t="n">
        <v>0.254</v>
      </c>
      <c r="L1958" t="n">
        <v>0.746</v>
      </c>
      <c r="M1958" t="n">
        <v>0</v>
      </c>
    </row>
    <row r="1959" spans="1:13">
      <c r="A1959" s="1">
        <f>HYPERLINK("http://www.twitter.com/NathanBLawrence/status/806920997593055232", "806920997593055232")</f>
        <v/>
      </c>
      <c r="B1959" s="2" t="n">
        <v>42712.74921296296</v>
      </c>
      <c r="C1959" t="n">
        <v>0</v>
      </c>
      <c r="D1959" t="n">
        <v>30</v>
      </c>
      <c r="E1959" t="s">
        <v>1964</v>
      </c>
      <c r="F1959" t="s"/>
      <c r="G1959" t="s"/>
      <c r="H1959" t="s"/>
      <c r="I1959" t="s"/>
      <c r="J1959" t="n">
        <v>0</v>
      </c>
      <c r="K1959" t="n">
        <v>0</v>
      </c>
      <c r="L1959" t="n">
        <v>1</v>
      </c>
      <c r="M1959" t="n">
        <v>0</v>
      </c>
    </row>
    <row r="1960" spans="1:13">
      <c r="A1960" s="1">
        <f>HYPERLINK("http://www.twitter.com/NathanBLawrence/status/806916733185441792", "806916733185441792")</f>
        <v/>
      </c>
      <c r="B1960" s="2" t="n">
        <v>42712.73744212963</v>
      </c>
      <c r="C1960" t="n">
        <v>0</v>
      </c>
      <c r="D1960" t="n">
        <v>2586</v>
      </c>
      <c r="E1960" t="s">
        <v>1965</v>
      </c>
      <c r="F1960" t="s"/>
      <c r="G1960" t="s"/>
      <c r="H1960" t="s"/>
      <c r="I1960" t="s"/>
      <c r="J1960" t="n">
        <v>-0.296</v>
      </c>
      <c r="K1960" t="n">
        <v>0.109</v>
      </c>
      <c r="L1960" t="n">
        <v>0.891</v>
      </c>
      <c r="M1960" t="n">
        <v>0</v>
      </c>
    </row>
    <row r="1961" spans="1:13">
      <c r="A1961" s="1">
        <f>HYPERLINK("http://www.twitter.com/NathanBLawrence/status/806911697566900224", "806911697566900224")</f>
        <v/>
      </c>
      <c r="B1961" s="2" t="n">
        <v>42712.72355324074</v>
      </c>
      <c r="C1961" t="n">
        <v>0</v>
      </c>
      <c r="D1961" t="n">
        <v>79</v>
      </c>
      <c r="E1961" t="s">
        <v>1966</v>
      </c>
      <c r="F1961" t="s"/>
      <c r="G1961" t="s"/>
      <c r="H1961" t="s"/>
      <c r="I1961" t="s"/>
      <c r="J1961" t="n">
        <v>0.4404</v>
      </c>
      <c r="K1961" t="n">
        <v>0</v>
      </c>
      <c r="L1961" t="n">
        <v>0.896</v>
      </c>
      <c r="M1961" t="n">
        <v>0.104</v>
      </c>
    </row>
    <row r="1962" spans="1:13">
      <c r="A1962" s="1">
        <f>HYPERLINK("http://www.twitter.com/NathanBLawrence/status/806911088990232576", "806911088990232576")</f>
        <v/>
      </c>
      <c r="B1962" s="2" t="n">
        <v>42712.72186342593</v>
      </c>
      <c r="C1962" t="n">
        <v>0</v>
      </c>
      <c r="D1962" t="n">
        <v>3918</v>
      </c>
      <c r="E1962" t="s">
        <v>1967</v>
      </c>
      <c r="F1962">
        <f>HYPERLINK("http://pbs.twimg.com/media/CzGTWNkWIAAnfh6.jpg", "http://pbs.twimg.com/media/CzGTWNkWIAAnfh6.jpg")</f>
        <v/>
      </c>
      <c r="G1962" t="s"/>
      <c r="H1962" t="s"/>
      <c r="I1962" t="s"/>
      <c r="J1962" t="n">
        <v>-0.4939</v>
      </c>
      <c r="K1962" t="n">
        <v>0.225</v>
      </c>
      <c r="L1962" t="n">
        <v>0.775</v>
      </c>
      <c r="M1962" t="n">
        <v>0</v>
      </c>
    </row>
    <row r="1963" spans="1:13">
      <c r="A1963" s="1">
        <f>HYPERLINK("http://www.twitter.com/NathanBLawrence/status/806614654789308416", "806614654789308416")</f>
        <v/>
      </c>
      <c r="B1963" s="2" t="n">
        <v>42711.90386574074</v>
      </c>
      <c r="C1963" t="n">
        <v>0</v>
      </c>
      <c r="D1963" t="n">
        <v>7</v>
      </c>
      <c r="E1963" t="s">
        <v>1968</v>
      </c>
      <c r="F1963" t="s"/>
      <c r="G1963" t="s"/>
      <c r="H1963" t="s"/>
      <c r="I1963" t="s"/>
      <c r="J1963" t="n">
        <v>-0.2732</v>
      </c>
      <c r="K1963" t="n">
        <v>0.11</v>
      </c>
      <c r="L1963" t="n">
        <v>0.89</v>
      </c>
      <c r="M1963" t="n">
        <v>0</v>
      </c>
    </row>
    <row r="1964" spans="1:13">
      <c r="A1964" s="1">
        <f>HYPERLINK("http://www.twitter.com/NathanBLawrence/status/806594272686440449", "806594272686440449")</f>
        <v/>
      </c>
      <c r="B1964" s="2" t="n">
        <v>42711.84762731481</v>
      </c>
      <c r="C1964" t="n">
        <v>0</v>
      </c>
      <c r="D1964" t="n">
        <v>302</v>
      </c>
      <c r="E1964" t="s">
        <v>1969</v>
      </c>
      <c r="F1964">
        <f>HYPERLINK("http://pbs.twimg.com/media/CzGS-pNVQAARUE5.jpg", "http://pbs.twimg.com/media/CzGS-pNVQAARUE5.jpg")</f>
        <v/>
      </c>
      <c r="G1964" t="s"/>
      <c r="H1964" t="s"/>
      <c r="I1964" t="s"/>
      <c r="J1964" t="n">
        <v>-0.4215</v>
      </c>
      <c r="K1964" t="n">
        <v>0.157</v>
      </c>
      <c r="L1964" t="n">
        <v>0.843</v>
      </c>
      <c r="M1964" t="n">
        <v>0</v>
      </c>
    </row>
    <row r="1965" spans="1:13">
      <c r="A1965" s="1">
        <f>HYPERLINK("http://www.twitter.com/NathanBLawrence/status/806592462982680576", "806592462982680576")</f>
        <v/>
      </c>
      <c r="B1965" s="2" t="n">
        <v>42711.84262731481</v>
      </c>
      <c r="C1965" t="n">
        <v>0</v>
      </c>
      <c r="D1965" t="n">
        <v>1062</v>
      </c>
      <c r="E1965" t="s">
        <v>1970</v>
      </c>
      <c r="F1965">
        <f>HYPERLINK("http://pbs.twimg.com/media/CzGBFWWUsAADeV0.jpg", "http://pbs.twimg.com/media/CzGBFWWUsAADeV0.jpg")</f>
        <v/>
      </c>
      <c r="G1965" t="s"/>
      <c r="H1965" t="s"/>
      <c r="I1965" t="s"/>
      <c r="J1965" t="n">
        <v>0</v>
      </c>
      <c r="K1965" t="n">
        <v>0</v>
      </c>
      <c r="L1965" t="n">
        <v>1</v>
      </c>
      <c r="M1965" t="n">
        <v>0</v>
      </c>
    </row>
    <row r="1966" spans="1:13">
      <c r="A1966" s="1">
        <f>HYPERLINK("http://www.twitter.com/NathanBLawrence/status/806525289002110976", "806525289002110976")</f>
        <v/>
      </c>
      <c r="B1966" s="2" t="n">
        <v>42711.65726851852</v>
      </c>
      <c r="C1966" t="n">
        <v>0</v>
      </c>
      <c r="D1966" t="n">
        <v>39</v>
      </c>
      <c r="E1966" t="s">
        <v>1971</v>
      </c>
      <c r="F1966">
        <f>HYPERLINK("http://pbs.twimg.com/media/CzFZwoHXAAAOZ2u.jpg", "http://pbs.twimg.com/media/CzFZwoHXAAAOZ2u.jpg")</f>
        <v/>
      </c>
      <c r="G1966" t="s"/>
      <c r="H1966" t="s"/>
      <c r="I1966" t="s"/>
      <c r="J1966" t="n">
        <v>0</v>
      </c>
      <c r="K1966" t="n">
        <v>0</v>
      </c>
      <c r="L1966" t="n">
        <v>1</v>
      </c>
      <c r="M1966" t="n">
        <v>0</v>
      </c>
    </row>
    <row r="1967" spans="1:13">
      <c r="A1967" s="1">
        <f>HYPERLINK("http://www.twitter.com/NathanBLawrence/status/806522194054488064", "806522194054488064")</f>
        <v/>
      </c>
      <c r="B1967" s="2" t="n">
        <v>42711.64872685185</v>
      </c>
      <c r="C1967" t="n">
        <v>0</v>
      </c>
      <c r="D1967" t="n">
        <v>2325</v>
      </c>
      <c r="E1967" t="s">
        <v>1972</v>
      </c>
      <c r="F1967">
        <f>HYPERLINK("http://pbs.twimg.com/media/CzFKElNUQAAeOZW.jpg", "http://pbs.twimg.com/media/CzFKElNUQAAeOZW.jpg")</f>
        <v/>
      </c>
      <c r="G1967">
        <f>HYPERLINK("http://pbs.twimg.com/media/CzFKElUUsAAYd8e.jpg", "http://pbs.twimg.com/media/CzFKElUUsAAYd8e.jpg")</f>
        <v/>
      </c>
      <c r="H1967">
        <f>HYPERLINK("http://pbs.twimg.com/media/CzFKElYUAAEzM4k.jpg", "http://pbs.twimg.com/media/CzFKElYUAAEzM4k.jpg")</f>
        <v/>
      </c>
      <c r="I1967" t="s"/>
      <c r="J1967" t="n">
        <v>-0.296</v>
      </c>
      <c r="K1967" t="n">
        <v>0.196</v>
      </c>
      <c r="L1967" t="n">
        <v>0.6879999999999999</v>
      </c>
      <c r="M1967" t="n">
        <v>0.116</v>
      </c>
    </row>
    <row r="1968" spans="1:13">
      <c r="A1968" s="1">
        <f>HYPERLINK("http://www.twitter.com/NathanBLawrence/status/806513658834669569", "806513658834669569")</f>
        <v/>
      </c>
      <c r="B1968" s="2" t="n">
        <v>42711.62517361111</v>
      </c>
      <c r="C1968" t="n">
        <v>0</v>
      </c>
      <c r="D1968" t="n">
        <v>297</v>
      </c>
      <c r="E1968" t="s">
        <v>1973</v>
      </c>
      <c r="F1968">
        <f>HYPERLINK("http://pbs.twimg.com/media/CzEsRIiXcAAvVp0.jpg", "http://pbs.twimg.com/media/CzEsRIiXcAAvVp0.jpg")</f>
        <v/>
      </c>
      <c r="G1968" t="s"/>
      <c r="H1968" t="s"/>
      <c r="I1968" t="s"/>
      <c r="J1968" t="n">
        <v>0.25</v>
      </c>
      <c r="K1968" t="n">
        <v>0</v>
      </c>
      <c r="L1968" t="n">
        <v>0.9</v>
      </c>
      <c r="M1968" t="n">
        <v>0.1</v>
      </c>
    </row>
    <row r="1969" spans="1:13">
      <c r="A1969" s="1">
        <f>HYPERLINK("http://www.twitter.com/NathanBLawrence/status/806513115982602240", "806513115982602240")</f>
        <v/>
      </c>
      <c r="B1969" s="2" t="n">
        <v>42711.62366898148</v>
      </c>
      <c r="C1969" t="n">
        <v>0</v>
      </c>
      <c r="D1969" t="n">
        <v>7756</v>
      </c>
      <c r="E1969" t="s">
        <v>1974</v>
      </c>
      <c r="F1969" t="s"/>
      <c r="G1969" t="s"/>
      <c r="H1969" t="s"/>
      <c r="I1969" t="s"/>
      <c r="J1969" t="n">
        <v>-0.1027</v>
      </c>
      <c r="K1969" t="n">
        <v>0.122</v>
      </c>
      <c r="L1969" t="n">
        <v>0.778</v>
      </c>
      <c r="M1969" t="n">
        <v>0.1</v>
      </c>
    </row>
    <row r="1970" spans="1:13">
      <c r="A1970" s="1">
        <f>HYPERLINK("http://www.twitter.com/NathanBLawrence/status/806505879235362816", "806505879235362816")</f>
        <v/>
      </c>
      <c r="B1970" s="2" t="n">
        <v>42711.6037037037</v>
      </c>
      <c r="C1970" t="n">
        <v>0</v>
      </c>
      <c r="D1970" t="n">
        <v>1481</v>
      </c>
      <c r="E1970" t="s">
        <v>1975</v>
      </c>
      <c r="F1970" t="s"/>
      <c r="G1970" t="s"/>
      <c r="H1970" t="s"/>
      <c r="I1970" t="s"/>
      <c r="J1970" t="n">
        <v>-0.296</v>
      </c>
      <c r="K1970" t="n">
        <v>0.145</v>
      </c>
      <c r="L1970" t="n">
        <v>0.855</v>
      </c>
      <c r="M1970" t="n">
        <v>0</v>
      </c>
    </row>
    <row r="1971" spans="1:13">
      <c r="A1971" s="1">
        <f>HYPERLINK("http://www.twitter.com/NathanBLawrence/status/806505761341837312", "806505761341837312")</f>
        <v/>
      </c>
      <c r="B1971" s="2" t="n">
        <v>42711.60337962963</v>
      </c>
      <c r="C1971" t="n">
        <v>0</v>
      </c>
      <c r="D1971" t="n">
        <v>1112</v>
      </c>
      <c r="E1971" t="s">
        <v>1976</v>
      </c>
      <c r="F1971">
        <f>HYPERLINK("http://pbs.twimg.com/media/CajAQQyWcAI28Fj.jpg", "http://pbs.twimg.com/media/CajAQQyWcAI28Fj.jpg")</f>
        <v/>
      </c>
      <c r="G1971" t="s"/>
      <c r="H1971" t="s"/>
      <c r="I1971" t="s"/>
      <c r="J1971" t="n">
        <v>0.4767</v>
      </c>
      <c r="K1971" t="n">
        <v>0</v>
      </c>
      <c r="L1971" t="n">
        <v>0.853</v>
      </c>
      <c r="M1971" t="n">
        <v>0.147</v>
      </c>
    </row>
    <row r="1972" spans="1:13">
      <c r="A1972" s="1">
        <f>HYPERLINK("http://www.twitter.com/NathanBLawrence/status/806444335172612096", "806444335172612096")</f>
        <v/>
      </c>
      <c r="B1972" s="2" t="n">
        <v>42711.43387731481</v>
      </c>
      <c r="C1972" t="n">
        <v>0</v>
      </c>
      <c r="D1972" t="n">
        <v>278</v>
      </c>
      <c r="E1972" t="s">
        <v>1977</v>
      </c>
      <c r="F1972" t="s"/>
      <c r="G1972" t="s"/>
      <c r="H1972" t="s"/>
      <c r="I1972" t="s"/>
      <c r="J1972" t="n">
        <v>-0.6908</v>
      </c>
      <c r="K1972" t="n">
        <v>0.281</v>
      </c>
      <c r="L1972" t="n">
        <v>0.719</v>
      </c>
      <c r="M1972" t="n">
        <v>0</v>
      </c>
    </row>
    <row r="1973" spans="1:13">
      <c r="A1973" s="1">
        <f>HYPERLINK("http://www.twitter.com/NathanBLawrence/status/806260839024103429", "806260839024103429")</f>
        <v/>
      </c>
      <c r="B1973" s="2" t="n">
        <v>42710.92752314815</v>
      </c>
      <c r="C1973" t="n">
        <v>1</v>
      </c>
      <c r="D1973" t="n">
        <v>1</v>
      </c>
      <c r="E1973" t="s">
        <v>1978</v>
      </c>
      <c r="F1973" t="s"/>
      <c r="G1973" t="s"/>
      <c r="H1973" t="s"/>
      <c r="I1973" t="s"/>
      <c r="J1973" t="n">
        <v>0</v>
      </c>
      <c r="K1973" t="n">
        <v>0</v>
      </c>
      <c r="L1973" t="n">
        <v>1</v>
      </c>
      <c r="M1973" t="n">
        <v>0</v>
      </c>
    </row>
    <row r="1974" spans="1:13">
      <c r="A1974" s="1">
        <f>HYPERLINK("http://www.twitter.com/NathanBLawrence/status/806250061369843713", "806250061369843713")</f>
        <v/>
      </c>
      <c r="B1974" s="2" t="n">
        <v>42710.89777777778</v>
      </c>
      <c r="C1974" t="n">
        <v>0</v>
      </c>
      <c r="D1974" t="n">
        <v>352</v>
      </c>
      <c r="E1974" t="s">
        <v>1979</v>
      </c>
      <c r="F1974" t="s"/>
      <c r="G1974" t="s"/>
      <c r="H1974" t="s"/>
      <c r="I1974" t="s"/>
      <c r="J1974" t="n">
        <v>-0.2732</v>
      </c>
      <c r="K1974" t="n">
        <v>0.104</v>
      </c>
      <c r="L1974" t="n">
        <v>0.896</v>
      </c>
      <c r="M1974" t="n">
        <v>0</v>
      </c>
    </row>
    <row r="1975" spans="1:13">
      <c r="A1975" s="1">
        <f>HYPERLINK("http://www.twitter.com/NathanBLawrence/status/806215977067225090", "806215977067225090")</f>
        <v/>
      </c>
      <c r="B1975" s="2" t="n">
        <v>42710.80372685185</v>
      </c>
      <c r="C1975" t="n">
        <v>0</v>
      </c>
      <c r="D1975" t="n">
        <v>116</v>
      </c>
      <c r="E1975" t="s">
        <v>1980</v>
      </c>
      <c r="F1975">
        <f>HYPERLINK("http://pbs.twimg.com/media/CzA6qWFWIAYWGHR.jpg", "http://pbs.twimg.com/media/CzA6qWFWIAYWGHR.jpg")</f>
        <v/>
      </c>
      <c r="G1975" t="s"/>
      <c r="H1975" t="s"/>
      <c r="I1975" t="s"/>
      <c r="J1975" t="n">
        <v>-0.4019</v>
      </c>
      <c r="K1975" t="n">
        <v>0.144</v>
      </c>
      <c r="L1975" t="n">
        <v>0.856</v>
      </c>
      <c r="M1975" t="n">
        <v>0</v>
      </c>
    </row>
    <row r="1976" spans="1:13">
      <c r="A1976" s="1">
        <f>HYPERLINK("http://www.twitter.com/NathanBLawrence/status/806180027905740801", "806180027905740801")</f>
        <v/>
      </c>
      <c r="B1976" s="2" t="n">
        <v>42710.70452546296</v>
      </c>
      <c r="C1976" t="n">
        <v>1</v>
      </c>
      <c r="D1976" t="n">
        <v>0</v>
      </c>
      <c r="E1976" t="s">
        <v>1981</v>
      </c>
      <c r="F1976" t="s"/>
      <c r="G1976" t="s"/>
      <c r="H1976" t="s"/>
      <c r="I1976" t="s"/>
      <c r="J1976" t="n">
        <v>-0.5301</v>
      </c>
      <c r="K1976" t="n">
        <v>0.209</v>
      </c>
      <c r="L1976" t="n">
        <v>0.667</v>
      </c>
      <c r="M1976" t="n">
        <v>0.124</v>
      </c>
    </row>
    <row r="1977" spans="1:13">
      <c r="A1977" s="1">
        <f>HYPERLINK("http://www.twitter.com/NathanBLawrence/status/806176565705015297", "806176565705015297")</f>
        <v/>
      </c>
      <c r="B1977" s="2" t="n">
        <v>42710.69496527778</v>
      </c>
      <c r="C1977" t="n">
        <v>0</v>
      </c>
      <c r="D1977" t="n">
        <v>0</v>
      </c>
      <c r="E1977" t="s">
        <v>1982</v>
      </c>
      <c r="F1977" t="s"/>
      <c r="G1977" t="s"/>
      <c r="H1977" t="s"/>
      <c r="I1977" t="s"/>
      <c r="J1977" t="n">
        <v>-0.451</v>
      </c>
      <c r="K1977" t="n">
        <v>0.135</v>
      </c>
      <c r="L1977" t="n">
        <v>0.865</v>
      </c>
      <c r="M1977" t="n">
        <v>0</v>
      </c>
    </row>
    <row r="1978" spans="1:13">
      <c r="A1978" s="1">
        <f>HYPERLINK("http://www.twitter.com/NathanBLawrence/status/806170579879526402", "806170579879526402")</f>
        <v/>
      </c>
      <c r="B1978" s="2" t="n">
        <v>42710.67844907408</v>
      </c>
      <c r="C1978" t="n">
        <v>0</v>
      </c>
      <c r="D1978" t="n">
        <v>95</v>
      </c>
      <c r="E1978" t="s">
        <v>1983</v>
      </c>
      <c r="F1978">
        <f>HYPERLINK("http://pbs.twimg.com/media/CzABzaVUcAA8SvF.jpg", "http://pbs.twimg.com/media/CzABzaVUcAA8SvF.jpg")</f>
        <v/>
      </c>
      <c r="G1978" t="s"/>
      <c r="H1978" t="s"/>
      <c r="I1978" t="s"/>
      <c r="J1978" t="n">
        <v>-0.2617</v>
      </c>
      <c r="K1978" t="n">
        <v>0.079</v>
      </c>
      <c r="L1978" t="n">
        <v>0.921</v>
      </c>
      <c r="M1978" t="n">
        <v>0</v>
      </c>
    </row>
    <row r="1979" spans="1:13">
      <c r="A1979" s="1">
        <f>HYPERLINK("http://www.twitter.com/NathanBLawrence/status/806169139236716544", "806169139236716544")</f>
        <v/>
      </c>
      <c r="B1979" s="2" t="n">
        <v>42710.67447916666</v>
      </c>
      <c r="C1979" t="n">
        <v>0</v>
      </c>
      <c r="D1979" t="n">
        <v>695</v>
      </c>
      <c r="E1979" t="s">
        <v>1984</v>
      </c>
      <c r="F1979">
        <f>HYPERLINK("http://pbs.twimg.com/media/Cy_5l1ZXgAEJr30.jpg", "http://pbs.twimg.com/media/Cy_5l1ZXgAEJr30.jpg")</f>
        <v/>
      </c>
      <c r="G1979" t="s"/>
      <c r="H1979" t="s"/>
      <c r="I1979" t="s"/>
      <c r="J1979" t="n">
        <v>0</v>
      </c>
      <c r="K1979" t="n">
        <v>0</v>
      </c>
      <c r="L1979" t="n">
        <v>1</v>
      </c>
      <c r="M1979" t="n">
        <v>0</v>
      </c>
    </row>
    <row r="1980" spans="1:13">
      <c r="A1980" s="1">
        <f>HYPERLINK("http://www.twitter.com/NathanBLawrence/status/806166094117568513", "806166094117568513")</f>
        <v/>
      </c>
      <c r="B1980" s="2" t="n">
        <v>42710.66607638889</v>
      </c>
      <c r="C1980" t="n">
        <v>0</v>
      </c>
      <c r="D1980" t="n">
        <v>3151</v>
      </c>
      <c r="E1980" t="s">
        <v>1985</v>
      </c>
      <c r="F1980" t="s"/>
      <c r="G1980" t="s"/>
      <c r="H1980" t="s"/>
      <c r="I1980" t="s"/>
      <c r="J1980" t="n">
        <v>-0.3071</v>
      </c>
      <c r="K1980" t="n">
        <v>0.155</v>
      </c>
      <c r="L1980" t="n">
        <v>0.742</v>
      </c>
      <c r="M1980" t="n">
        <v>0.103</v>
      </c>
    </row>
    <row r="1981" spans="1:13">
      <c r="A1981" s="1">
        <f>HYPERLINK("http://www.twitter.com/NathanBLawrence/status/806166079408107520", "806166079408107520")</f>
        <v/>
      </c>
      <c r="B1981" s="2" t="n">
        <v>42710.66603009259</v>
      </c>
      <c r="C1981" t="n">
        <v>0</v>
      </c>
      <c r="D1981" t="n">
        <v>2279</v>
      </c>
      <c r="E1981" t="s">
        <v>1986</v>
      </c>
      <c r="F1981">
        <f>HYPERLINK("https://video.twimg.com/amplify_video/806083666434629632/vid/480x360/DTqKwPlNgihoFs0_.mp4", "https://video.twimg.com/amplify_video/806083666434629632/vid/480x360/DTqKwPlNgihoFs0_.mp4")</f>
        <v/>
      </c>
      <c r="G1981" t="s"/>
      <c r="H1981" t="s"/>
      <c r="I1981" t="s"/>
      <c r="J1981" t="n">
        <v>-0.5994</v>
      </c>
      <c r="K1981" t="n">
        <v>0.259</v>
      </c>
      <c r="L1981" t="n">
        <v>0.741</v>
      </c>
      <c r="M1981" t="n">
        <v>0</v>
      </c>
    </row>
    <row r="1982" spans="1:13">
      <c r="A1982" s="1">
        <f>HYPERLINK("http://www.twitter.com/NathanBLawrence/status/805989599029972992", "805989599029972992")</f>
        <v/>
      </c>
      <c r="B1982" s="2" t="n">
        <v>42710.17903935185</v>
      </c>
      <c r="C1982" t="n">
        <v>0</v>
      </c>
      <c r="D1982" t="n">
        <v>3750</v>
      </c>
      <c r="E1982" t="s">
        <v>1987</v>
      </c>
      <c r="F1982" t="s"/>
      <c r="G1982" t="s"/>
      <c r="H1982" t="s"/>
      <c r="I1982" t="s"/>
      <c r="J1982" t="n">
        <v>-0.3612</v>
      </c>
      <c r="K1982" t="n">
        <v>0.169</v>
      </c>
      <c r="L1982" t="n">
        <v>0.731</v>
      </c>
      <c r="M1982" t="n">
        <v>0.1</v>
      </c>
    </row>
    <row r="1983" spans="1:13">
      <c r="A1983" s="1">
        <f>HYPERLINK("http://www.twitter.com/NathanBLawrence/status/805984818198671360", "805984818198671360")</f>
        <v/>
      </c>
      <c r="B1983" s="2" t="n">
        <v>42710.16584490741</v>
      </c>
      <c r="C1983" t="n">
        <v>0</v>
      </c>
      <c r="D1983" t="n">
        <v>2052</v>
      </c>
      <c r="E1983" t="s">
        <v>1988</v>
      </c>
      <c r="F1983">
        <f>HYPERLINK("http://pbs.twimg.com/media/Cy9ekhlXEAEe00Q.jpg", "http://pbs.twimg.com/media/Cy9ekhlXEAEe00Q.jpg")</f>
        <v/>
      </c>
      <c r="G1983" t="s"/>
      <c r="H1983" t="s"/>
      <c r="I1983" t="s"/>
      <c r="J1983" t="n">
        <v>-0.4767</v>
      </c>
      <c r="K1983" t="n">
        <v>0.114</v>
      </c>
      <c r="L1983" t="n">
        <v>0.886</v>
      </c>
      <c r="M1983" t="n">
        <v>0</v>
      </c>
    </row>
    <row r="1984" spans="1:13">
      <c r="A1984" s="1">
        <f>HYPERLINK("http://www.twitter.com/NathanBLawrence/status/805878025711681536", "805878025711681536")</f>
        <v/>
      </c>
      <c r="B1984" s="2" t="n">
        <v>42709.8711574074</v>
      </c>
      <c r="C1984" t="n">
        <v>0</v>
      </c>
      <c r="D1984" t="n">
        <v>1641</v>
      </c>
      <c r="E1984" t="s">
        <v>1989</v>
      </c>
      <c r="F1984" t="s"/>
      <c r="G1984" t="s"/>
      <c r="H1984" t="s"/>
      <c r="I1984" t="s"/>
      <c r="J1984" t="n">
        <v>-0.4215</v>
      </c>
      <c r="K1984" t="n">
        <v>0.16</v>
      </c>
      <c r="L1984" t="n">
        <v>0.84</v>
      </c>
      <c r="M1984" t="n">
        <v>0</v>
      </c>
    </row>
    <row r="1985" spans="1:13">
      <c r="A1985" s="1">
        <f>HYPERLINK("http://www.twitter.com/NathanBLawrence/status/805877544637571072", "805877544637571072")</f>
        <v/>
      </c>
      <c r="B1985" s="2" t="n">
        <v>42709.86982638889</v>
      </c>
      <c r="C1985" t="n">
        <v>0</v>
      </c>
      <c r="D1985" t="n">
        <v>10199</v>
      </c>
      <c r="E1985" t="s">
        <v>1990</v>
      </c>
      <c r="F1985">
        <f>HYPERLINK("http://pbs.twimg.com/media/Cy8F1tyW8AAv4tI.jpg", "http://pbs.twimg.com/media/Cy8F1tyW8AAv4tI.jpg")</f>
        <v/>
      </c>
      <c r="G1985" t="s"/>
      <c r="H1985" t="s"/>
      <c r="I1985" t="s"/>
      <c r="J1985" t="n">
        <v>0</v>
      </c>
      <c r="K1985" t="n">
        <v>0</v>
      </c>
      <c r="L1985" t="n">
        <v>1</v>
      </c>
      <c r="M1985" t="n">
        <v>0</v>
      </c>
    </row>
    <row r="1986" spans="1:13">
      <c r="A1986" s="1">
        <f>HYPERLINK("http://www.twitter.com/NathanBLawrence/status/805876951462318080", "805876951462318080")</f>
        <v/>
      </c>
      <c r="B1986" s="2" t="n">
        <v>42709.86819444445</v>
      </c>
      <c r="C1986" t="n">
        <v>0</v>
      </c>
      <c r="D1986" t="n">
        <v>8433</v>
      </c>
      <c r="E1986" t="s">
        <v>1991</v>
      </c>
      <c r="F1986" t="s"/>
      <c r="G1986" t="s"/>
      <c r="H1986" t="s"/>
      <c r="I1986" t="s"/>
      <c r="J1986" t="n">
        <v>0</v>
      </c>
      <c r="K1986" t="n">
        <v>0</v>
      </c>
      <c r="L1986" t="n">
        <v>1</v>
      </c>
      <c r="M1986" t="n">
        <v>0</v>
      </c>
    </row>
    <row r="1987" spans="1:13">
      <c r="A1987" s="1">
        <f>HYPERLINK("http://www.twitter.com/NathanBLawrence/status/805876850237075456", "805876850237075456")</f>
        <v/>
      </c>
      <c r="B1987" s="2" t="n">
        <v>42709.86791666667</v>
      </c>
      <c r="C1987" t="n">
        <v>0</v>
      </c>
      <c r="D1987" t="n">
        <v>741</v>
      </c>
      <c r="E1987" t="s">
        <v>1992</v>
      </c>
      <c r="F1987" t="s"/>
      <c r="G1987" t="s"/>
      <c r="H1987" t="s"/>
      <c r="I1987" t="s"/>
      <c r="J1987" t="n">
        <v>0</v>
      </c>
      <c r="K1987" t="n">
        <v>0</v>
      </c>
      <c r="L1987" t="n">
        <v>1</v>
      </c>
      <c r="M1987" t="n">
        <v>0</v>
      </c>
    </row>
    <row r="1988" spans="1:13">
      <c r="A1988" s="1">
        <f>HYPERLINK("http://www.twitter.com/NathanBLawrence/status/805815211357798400", "805815211357798400")</f>
        <v/>
      </c>
      <c r="B1988" s="2" t="n">
        <v>42709.69782407407</v>
      </c>
      <c r="C1988" t="n">
        <v>0</v>
      </c>
      <c r="D1988" t="n">
        <v>1271</v>
      </c>
      <c r="E1988" t="s">
        <v>1993</v>
      </c>
      <c r="F1988" t="s"/>
      <c r="G1988" t="s"/>
      <c r="H1988" t="s"/>
      <c r="I1988" t="s"/>
      <c r="J1988" t="n">
        <v>0</v>
      </c>
      <c r="K1988" t="n">
        <v>0</v>
      </c>
      <c r="L1988" t="n">
        <v>1</v>
      </c>
      <c r="M1988" t="n">
        <v>0</v>
      </c>
    </row>
    <row r="1989" spans="1:13">
      <c r="A1989" s="1">
        <f>HYPERLINK("http://www.twitter.com/NathanBLawrence/status/805815045229780992", "805815045229780992")</f>
        <v/>
      </c>
      <c r="B1989" s="2" t="n">
        <v>42709.69736111111</v>
      </c>
      <c r="C1989" t="n">
        <v>0</v>
      </c>
      <c r="D1989" t="n">
        <v>70</v>
      </c>
      <c r="E1989" t="s">
        <v>1994</v>
      </c>
      <c r="F1989" t="s"/>
      <c r="G1989" t="s"/>
      <c r="H1989" t="s"/>
      <c r="I1989" t="s"/>
      <c r="J1989" t="n">
        <v>-0.3818</v>
      </c>
      <c r="K1989" t="n">
        <v>0.211</v>
      </c>
      <c r="L1989" t="n">
        <v>0.669</v>
      </c>
      <c r="M1989" t="n">
        <v>0.12</v>
      </c>
    </row>
    <row r="1990" spans="1:13">
      <c r="A1990" s="1">
        <f>HYPERLINK("http://www.twitter.com/NathanBLawrence/status/805589271289663488", "805589271289663488")</f>
        <v/>
      </c>
      <c r="B1990" s="2" t="n">
        <v>42709.07435185185</v>
      </c>
      <c r="C1990" t="n">
        <v>0</v>
      </c>
      <c r="D1990" t="n">
        <v>7517</v>
      </c>
      <c r="E1990" t="s">
        <v>1995</v>
      </c>
      <c r="F1990" t="s"/>
      <c r="G1990" t="s"/>
      <c r="H1990" t="s"/>
      <c r="I1990" t="s"/>
      <c r="J1990" t="n">
        <v>0.25</v>
      </c>
      <c r="K1990" t="n">
        <v>0.118</v>
      </c>
      <c r="L1990" t="n">
        <v>0.6870000000000001</v>
      </c>
      <c r="M1990" t="n">
        <v>0.195</v>
      </c>
    </row>
    <row r="1991" spans="1:13">
      <c r="A1991" s="1">
        <f>HYPERLINK("http://www.twitter.com/NathanBLawrence/status/805451662999646209", "805451662999646209")</f>
        <v/>
      </c>
      <c r="B1991" s="2" t="n">
        <v>42708.69461805555</v>
      </c>
      <c r="C1991" t="n">
        <v>0</v>
      </c>
      <c r="D1991" t="n">
        <v>968</v>
      </c>
      <c r="E1991" t="s">
        <v>1996</v>
      </c>
      <c r="F1991" t="s"/>
      <c r="G1991" t="s"/>
      <c r="H1991" t="s"/>
      <c r="I1991" t="s"/>
      <c r="J1991" t="n">
        <v>0.4019</v>
      </c>
      <c r="K1991" t="n">
        <v>0</v>
      </c>
      <c r="L1991" t="n">
        <v>0.769</v>
      </c>
      <c r="M1991" t="n">
        <v>0.231</v>
      </c>
    </row>
    <row r="1992" spans="1:13">
      <c r="A1992" s="1">
        <f>HYPERLINK("http://www.twitter.com/NathanBLawrence/status/805222324115034116", "805222324115034116")</f>
        <v/>
      </c>
      <c r="B1992" s="2" t="n">
        <v>42708.06177083333</v>
      </c>
      <c r="C1992" t="n">
        <v>0</v>
      </c>
      <c r="D1992" t="n">
        <v>498</v>
      </c>
      <c r="E1992" t="s">
        <v>1997</v>
      </c>
      <c r="F1992">
        <f>HYPERLINK("http://pbs.twimg.com/media/Cyy3DT1XcAEHHzB.jpg", "http://pbs.twimg.com/media/Cyy3DT1XcAEHHzB.jpg")</f>
        <v/>
      </c>
      <c r="G1992" t="s"/>
      <c r="H1992" t="s"/>
      <c r="I1992" t="s"/>
      <c r="J1992" t="n">
        <v>-0.2263</v>
      </c>
      <c r="K1992" t="n">
        <v>0.248</v>
      </c>
      <c r="L1992" t="n">
        <v>0.5590000000000001</v>
      </c>
      <c r="M1992" t="n">
        <v>0.193</v>
      </c>
    </row>
    <row r="1993" spans="1:13">
      <c r="A1993" s="1">
        <f>HYPERLINK("http://www.twitter.com/NathanBLawrence/status/805219026452484096", "805219026452484096")</f>
        <v/>
      </c>
      <c r="B1993" s="2" t="n">
        <v>42708.05266203704</v>
      </c>
      <c r="C1993" t="n">
        <v>0</v>
      </c>
      <c r="D1993" t="n">
        <v>564</v>
      </c>
      <c r="E1993" t="s">
        <v>1998</v>
      </c>
      <c r="F1993">
        <f>HYPERLINK("http://pbs.twimg.com/media/CyydnR0VEAANuNc.jpg", "http://pbs.twimg.com/media/CyydnR0VEAANuNc.jpg")</f>
        <v/>
      </c>
      <c r="G1993" t="s"/>
      <c r="H1993" t="s"/>
      <c r="I1993" t="s"/>
      <c r="J1993" t="n">
        <v>-0.1759</v>
      </c>
      <c r="K1993" t="n">
        <v>0.08599999999999999</v>
      </c>
      <c r="L1993" t="n">
        <v>0.914</v>
      </c>
      <c r="M1993" t="n">
        <v>0</v>
      </c>
    </row>
    <row r="1994" spans="1:13">
      <c r="A1994" s="1">
        <f>HYPERLINK("http://www.twitter.com/NathanBLawrence/status/805205767250935808", "805205767250935808")</f>
        <v/>
      </c>
      <c r="B1994" s="2" t="n">
        <v>42708.01607638889</v>
      </c>
      <c r="C1994" t="n">
        <v>0</v>
      </c>
      <c r="D1994" t="n">
        <v>9</v>
      </c>
      <c r="E1994" t="s">
        <v>1999</v>
      </c>
      <c r="F1994" t="s"/>
      <c r="G1994" t="s"/>
      <c r="H1994" t="s"/>
      <c r="I1994" t="s"/>
      <c r="J1994" t="n">
        <v>-0.1531</v>
      </c>
      <c r="K1994" t="n">
        <v>0.143</v>
      </c>
      <c r="L1994" t="n">
        <v>0.739</v>
      </c>
      <c r="M1994" t="n">
        <v>0.117</v>
      </c>
    </row>
    <row r="1995" spans="1:13">
      <c r="A1995" s="1">
        <f>HYPERLINK("http://www.twitter.com/NathanBLawrence/status/805154816104288257", "805154816104288257")</f>
        <v/>
      </c>
      <c r="B1995" s="2" t="n">
        <v>42707.87547453704</v>
      </c>
      <c r="C1995" t="n">
        <v>0</v>
      </c>
      <c r="D1995" t="n">
        <v>2385</v>
      </c>
      <c r="E1995" t="s">
        <v>2000</v>
      </c>
      <c r="F1995" t="s"/>
      <c r="G1995" t="s"/>
      <c r="H1995" t="s"/>
      <c r="I1995" t="s"/>
      <c r="J1995" t="n">
        <v>-0.3612</v>
      </c>
      <c r="K1995" t="n">
        <v>0.142</v>
      </c>
      <c r="L1995" t="n">
        <v>0.772</v>
      </c>
      <c r="M1995" t="n">
        <v>0.08599999999999999</v>
      </c>
    </row>
    <row r="1996" spans="1:13">
      <c r="A1996" s="1">
        <f>HYPERLINK("http://www.twitter.com/NathanBLawrence/status/805093757737697280", "805093757737697280")</f>
        <v/>
      </c>
      <c r="B1996" s="2" t="n">
        <v>42707.70699074074</v>
      </c>
      <c r="C1996" t="n">
        <v>0</v>
      </c>
      <c r="D1996" t="n">
        <v>1245</v>
      </c>
      <c r="E1996" t="s">
        <v>2001</v>
      </c>
      <c r="F1996">
        <f>HYPERLINK("http://pbs.twimg.com/media/CywuXxJUQAAJ11b.jpg", "http://pbs.twimg.com/media/CywuXxJUQAAJ11b.jpg")</f>
        <v/>
      </c>
      <c r="G1996" t="s"/>
      <c r="H1996" t="s"/>
      <c r="I1996" t="s"/>
      <c r="J1996" t="n">
        <v>0</v>
      </c>
      <c r="K1996" t="n">
        <v>0</v>
      </c>
      <c r="L1996" t="n">
        <v>1</v>
      </c>
      <c r="M1996" t="n">
        <v>0</v>
      </c>
    </row>
    <row r="1997" spans="1:13">
      <c r="A1997" s="1">
        <f>HYPERLINK("http://www.twitter.com/NathanBLawrence/status/805089097509404673", "805089097509404673")</f>
        <v/>
      </c>
      <c r="B1997" s="2" t="n">
        <v>42707.69413194444</v>
      </c>
      <c r="C1997" t="n">
        <v>0</v>
      </c>
      <c r="D1997" t="n">
        <v>174</v>
      </c>
      <c r="E1997" t="s">
        <v>2002</v>
      </c>
      <c r="F1997">
        <f>HYPERLINK("http://pbs.twimg.com/media/Cyw7DLXVQMor-ac.jpg", "http://pbs.twimg.com/media/Cyw7DLXVQMor-ac.jpg")</f>
        <v/>
      </c>
      <c r="G1997" t="s"/>
      <c r="H1997" t="s"/>
      <c r="I1997" t="s"/>
      <c r="J1997" t="n">
        <v>-0.5574</v>
      </c>
      <c r="K1997" t="n">
        <v>0.25</v>
      </c>
      <c r="L1997" t="n">
        <v>0.66</v>
      </c>
      <c r="M1997" t="n">
        <v>0.09</v>
      </c>
    </row>
    <row r="1998" spans="1:13">
      <c r="A1998" s="1">
        <f>HYPERLINK("http://www.twitter.com/NathanBLawrence/status/805088981939585024", "805088981939585024")</f>
        <v/>
      </c>
      <c r="B1998" s="2" t="n">
        <v>42707.69380787037</v>
      </c>
      <c r="C1998" t="n">
        <v>0</v>
      </c>
      <c r="D1998" t="n">
        <v>222</v>
      </c>
      <c r="E1998" t="s">
        <v>2003</v>
      </c>
      <c r="F1998">
        <f>HYPERLINK("http://pbs.twimg.com/media/Cyw9DDsUAAAwfS7.jpg", "http://pbs.twimg.com/media/Cyw9DDsUAAAwfS7.jpg")</f>
        <v/>
      </c>
      <c r="G1998" t="s"/>
      <c r="H1998" t="s"/>
      <c r="I1998" t="s"/>
      <c r="J1998" t="n">
        <v>0.3182</v>
      </c>
      <c r="K1998" t="n">
        <v>0</v>
      </c>
      <c r="L1998" t="n">
        <v>0.887</v>
      </c>
      <c r="M1998" t="n">
        <v>0.113</v>
      </c>
    </row>
    <row r="1999" spans="1:13">
      <c r="A1999" s="1">
        <f>HYPERLINK("http://www.twitter.com/NathanBLawrence/status/805088871553921025", "805088871553921025")</f>
        <v/>
      </c>
      <c r="B1999" s="2" t="n">
        <v>42707.69350694444</v>
      </c>
      <c r="C1999" t="n">
        <v>0</v>
      </c>
      <c r="D1999" t="n">
        <v>460</v>
      </c>
      <c r="E1999" t="s">
        <v>2004</v>
      </c>
      <c r="F1999">
        <f>HYPERLINK("http://pbs.twimg.com/media/Cyw3wP7WIAAAFp3.jpg", "http://pbs.twimg.com/media/Cyw3wP7WIAAAFp3.jpg")</f>
        <v/>
      </c>
      <c r="G1999" t="s"/>
      <c r="H1999" t="s"/>
      <c r="I1999" t="s"/>
      <c r="J1999" t="n">
        <v>0</v>
      </c>
      <c r="K1999" t="n">
        <v>0</v>
      </c>
      <c r="L1999" t="n">
        <v>1</v>
      </c>
      <c r="M1999" t="n">
        <v>0</v>
      </c>
    </row>
    <row r="2000" spans="1:13">
      <c r="A2000" s="1">
        <f>HYPERLINK("http://www.twitter.com/NathanBLawrence/status/805087698478387200", "805087698478387200")</f>
        <v/>
      </c>
      <c r="B2000" s="2" t="n">
        <v>42707.6902662037</v>
      </c>
      <c r="C2000" t="n">
        <v>0</v>
      </c>
      <c r="D2000" t="n">
        <v>234</v>
      </c>
      <c r="E2000" t="s">
        <v>2005</v>
      </c>
      <c r="F2000">
        <f>HYPERLINK("http://pbs.twimg.com/media/Cyw0ZSCXcAAMgtA.jpg", "http://pbs.twimg.com/media/Cyw0ZSCXcAAMgtA.jpg")</f>
        <v/>
      </c>
      <c r="G2000" t="s"/>
      <c r="H2000" t="s"/>
      <c r="I2000" t="s"/>
      <c r="J2000" t="n">
        <v>-0.802</v>
      </c>
      <c r="K2000" t="n">
        <v>0.313</v>
      </c>
      <c r="L2000" t="n">
        <v>0.6870000000000001</v>
      </c>
      <c r="M2000" t="n">
        <v>0</v>
      </c>
    </row>
    <row r="2001" spans="1:13">
      <c r="A2001" s="1">
        <f>HYPERLINK("http://www.twitter.com/NathanBLawrence/status/805043161110298624", "805043161110298624")</f>
        <v/>
      </c>
      <c r="B2001" s="2" t="n">
        <v>42707.56737268518</v>
      </c>
      <c r="C2001" t="n">
        <v>0</v>
      </c>
      <c r="D2001" t="n">
        <v>5680</v>
      </c>
      <c r="E2001" t="s">
        <v>2006</v>
      </c>
      <c r="F2001">
        <f>HYPERLINK("http://pbs.twimg.com/media/CyskXmaUkAAyuXG.jpg", "http://pbs.twimg.com/media/CyskXmaUkAAyuXG.jpg")</f>
        <v/>
      </c>
      <c r="G2001" t="s"/>
      <c r="H2001" t="s"/>
      <c r="I2001" t="s"/>
      <c r="J2001" t="n">
        <v>0</v>
      </c>
      <c r="K2001" t="n">
        <v>0</v>
      </c>
      <c r="L2001" t="n">
        <v>1</v>
      </c>
      <c r="M2001" t="n">
        <v>0</v>
      </c>
    </row>
    <row r="2002" spans="1:13">
      <c r="A2002" s="1">
        <f>HYPERLINK("http://www.twitter.com/NathanBLawrence/status/804892508417363968", "804892508417363968")</f>
        <v/>
      </c>
      <c r="B2002" s="2" t="n">
        <v>42707.15164351852</v>
      </c>
      <c r="C2002" t="n">
        <v>0</v>
      </c>
      <c r="D2002" t="n">
        <v>1854</v>
      </c>
      <c r="E2002" t="s">
        <v>2007</v>
      </c>
      <c r="F2002" t="s"/>
      <c r="G2002" t="s"/>
      <c r="H2002" t="s"/>
      <c r="I2002" t="s"/>
      <c r="J2002" t="n">
        <v>-0.1027</v>
      </c>
      <c r="K2002" t="n">
        <v>0.08</v>
      </c>
      <c r="L2002" t="n">
        <v>0.92</v>
      </c>
      <c r="M2002" t="n">
        <v>0</v>
      </c>
    </row>
    <row r="2003" spans="1:13">
      <c r="A2003" s="1">
        <f>HYPERLINK("http://www.twitter.com/NathanBLawrence/status/804892203608928260", "804892203608928260")</f>
        <v/>
      </c>
      <c r="B2003" s="2" t="n">
        <v>42707.15081018519</v>
      </c>
      <c r="C2003" t="n">
        <v>0</v>
      </c>
      <c r="D2003" t="n">
        <v>255</v>
      </c>
      <c r="E2003" t="s">
        <v>2008</v>
      </c>
      <c r="F2003">
        <f>HYPERLINK("http://pbs.twimg.com/media/CyuL6TJUsAAJmWc.jpg", "http://pbs.twimg.com/media/CyuL6TJUsAAJmWc.jpg")</f>
        <v/>
      </c>
      <c r="G2003" t="s"/>
      <c r="H2003" t="s"/>
      <c r="I2003" t="s"/>
      <c r="J2003" t="n">
        <v>0.8122</v>
      </c>
      <c r="K2003" t="n">
        <v>0</v>
      </c>
      <c r="L2003" t="n">
        <v>0.709</v>
      </c>
      <c r="M2003" t="n">
        <v>0.291</v>
      </c>
    </row>
    <row r="2004" spans="1:13">
      <c r="A2004" s="1">
        <f>HYPERLINK("http://www.twitter.com/NathanBLawrence/status/804884145071681536", "804884145071681536")</f>
        <v/>
      </c>
      <c r="B2004" s="2" t="n">
        <v>42707.12856481481</v>
      </c>
      <c r="C2004" t="n">
        <v>0</v>
      </c>
      <c r="D2004" t="n">
        <v>1799</v>
      </c>
      <c r="E2004" t="s">
        <v>2009</v>
      </c>
      <c r="F2004" t="s"/>
      <c r="G2004" t="s"/>
      <c r="H2004" t="s"/>
      <c r="I2004" t="s"/>
      <c r="J2004" t="n">
        <v>-0.6322</v>
      </c>
      <c r="K2004" t="n">
        <v>0.172</v>
      </c>
      <c r="L2004" t="n">
        <v>0.828</v>
      </c>
      <c r="M2004" t="n">
        <v>0</v>
      </c>
    </row>
    <row r="2005" spans="1:13">
      <c r="A2005" s="1">
        <f>HYPERLINK("http://www.twitter.com/NathanBLawrence/status/804833800366813184", "804833800366813184")</f>
        <v/>
      </c>
      <c r="B2005" s="2" t="n">
        <v>42706.98964120371</v>
      </c>
      <c r="C2005" t="n">
        <v>0</v>
      </c>
      <c r="D2005" t="n">
        <v>376</v>
      </c>
      <c r="E2005" t="s">
        <v>2010</v>
      </c>
      <c r="F2005" t="s"/>
      <c r="G2005" t="s"/>
      <c r="H2005" t="s"/>
      <c r="I2005" t="s"/>
      <c r="J2005" t="n">
        <v>0.1531</v>
      </c>
      <c r="K2005" t="n">
        <v>0.11</v>
      </c>
      <c r="L2005" t="n">
        <v>0.758</v>
      </c>
      <c r="M2005" t="n">
        <v>0.133</v>
      </c>
    </row>
    <row r="2006" spans="1:13">
      <c r="A2006" s="1">
        <f>HYPERLINK("http://www.twitter.com/NathanBLawrence/status/804832885496803328", "804832885496803328")</f>
        <v/>
      </c>
      <c r="B2006" s="2" t="n">
        <v>42706.98711805556</v>
      </c>
      <c r="C2006" t="n">
        <v>0</v>
      </c>
      <c r="D2006" t="n">
        <v>9</v>
      </c>
      <c r="E2006" t="s">
        <v>2011</v>
      </c>
      <c r="F2006" t="s"/>
      <c r="G2006" t="s"/>
      <c r="H2006" t="s"/>
      <c r="I2006" t="s"/>
      <c r="J2006" t="n">
        <v>0.3182</v>
      </c>
      <c r="K2006" t="n">
        <v>0</v>
      </c>
      <c r="L2006" t="n">
        <v>0.874</v>
      </c>
      <c r="M2006" t="n">
        <v>0.126</v>
      </c>
    </row>
    <row r="2007" spans="1:13">
      <c r="A2007" s="1">
        <f>HYPERLINK("http://www.twitter.com/NathanBLawrence/status/804832661806206977", "804832661806206977")</f>
        <v/>
      </c>
      <c r="B2007" s="2" t="n">
        <v>42706.98650462963</v>
      </c>
      <c r="C2007" t="n">
        <v>0</v>
      </c>
      <c r="D2007" t="n">
        <v>210</v>
      </c>
      <c r="E2007" t="s">
        <v>2012</v>
      </c>
      <c r="F2007" t="s"/>
      <c r="G2007" t="s"/>
      <c r="H2007" t="s"/>
      <c r="I2007" t="s"/>
      <c r="J2007" t="n">
        <v>0.2732</v>
      </c>
      <c r="K2007" t="n">
        <v>0</v>
      </c>
      <c r="L2007" t="n">
        <v>0.909</v>
      </c>
      <c r="M2007" t="n">
        <v>0.091</v>
      </c>
    </row>
    <row r="2008" spans="1:13">
      <c r="A2008" s="1">
        <f>HYPERLINK("http://www.twitter.com/NathanBLawrence/status/804788276364275716", "804788276364275716")</f>
        <v/>
      </c>
      <c r="B2008" s="2" t="n">
        <v>42706.8640162037</v>
      </c>
      <c r="C2008" t="n">
        <v>0</v>
      </c>
      <c r="D2008" t="n">
        <v>2317</v>
      </c>
      <c r="E2008" t="s">
        <v>2013</v>
      </c>
      <c r="F2008" t="s"/>
      <c r="G2008" t="s"/>
      <c r="H2008" t="s"/>
      <c r="I2008" t="s"/>
      <c r="J2008" t="n">
        <v>0.25</v>
      </c>
      <c r="K2008" t="n">
        <v>0</v>
      </c>
      <c r="L2008" t="n">
        <v>0.846</v>
      </c>
      <c r="M2008" t="n">
        <v>0.154</v>
      </c>
    </row>
    <row r="2009" spans="1:13">
      <c r="A2009" s="1">
        <f>HYPERLINK("http://www.twitter.com/NathanBLawrence/status/804713477982011392", "804713477982011392")</f>
        <v/>
      </c>
      <c r="B2009" s="2" t="n">
        <v>42706.65761574074</v>
      </c>
      <c r="C2009" t="n">
        <v>0</v>
      </c>
      <c r="D2009" t="n">
        <v>539</v>
      </c>
      <c r="E2009" t="s">
        <v>2014</v>
      </c>
      <c r="F2009">
        <f>HYPERLINK("https://video.twimg.com/ext_tw_video/803788350414958592/pu/vid/224x180/Lqpgf0233XEuca5Z.mp4", "https://video.twimg.com/ext_tw_video/803788350414958592/pu/vid/224x180/Lqpgf0233XEuca5Z.mp4")</f>
        <v/>
      </c>
      <c r="G2009" t="s"/>
      <c r="H2009" t="s"/>
      <c r="I2009" t="s"/>
      <c r="J2009" t="n">
        <v>0.7579</v>
      </c>
      <c r="K2009" t="n">
        <v>0</v>
      </c>
      <c r="L2009" t="n">
        <v>0.552</v>
      </c>
      <c r="M2009" t="n">
        <v>0.448</v>
      </c>
    </row>
    <row r="2010" spans="1:13">
      <c r="A2010" s="1">
        <f>HYPERLINK("http://www.twitter.com/NathanBLawrence/status/804712403858554881", "804712403858554881")</f>
        <v/>
      </c>
      <c r="B2010" s="2" t="n">
        <v>42706.65465277778</v>
      </c>
      <c r="C2010" t="n">
        <v>0</v>
      </c>
      <c r="D2010" t="n">
        <v>56</v>
      </c>
      <c r="E2010" t="s">
        <v>2015</v>
      </c>
      <c r="F2010" t="s"/>
      <c r="G2010" t="s"/>
      <c r="H2010" t="s"/>
      <c r="I2010" t="s"/>
      <c r="J2010" t="n">
        <v>0.3182</v>
      </c>
      <c r="K2010" t="n">
        <v>0</v>
      </c>
      <c r="L2010" t="n">
        <v>0.827</v>
      </c>
      <c r="M2010" t="n">
        <v>0.173</v>
      </c>
    </row>
    <row r="2011" spans="1:13">
      <c r="A2011" s="1">
        <f>HYPERLINK("http://www.twitter.com/NathanBLawrence/status/804697685777403904", "804697685777403904")</f>
        <v/>
      </c>
      <c r="B2011" s="2" t="n">
        <v>42706.61403935185</v>
      </c>
      <c r="C2011" t="n">
        <v>0</v>
      </c>
      <c r="D2011" t="n">
        <v>4511</v>
      </c>
      <c r="E2011" t="s">
        <v>2016</v>
      </c>
      <c r="F2011">
        <f>HYPERLINK("https://video.twimg.com/amplify_video/804653942072348677/vid/1280x720/kIm1FPke4B9HtOKO.mp4", "https://video.twimg.com/amplify_video/804653942072348677/vid/1280x720/kIm1FPke4B9HtOKO.mp4")</f>
        <v/>
      </c>
      <c r="G2011" t="s"/>
      <c r="H2011" t="s"/>
      <c r="I2011" t="s"/>
      <c r="J2011" t="n">
        <v>0</v>
      </c>
      <c r="K2011" t="n">
        <v>0</v>
      </c>
      <c r="L2011" t="n">
        <v>1</v>
      </c>
      <c r="M2011" t="n">
        <v>0</v>
      </c>
    </row>
    <row r="2012" spans="1:13">
      <c r="A2012" s="1">
        <f>HYPERLINK("http://www.twitter.com/NathanBLawrence/status/804499736195637248", "804499736195637248")</f>
        <v/>
      </c>
      <c r="B2012" s="2" t="n">
        <v>42706.06780092593</v>
      </c>
      <c r="C2012" t="n">
        <v>0</v>
      </c>
      <c r="D2012" t="n">
        <v>2050</v>
      </c>
      <c r="E2012" t="s">
        <v>2017</v>
      </c>
      <c r="F2012" t="s"/>
      <c r="G2012" t="s"/>
      <c r="H2012" t="s"/>
      <c r="I2012" t="s"/>
      <c r="J2012" t="n">
        <v>0.34</v>
      </c>
      <c r="K2012" t="n">
        <v>0</v>
      </c>
      <c r="L2012" t="n">
        <v>0.897</v>
      </c>
      <c r="M2012" t="n">
        <v>0.103</v>
      </c>
    </row>
    <row r="2013" spans="1:13">
      <c r="A2013" s="1">
        <f>HYPERLINK("http://www.twitter.com/NathanBLawrence/status/804492894048501760", "804492894048501760")</f>
        <v/>
      </c>
      <c r="B2013" s="2" t="n">
        <v>42706.04892361111</v>
      </c>
      <c r="C2013" t="n">
        <v>0</v>
      </c>
      <c r="D2013" t="n">
        <v>26</v>
      </c>
      <c r="E2013" t="s">
        <v>2018</v>
      </c>
      <c r="F2013" t="s"/>
      <c r="G2013" t="s"/>
      <c r="H2013" t="s"/>
      <c r="I2013" t="s"/>
      <c r="J2013" t="n">
        <v>0.6369</v>
      </c>
      <c r="K2013" t="n">
        <v>0</v>
      </c>
      <c r="L2013" t="n">
        <v>0.788</v>
      </c>
      <c r="M2013" t="n">
        <v>0.212</v>
      </c>
    </row>
    <row r="2014" spans="1:13">
      <c r="A2014" s="1">
        <f>HYPERLINK("http://www.twitter.com/NathanBLawrence/status/804428106345877504", "804428106345877504")</f>
        <v/>
      </c>
      <c r="B2014" s="2" t="n">
        <v>42705.87013888889</v>
      </c>
      <c r="C2014" t="n">
        <v>0</v>
      </c>
      <c r="D2014" t="n">
        <v>769</v>
      </c>
      <c r="E2014" t="s">
        <v>2019</v>
      </c>
      <c r="F2014">
        <f>HYPERLINK("http://pbs.twimg.com/media/CyjEad6XEAACzXk.jpg", "http://pbs.twimg.com/media/CyjEad6XEAACzXk.jpg")</f>
        <v/>
      </c>
      <c r="G2014" t="s"/>
      <c r="H2014" t="s"/>
      <c r="I2014" t="s"/>
      <c r="J2014" t="n">
        <v>0</v>
      </c>
      <c r="K2014" t="n">
        <v>0</v>
      </c>
      <c r="L2014" t="n">
        <v>1</v>
      </c>
      <c r="M2014" t="n">
        <v>0</v>
      </c>
    </row>
    <row r="2015" spans="1:13">
      <c r="A2015" s="1">
        <f>HYPERLINK("http://www.twitter.com/NathanBLawrence/status/804422451845332992", "804422451845332992")</f>
        <v/>
      </c>
      <c r="B2015" s="2" t="n">
        <v>42705.85453703703</v>
      </c>
      <c r="C2015" t="n">
        <v>1</v>
      </c>
      <c r="D2015" t="n">
        <v>0</v>
      </c>
      <c r="E2015" t="s">
        <v>2020</v>
      </c>
      <c r="F2015" t="s"/>
      <c r="G2015" t="s"/>
      <c r="H2015" t="s"/>
      <c r="I2015" t="s"/>
      <c r="J2015" t="n">
        <v>0.3802</v>
      </c>
      <c r="K2015" t="n">
        <v>0</v>
      </c>
      <c r="L2015" t="n">
        <v>0.755</v>
      </c>
      <c r="M2015" t="n">
        <v>0.245</v>
      </c>
    </row>
    <row r="2016" spans="1:13">
      <c r="A2016" s="1">
        <f>HYPERLINK("http://www.twitter.com/NathanBLawrence/status/804392413171171328", "804392413171171328")</f>
        <v/>
      </c>
      <c r="B2016" s="2" t="n">
        <v>42705.77164351852</v>
      </c>
      <c r="C2016" t="n">
        <v>0</v>
      </c>
      <c r="D2016" t="n">
        <v>37</v>
      </c>
      <c r="E2016" t="s">
        <v>2021</v>
      </c>
      <c r="F2016" t="s"/>
      <c r="G2016" t="s"/>
      <c r="H2016" t="s"/>
      <c r="I2016" t="s"/>
      <c r="J2016" t="n">
        <v>0.8139</v>
      </c>
      <c r="K2016" t="n">
        <v>0</v>
      </c>
      <c r="L2016" t="n">
        <v>0.669</v>
      </c>
      <c r="M2016" t="n">
        <v>0.331</v>
      </c>
    </row>
    <row r="2017" spans="1:13">
      <c r="A2017" s="1">
        <f>HYPERLINK("http://www.twitter.com/NathanBLawrence/status/804388989868326912", "804388989868326912")</f>
        <v/>
      </c>
      <c r="B2017" s="2" t="n">
        <v>42705.76219907407</v>
      </c>
      <c r="C2017" t="n">
        <v>0</v>
      </c>
      <c r="D2017" t="n">
        <v>842</v>
      </c>
      <c r="E2017" t="s">
        <v>2022</v>
      </c>
      <c r="F2017">
        <f>HYPERLINK("http://pbs.twimg.com/media/Cym8yArUoAA8sn8.jpg", "http://pbs.twimg.com/media/Cym8yArUoAA8sn8.jpg")</f>
        <v/>
      </c>
      <c r="G2017" t="s"/>
      <c r="H2017" t="s"/>
      <c r="I2017" t="s"/>
      <c r="J2017" t="n">
        <v>0</v>
      </c>
      <c r="K2017" t="n">
        <v>0</v>
      </c>
      <c r="L2017" t="n">
        <v>1</v>
      </c>
      <c r="M2017" t="n">
        <v>0</v>
      </c>
    </row>
    <row r="2018" spans="1:13">
      <c r="A2018" s="1">
        <f>HYPERLINK("http://www.twitter.com/NathanBLawrence/status/804388454314475520", "804388454314475520")</f>
        <v/>
      </c>
      <c r="B2018" s="2" t="n">
        <v>42705.7607175926</v>
      </c>
      <c r="C2018" t="n">
        <v>0</v>
      </c>
      <c r="D2018" t="n">
        <v>705</v>
      </c>
      <c r="E2018" t="s">
        <v>2023</v>
      </c>
      <c r="F2018" t="s"/>
      <c r="G2018" t="s"/>
      <c r="H2018" t="s"/>
      <c r="I2018" t="s"/>
      <c r="J2018" t="n">
        <v>-0.2023</v>
      </c>
      <c r="K2018" t="n">
        <v>0.115</v>
      </c>
      <c r="L2018" t="n">
        <v>0.802</v>
      </c>
      <c r="M2018" t="n">
        <v>0.08400000000000001</v>
      </c>
    </row>
    <row r="2019" spans="1:13">
      <c r="A2019" s="1">
        <f>HYPERLINK("http://www.twitter.com/NathanBLawrence/status/804372866024275968", "804372866024275968")</f>
        <v/>
      </c>
      <c r="B2019" s="2" t="n">
        <v>42705.71770833333</v>
      </c>
      <c r="C2019" t="n">
        <v>0</v>
      </c>
      <c r="D2019" t="n">
        <v>678</v>
      </c>
      <c r="E2019" t="s">
        <v>2024</v>
      </c>
      <c r="F2019">
        <f>HYPERLINK("http://pbs.twimg.com/media/Cyme6UMXgAUr2vo.jpg", "http://pbs.twimg.com/media/Cyme6UMXgAUr2vo.jpg")</f>
        <v/>
      </c>
      <c r="G2019" t="s"/>
      <c r="H2019" t="s"/>
      <c r="I2019" t="s"/>
      <c r="J2019" t="n">
        <v>0</v>
      </c>
      <c r="K2019" t="n">
        <v>0</v>
      </c>
      <c r="L2019" t="n">
        <v>1</v>
      </c>
      <c r="M2019" t="n">
        <v>0</v>
      </c>
    </row>
    <row r="2020" spans="1:13">
      <c r="A2020" s="1">
        <f>HYPERLINK("http://www.twitter.com/NathanBLawrence/status/804366214843822084", "804366214843822084")</f>
        <v/>
      </c>
      <c r="B2020" s="2" t="n">
        <v>42705.69935185185</v>
      </c>
      <c r="C2020" t="n">
        <v>0</v>
      </c>
      <c r="D2020" t="n">
        <v>794</v>
      </c>
      <c r="E2020" t="s">
        <v>2025</v>
      </c>
      <c r="F2020" t="s"/>
      <c r="G2020" t="s"/>
      <c r="H2020" t="s"/>
      <c r="I2020" t="s"/>
      <c r="J2020" t="n">
        <v>0</v>
      </c>
      <c r="K2020" t="n">
        <v>0</v>
      </c>
      <c r="L2020" t="n">
        <v>1</v>
      </c>
      <c r="M2020" t="n">
        <v>0</v>
      </c>
    </row>
    <row r="2021" spans="1:13">
      <c r="A2021" s="1">
        <f>HYPERLINK("http://www.twitter.com/NathanBLawrence/status/804366141154070529", "804366141154070529")</f>
        <v/>
      </c>
      <c r="B2021" s="2" t="n">
        <v>42705.6991550926</v>
      </c>
      <c r="C2021" t="n">
        <v>0</v>
      </c>
      <c r="D2021" t="n">
        <v>299</v>
      </c>
      <c r="E2021" t="s">
        <v>2026</v>
      </c>
      <c r="F2021" t="s"/>
      <c r="G2021" t="s"/>
      <c r="H2021" t="s"/>
      <c r="I2021" t="s"/>
      <c r="J2021" t="n">
        <v>0.0516</v>
      </c>
      <c r="K2021" t="n">
        <v>0.188</v>
      </c>
      <c r="L2021" t="n">
        <v>0.616</v>
      </c>
      <c r="M2021" t="n">
        <v>0.195</v>
      </c>
    </row>
    <row r="2022" spans="1:13">
      <c r="A2022" s="1">
        <f>HYPERLINK("http://www.twitter.com/NathanBLawrence/status/804364660212375552", "804364660212375552")</f>
        <v/>
      </c>
      <c r="B2022" s="2" t="n">
        <v>42705.69506944445</v>
      </c>
      <c r="C2022" t="n">
        <v>0</v>
      </c>
      <c r="D2022" t="n">
        <v>1338</v>
      </c>
      <c r="E2022" t="s">
        <v>2027</v>
      </c>
      <c r="F2022" t="s"/>
      <c r="G2022" t="s"/>
      <c r="H2022" t="s"/>
      <c r="I2022" t="s"/>
      <c r="J2022" t="n">
        <v>0.4019</v>
      </c>
      <c r="K2022" t="n">
        <v>0</v>
      </c>
      <c r="L2022" t="n">
        <v>0.876</v>
      </c>
      <c r="M2022" t="n">
        <v>0.124</v>
      </c>
    </row>
    <row r="2023" spans="1:13">
      <c r="A2023" s="1">
        <f>HYPERLINK("http://www.twitter.com/NathanBLawrence/status/804344846890713088", "804344846890713088")</f>
        <v/>
      </c>
      <c r="B2023" s="2" t="n">
        <v>42705.64039351852</v>
      </c>
      <c r="C2023" t="n">
        <v>0</v>
      </c>
      <c r="D2023" t="n">
        <v>4084</v>
      </c>
      <c r="E2023" t="s">
        <v>2028</v>
      </c>
      <c r="F2023" t="s"/>
      <c r="G2023" t="s"/>
      <c r="H2023" t="s"/>
      <c r="I2023" t="s"/>
      <c r="J2023" t="n">
        <v>0.8807</v>
      </c>
      <c r="K2023" t="n">
        <v>0</v>
      </c>
      <c r="L2023" t="n">
        <v>0.611</v>
      </c>
      <c r="M2023" t="n">
        <v>0.389</v>
      </c>
    </row>
    <row r="2024" spans="1:13">
      <c r="A2024" s="1">
        <f>HYPERLINK("http://www.twitter.com/NathanBLawrence/status/804327690010578944", "804327690010578944")</f>
        <v/>
      </c>
      <c r="B2024" s="2" t="n">
        <v>42705.59304398148</v>
      </c>
      <c r="C2024" t="n">
        <v>0</v>
      </c>
      <c r="D2024" t="n">
        <v>3</v>
      </c>
      <c r="E2024" t="s">
        <v>2029</v>
      </c>
      <c r="F2024" t="s"/>
      <c r="G2024" t="s"/>
      <c r="H2024" t="s"/>
      <c r="I2024" t="s"/>
      <c r="J2024" t="n">
        <v>-0.2263</v>
      </c>
      <c r="K2024" t="n">
        <v>0.137</v>
      </c>
      <c r="L2024" t="n">
        <v>0.76</v>
      </c>
      <c r="M2024" t="n">
        <v>0.103</v>
      </c>
    </row>
    <row r="2025" spans="1:13">
      <c r="A2025" s="1">
        <f>HYPERLINK("http://www.twitter.com/NathanBLawrence/status/804326787832565761", "804326787832565761")</f>
        <v/>
      </c>
      <c r="B2025" s="2" t="n">
        <v>42705.59055555556</v>
      </c>
      <c r="C2025" t="n">
        <v>0</v>
      </c>
      <c r="D2025" t="n">
        <v>3</v>
      </c>
      <c r="E2025" t="s">
        <v>2030</v>
      </c>
      <c r="F2025" t="s"/>
      <c r="G2025" t="s"/>
      <c r="H2025" t="s"/>
      <c r="I2025" t="s"/>
      <c r="J2025" t="n">
        <v>-0.1027</v>
      </c>
      <c r="K2025" t="n">
        <v>0.113</v>
      </c>
      <c r="L2025" t="n">
        <v>0.887</v>
      </c>
      <c r="M2025" t="n">
        <v>0</v>
      </c>
    </row>
    <row r="2026" spans="1:13">
      <c r="A2026" s="1">
        <f>HYPERLINK("http://www.twitter.com/NathanBLawrence/status/804326508236046336", "804326508236046336")</f>
        <v/>
      </c>
      <c r="B2026" s="2" t="n">
        <v>42705.5897800926</v>
      </c>
      <c r="C2026" t="n">
        <v>0</v>
      </c>
      <c r="D2026" t="n">
        <v>11</v>
      </c>
      <c r="E2026" t="s">
        <v>2031</v>
      </c>
      <c r="F2026">
        <f>HYPERLINK("http://pbs.twimg.com/media/CymJGG3WIAAaUwv.jpg", "http://pbs.twimg.com/media/CymJGG3WIAAaUwv.jpg")</f>
        <v/>
      </c>
      <c r="G2026" t="s"/>
      <c r="H2026" t="s"/>
      <c r="I2026" t="s"/>
      <c r="J2026" t="n">
        <v>0.7088</v>
      </c>
      <c r="K2026" t="n">
        <v>0</v>
      </c>
      <c r="L2026" t="n">
        <v>0.6879999999999999</v>
      </c>
      <c r="M2026" t="n">
        <v>0.312</v>
      </c>
    </row>
    <row r="2027" spans="1:13">
      <c r="A2027" s="1">
        <f>HYPERLINK("http://www.twitter.com/NathanBLawrence/status/804175333251497984", "804175333251497984")</f>
        <v/>
      </c>
      <c r="B2027" s="2" t="n">
        <v>42705.17261574074</v>
      </c>
      <c r="C2027" t="n">
        <v>0</v>
      </c>
      <c r="D2027" t="n">
        <v>414</v>
      </c>
      <c r="E2027" t="s">
        <v>2032</v>
      </c>
      <c r="F2027">
        <f>HYPERLINK("http://pbs.twimg.com/media/CyjvR-JWgAE7Q62.jpg", "http://pbs.twimg.com/media/CyjvR-JWgAE7Q62.jpg")</f>
        <v/>
      </c>
      <c r="G2027" t="s"/>
      <c r="H2027" t="s"/>
      <c r="I2027" t="s"/>
      <c r="J2027" t="n">
        <v>-0.4325</v>
      </c>
      <c r="K2027" t="n">
        <v>0.169</v>
      </c>
      <c r="L2027" t="n">
        <v>0.831</v>
      </c>
      <c r="M2027" t="n">
        <v>0</v>
      </c>
    </row>
    <row r="2028" spans="1:13">
      <c r="A2028" s="1">
        <f>HYPERLINK("http://www.twitter.com/NathanBLawrence/status/804022640981790720", "804022640981790720")</f>
        <v/>
      </c>
      <c r="B2028" s="2" t="n">
        <v>42704.75127314815</v>
      </c>
      <c r="C2028" t="n">
        <v>0</v>
      </c>
      <c r="D2028" t="n">
        <v>47</v>
      </c>
      <c r="E2028" t="s">
        <v>2033</v>
      </c>
      <c r="F2028">
        <f>HYPERLINK("http://pbs.twimg.com/media/CyhRVy9W8AA8hGj.jpg", "http://pbs.twimg.com/media/CyhRVy9W8AA8hGj.jpg")</f>
        <v/>
      </c>
      <c r="G2028" t="s"/>
      <c r="H2028" t="s"/>
      <c r="I2028" t="s"/>
      <c r="J2028" t="n">
        <v>0.4019</v>
      </c>
      <c r="K2028" t="n">
        <v>0.096</v>
      </c>
      <c r="L2028" t="n">
        <v>0.701</v>
      </c>
      <c r="M2028" t="n">
        <v>0.204</v>
      </c>
    </row>
    <row r="2029" spans="1:13">
      <c r="A2029" s="1">
        <f>HYPERLINK("http://www.twitter.com/NathanBLawrence/status/804008964375609344", "804008964375609344")</f>
        <v/>
      </c>
      <c r="B2029" s="2" t="n">
        <v>42704.71353009259</v>
      </c>
      <c r="C2029" t="n">
        <v>0</v>
      </c>
      <c r="D2029" t="n">
        <v>356</v>
      </c>
      <c r="E2029" t="s">
        <v>2034</v>
      </c>
      <c r="F2029">
        <f>HYPERLINK("http://pbs.twimg.com/media/CyhbPfLWEAA9AH8.jpg", "http://pbs.twimg.com/media/CyhbPfLWEAA9AH8.jpg")</f>
        <v/>
      </c>
      <c r="G2029" t="s"/>
      <c r="H2029" t="s"/>
      <c r="I2029" t="s"/>
      <c r="J2029" t="n">
        <v>0</v>
      </c>
      <c r="K2029" t="n">
        <v>0</v>
      </c>
      <c r="L2029" t="n">
        <v>1</v>
      </c>
      <c r="M2029" t="n">
        <v>0</v>
      </c>
    </row>
    <row r="2030" spans="1:13">
      <c r="A2030" s="1">
        <f>HYPERLINK("http://www.twitter.com/NathanBLawrence/status/804008517719965696", "804008517719965696")</f>
        <v/>
      </c>
      <c r="B2030" s="2" t="n">
        <v>42704.71230324074</v>
      </c>
      <c r="C2030" t="n">
        <v>0</v>
      </c>
      <c r="D2030" t="n">
        <v>589</v>
      </c>
      <c r="E2030" t="s">
        <v>2035</v>
      </c>
      <c r="F2030">
        <f>HYPERLINK("https://video.twimg.com/ext_tw_video/804002025998413824/pu/vid/1280x720/939qz5WA3180xH69.mp4", "https://video.twimg.com/ext_tw_video/804002025998413824/pu/vid/1280x720/939qz5WA3180xH69.mp4")</f>
        <v/>
      </c>
      <c r="G2030" t="s"/>
      <c r="H2030" t="s"/>
      <c r="I2030" t="s"/>
      <c r="J2030" t="n">
        <v>0</v>
      </c>
      <c r="K2030" t="n">
        <v>0</v>
      </c>
      <c r="L2030" t="n">
        <v>1</v>
      </c>
      <c r="M2030" t="n">
        <v>0</v>
      </c>
    </row>
    <row r="2031" spans="1:13">
      <c r="A2031" s="1">
        <f>HYPERLINK("http://www.twitter.com/NathanBLawrence/status/804008203319181312", "804008203319181312")</f>
        <v/>
      </c>
      <c r="B2031" s="2" t="n">
        <v>42704.71143518519</v>
      </c>
      <c r="C2031" t="n">
        <v>0</v>
      </c>
      <c r="D2031" t="n">
        <v>25</v>
      </c>
      <c r="E2031" t="s">
        <v>2036</v>
      </c>
      <c r="F2031" t="s"/>
      <c r="G2031" t="s"/>
      <c r="H2031" t="s"/>
      <c r="I2031" t="s"/>
      <c r="J2031" t="n">
        <v>-0.4767</v>
      </c>
      <c r="K2031" t="n">
        <v>0.162</v>
      </c>
      <c r="L2031" t="n">
        <v>0.838</v>
      </c>
      <c r="M2031" t="n">
        <v>0</v>
      </c>
    </row>
    <row r="2032" spans="1:13">
      <c r="A2032" s="1">
        <f>HYPERLINK("http://www.twitter.com/NathanBLawrence/status/804006645135183873", "804006645135183873")</f>
        <v/>
      </c>
      <c r="B2032" s="2" t="n">
        <v>42704.70712962963</v>
      </c>
      <c r="C2032" t="n">
        <v>0</v>
      </c>
      <c r="D2032" t="n">
        <v>579</v>
      </c>
      <c r="E2032" t="s">
        <v>2037</v>
      </c>
      <c r="F2032" t="s"/>
      <c r="G2032" t="s"/>
      <c r="H2032" t="s"/>
      <c r="I2032" t="s"/>
      <c r="J2032" t="n">
        <v>0.2969</v>
      </c>
      <c r="K2032" t="n">
        <v>0.092</v>
      </c>
      <c r="L2032" t="n">
        <v>0.8080000000000001</v>
      </c>
      <c r="M2032" t="n">
        <v>0.1</v>
      </c>
    </row>
    <row r="2033" spans="1:13">
      <c r="A2033" s="1">
        <f>HYPERLINK("http://www.twitter.com/NathanBLawrence/status/804004163386490880", "804004163386490880")</f>
        <v/>
      </c>
      <c r="B2033" s="2" t="n">
        <v>42704.70027777777</v>
      </c>
      <c r="C2033" t="n">
        <v>0</v>
      </c>
      <c r="D2033" t="n">
        <v>549</v>
      </c>
      <c r="E2033" t="s">
        <v>2038</v>
      </c>
      <c r="F2033" t="s"/>
      <c r="G2033" t="s"/>
      <c r="H2033" t="s"/>
      <c r="I2033" t="s"/>
      <c r="J2033" t="n">
        <v>-0.7717000000000001</v>
      </c>
      <c r="K2033" t="n">
        <v>0.309</v>
      </c>
      <c r="L2033" t="n">
        <v>0.6909999999999999</v>
      </c>
      <c r="M2033" t="n">
        <v>0</v>
      </c>
    </row>
    <row r="2034" spans="1:13">
      <c r="A2034" s="1">
        <f>HYPERLINK("http://www.twitter.com/NathanBLawrence/status/803679899366162432", "803679899366162432")</f>
        <v/>
      </c>
      <c r="B2034" s="2" t="n">
        <v>42703.80548611111</v>
      </c>
      <c r="C2034" t="n">
        <v>0</v>
      </c>
      <c r="D2034" t="n">
        <v>61</v>
      </c>
      <c r="E2034" t="s">
        <v>2039</v>
      </c>
      <c r="F2034">
        <f>HYPERLINK("http://pbs.twimg.com/media/CycbiEYWQAA6Fy4.jpg", "http://pbs.twimg.com/media/CycbiEYWQAA6Fy4.jpg")</f>
        <v/>
      </c>
      <c r="G2034">
        <f>HYPERLINK("http://pbs.twimg.com/media/CycbiEWWIAEXV0C.jpg", "http://pbs.twimg.com/media/CycbiEWWIAEXV0C.jpg")</f>
        <v/>
      </c>
      <c r="H2034" t="s"/>
      <c r="I2034" t="s"/>
      <c r="J2034" t="n">
        <v>0</v>
      </c>
      <c r="K2034" t="n">
        <v>0</v>
      </c>
      <c r="L2034" t="n">
        <v>1</v>
      </c>
      <c r="M2034" t="n">
        <v>0</v>
      </c>
    </row>
    <row r="2035" spans="1:13">
      <c r="A2035" s="1">
        <f>HYPERLINK("http://www.twitter.com/NathanBLawrence/status/803677106517446656", "803677106517446656")</f>
        <v/>
      </c>
      <c r="B2035" s="2" t="n">
        <v>42703.79777777778</v>
      </c>
      <c r="C2035" t="n">
        <v>0</v>
      </c>
      <c r="D2035" t="n">
        <v>0</v>
      </c>
      <c r="E2035" t="s">
        <v>2040</v>
      </c>
      <c r="F2035" t="s"/>
      <c r="G2035" t="s"/>
      <c r="H2035" t="s"/>
      <c r="I2035" t="s"/>
      <c r="J2035" t="n">
        <v>0</v>
      </c>
      <c r="K2035" t="n">
        <v>0</v>
      </c>
      <c r="L2035" t="n">
        <v>1</v>
      </c>
      <c r="M2035" t="n">
        <v>0</v>
      </c>
    </row>
    <row r="2036" spans="1:13">
      <c r="A2036" s="1">
        <f>HYPERLINK("http://www.twitter.com/NathanBLawrence/status/803675708946087937", "803675708946087937")</f>
        <v/>
      </c>
      <c r="B2036" s="2" t="n">
        <v>42703.79392361111</v>
      </c>
      <c r="C2036" t="n">
        <v>0</v>
      </c>
      <c r="D2036" t="n">
        <v>157</v>
      </c>
      <c r="E2036" t="s">
        <v>2041</v>
      </c>
      <c r="F2036">
        <f>HYPERLINK("http://pbs.twimg.com/media/Cxphaa7UcAAMH1D.jpg", "http://pbs.twimg.com/media/Cxphaa7UcAAMH1D.jpg")</f>
        <v/>
      </c>
      <c r="G2036" t="s"/>
      <c r="H2036" t="s"/>
      <c r="I2036" t="s"/>
      <c r="J2036" t="n">
        <v>-0.4404</v>
      </c>
      <c r="K2036" t="n">
        <v>0.132</v>
      </c>
      <c r="L2036" t="n">
        <v>0.868</v>
      </c>
      <c r="M2036" t="n">
        <v>0</v>
      </c>
    </row>
    <row r="2037" spans="1:13">
      <c r="A2037" s="1">
        <f>HYPERLINK("http://www.twitter.com/NathanBLawrence/status/803673137900638212", "803673137900638212")</f>
        <v/>
      </c>
      <c r="B2037" s="2" t="n">
        <v>42703.78682870371</v>
      </c>
      <c r="C2037" t="n">
        <v>0</v>
      </c>
      <c r="D2037" t="n">
        <v>2886</v>
      </c>
      <c r="E2037" t="s">
        <v>2042</v>
      </c>
      <c r="F2037">
        <f>HYPERLINK("http://pbs.twimg.com/media/CyctDeWW8AwHtPJ.jpg", "http://pbs.twimg.com/media/CyctDeWW8AwHtPJ.jpg")</f>
        <v/>
      </c>
      <c r="G2037">
        <f>HYPERLINK("http://pbs.twimg.com/media/CyctFOgWQAIlBmJ.jpg", "http://pbs.twimg.com/media/CyctFOgWQAIlBmJ.jpg")</f>
        <v/>
      </c>
      <c r="H2037" t="s"/>
      <c r="I2037" t="s"/>
      <c r="J2037" t="n">
        <v>-0.4767</v>
      </c>
      <c r="K2037" t="n">
        <v>0.171</v>
      </c>
      <c r="L2037" t="n">
        <v>0.829</v>
      </c>
      <c r="M2037" t="n">
        <v>0</v>
      </c>
    </row>
    <row r="2038" spans="1:13">
      <c r="A2038" s="1">
        <f>HYPERLINK("http://www.twitter.com/NathanBLawrence/status/803661143193616385", "803661143193616385")</f>
        <v/>
      </c>
      <c r="B2038" s="2" t="n">
        <v>42703.75372685185</v>
      </c>
      <c r="C2038" t="n">
        <v>0</v>
      </c>
      <c r="D2038" t="n">
        <v>2800</v>
      </c>
      <c r="E2038" t="s">
        <v>2043</v>
      </c>
      <c r="F2038">
        <f>HYPERLINK("http://pbs.twimg.com/media/CycqloOWQAAjVfZ.jpg", "http://pbs.twimg.com/media/CycqloOWQAAjVfZ.jpg")</f>
        <v/>
      </c>
      <c r="G2038" t="s"/>
      <c r="H2038" t="s"/>
      <c r="I2038" t="s"/>
      <c r="J2038" t="n">
        <v>0</v>
      </c>
      <c r="K2038" t="n">
        <v>0</v>
      </c>
      <c r="L2038" t="n">
        <v>1</v>
      </c>
      <c r="M2038" t="n">
        <v>0</v>
      </c>
    </row>
    <row r="2039" spans="1:13">
      <c r="A2039" s="1">
        <f>HYPERLINK("http://www.twitter.com/NathanBLawrence/status/803626829143801856", "803626829143801856")</f>
        <v/>
      </c>
      <c r="B2039" s="2" t="n">
        <v>42703.65903935185</v>
      </c>
      <c r="C2039" t="n">
        <v>0</v>
      </c>
      <c r="D2039" t="n">
        <v>38</v>
      </c>
      <c r="E2039" t="s">
        <v>2044</v>
      </c>
      <c r="F2039" t="s"/>
      <c r="G2039" t="s"/>
      <c r="H2039" t="s"/>
      <c r="I2039" t="s"/>
      <c r="J2039" t="n">
        <v>0</v>
      </c>
      <c r="K2039" t="n">
        <v>0</v>
      </c>
      <c r="L2039" t="n">
        <v>1</v>
      </c>
      <c r="M2039" t="n">
        <v>0</v>
      </c>
    </row>
    <row r="2040" spans="1:13">
      <c r="A2040" s="1">
        <f>HYPERLINK("http://www.twitter.com/NathanBLawrence/status/803624822664114176", "803624822664114176")</f>
        <v/>
      </c>
      <c r="B2040" s="2" t="n">
        <v>42703.65350694444</v>
      </c>
      <c r="C2040" t="n">
        <v>0</v>
      </c>
      <c r="D2040" t="n">
        <v>265</v>
      </c>
      <c r="E2040" t="s">
        <v>2045</v>
      </c>
      <c r="F2040">
        <f>HYPERLINK("http://pbs.twimg.com/media/CycB2U8WIAEXx_R.jpg", "http://pbs.twimg.com/media/CycB2U8WIAEXx_R.jpg")</f>
        <v/>
      </c>
      <c r="G2040" t="s"/>
      <c r="H2040" t="s"/>
      <c r="I2040" t="s"/>
      <c r="J2040" t="n">
        <v>-0.5994</v>
      </c>
      <c r="K2040" t="n">
        <v>0.186</v>
      </c>
      <c r="L2040" t="n">
        <v>0.735</v>
      </c>
      <c r="M2040" t="n">
        <v>0.079</v>
      </c>
    </row>
    <row r="2041" spans="1:13">
      <c r="A2041" s="1">
        <f>HYPERLINK("http://www.twitter.com/NathanBLawrence/status/803624206533595136", "803624206533595136")</f>
        <v/>
      </c>
      <c r="B2041" s="2" t="n">
        <v>42703.65180555556</v>
      </c>
      <c r="C2041" t="n">
        <v>0</v>
      </c>
      <c r="D2041" t="n">
        <v>230</v>
      </c>
      <c r="E2041" t="s">
        <v>2046</v>
      </c>
      <c r="F2041">
        <f>HYPERLINK("http://pbs.twimg.com/media/CyZ-C2UXgAAXpWW.jpg", "http://pbs.twimg.com/media/CyZ-C2UXgAAXpWW.jpg")</f>
        <v/>
      </c>
      <c r="G2041" t="s"/>
      <c r="H2041" t="s"/>
      <c r="I2041" t="s"/>
      <c r="J2041" t="n">
        <v>-0.8625</v>
      </c>
      <c r="K2041" t="n">
        <v>0.358</v>
      </c>
      <c r="L2041" t="n">
        <v>0.642</v>
      </c>
      <c r="M2041" t="n">
        <v>0</v>
      </c>
    </row>
    <row r="2042" spans="1:13">
      <c r="A2042" s="1">
        <f>HYPERLINK("http://www.twitter.com/NathanBLawrence/status/803622488836075520", "803622488836075520")</f>
        <v/>
      </c>
      <c r="B2042" s="2" t="n">
        <v>42703.64706018518</v>
      </c>
      <c r="C2042" t="n">
        <v>0</v>
      </c>
      <c r="D2042" t="n">
        <v>1443</v>
      </c>
      <c r="E2042" t="s">
        <v>2047</v>
      </c>
      <c r="F2042" t="s"/>
      <c r="G2042" t="s"/>
      <c r="H2042" t="s"/>
      <c r="I2042" t="s"/>
      <c r="J2042" t="n">
        <v>0</v>
      </c>
      <c r="K2042" t="n">
        <v>0</v>
      </c>
      <c r="L2042" t="n">
        <v>1</v>
      </c>
      <c r="M2042" t="n">
        <v>0</v>
      </c>
    </row>
    <row r="2043" spans="1:13">
      <c r="A2043" s="1">
        <f>HYPERLINK("http://www.twitter.com/NathanBLawrence/status/803620928240357376", "803620928240357376")</f>
        <v/>
      </c>
      <c r="B2043" s="2" t="n">
        <v>42703.64275462963</v>
      </c>
      <c r="C2043" t="n">
        <v>0</v>
      </c>
      <c r="D2043" t="n">
        <v>2967</v>
      </c>
      <c r="E2043" t="s">
        <v>2048</v>
      </c>
      <c r="F2043" t="s"/>
      <c r="G2043" t="s"/>
      <c r="H2043" t="s"/>
      <c r="I2043" t="s"/>
      <c r="J2043" t="n">
        <v>-0.4033</v>
      </c>
      <c r="K2043" t="n">
        <v>0.205</v>
      </c>
      <c r="L2043" t="n">
        <v>0.695</v>
      </c>
      <c r="M2043" t="n">
        <v>0.1</v>
      </c>
    </row>
    <row r="2044" spans="1:13">
      <c r="A2044" s="1">
        <f>HYPERLINK("http://www.twitter.com/NathanBLawrence/status/803370678237986817", "803370678237986817")</f>
        <v/>
      </c>
      <c r="B2044" s="2" t="n">
        <v>42702.95219907408</v>
      </c>
      <c r="C2044" t="n">
        <v>0</v>
      </c>
      <c r="D2044" t="n">
        <v>299</v>
      </c>
      <c r="E2044" t="s">
        <v>2049</v>
      </c>
      <c r="F2044" t="s"/>
      <c r="G2044" t="s"/>
      <c r="H2044" t="s"/>
      <c r="I2044" t="s"/>
      <c r="J2044" t="n">
        <v>0</v>
      </c>
      <c r="K2044" t="n">
        <v>0</v>
      </c>
      <c r="L2044" t="n">
        <v>1</v>
      </c>
      <c r="M2044" t="n">
        <v>0</v>
      </c>
    </row>
    <row r="2045" spans="1:13">
      <c r="A2045" s="1">
        <f>HYPERLINK("http://www.twitter.com/NathanBLawrence/status/803369727275991041", "803369727275991041")</f>
        <v/>
      </c>
      <c r="B2045" s="2" t="n">
        <v>42702.94957175926</v>
      </c>
      <c r="C2045" t="n">
        <v>0</v>
      </c>
      <c r="D2045" t="n">
        <v>7951</v>
      </c>
      <c r="E2045" t="s">
        <v>2050</v>
      </c>
      <c r="F2045">
        <f>HYPERLINK("http://pbs.twimg.com/media/CyXskixXcAAsKVQ.jpg", "http://pbs.twimg.com/media/CyXskixXcAAsKVQ.jpg")</f>
        <v/>
      </c>
      <c r="G2045" t="s"/>
      <c r="H2045" t="s"/>
      <c r="I2045" t="s"/>
      <c r="J2045" t="n">
        <v>-0.7759</v>
      </c>
      <c r="K2045" t="n">
        <v>0.327</v>
      </c>
      <c r="L2045" t="n">
        <v>0.587</v>
      </c>
      <c r="M2045" t="n">
        <v>0.08500000000000001</v>
      </c>
    </row>
    <row r="2046" spans="1:13">
      <c r="A2046" s="1">
        <f>HYPERLINK("http://www.twitter.com/NathanBLawrence/status/803335766554406914", "803335766554406914")</f>
        <v/>
      </c>
      <c r="B2046" s="2" t="n">
        <v>42702.85585648148</v>
      </c>
      <c r="C2046" t="n">
        <v>0</v>
      </c>
      <c r="D2046" t="n">
        <v>9038</v>
      </c>
      <c r="E2046" t="s">
        <v>2051</v>
      </c>
      <c r="F2046" t="s"/>
      <c r="G2046" t="s"/>
      <c r="H2046" t="s"/>
      <c r="I2046" t="s"/>
      <c r="J2046" t="n">
        <v>0.296</v>
      </c>
      <c r="K2046" t="n">
        <v>0.062</v>
      </c>
      <c r="L2046" t="n">
        <v>0.826</v>
      </c>
      <c r="M2046" t="n">
        <v>0.112</v>
      </c>
    </row>
    <row r="2047" spans="1:13">
      <c r="A2047" s="1">
        <f>HYPERLINK("http://www.twitter.com/NathanBLawrence/status/803318494276321281", "803318494276321281")</f>
        <v/>
      </c>
      <c r="B2047" s="2" t="n">
        <v>42702.80819444444</v>
      </c>
      <c r="C2047" t="n">
        <v>0</v>
      </c>
      <c r="D2047" t="n">
        <v>201</v>
      </c>
      <c r="E2047" t="s">
        <v>2052</v>
      </c>
      <c r="F2047" t="s"/>
      <c r="G2047" t="s"/>
      <c r="H2047" t="s"/>
      <c r="I2047" t="s"/>
      <c r="J2047" t="n">
        <v>-0.7456</v>
      </c>
      <c r="K2047" t="n">
        <v>0.224</v>
      </c>
      <c r="L2047" t="n">
        <v>0.776</v>
      </c>
      <c r="M2047" t="n">
        <v>0</v>
      </c>
    </row>
    <row r="2048" spans="1:13">
      <c r="A2048" s="1">
        <f>HYPERLINK("http://www.twitter.com/NathanBLawrence/status/803317366557999104", "803317366557999104")</f>
        <v/>
      </c>
      <c r="B2048" s="2" t="n">
        <v>42702.80508101852</v>
      </c>
      <c r="C2048" t="n">
        <v>0</v>
      </c>
      <c r="D2048" t="n">
        <v>2911</v>
      </c>
      <c r="E2048" t="s">
        <v>2053</v>
      </c>
      <c r="F2048" t="s"/>
      <c r="G2048" t="s"/>
      <c r="H2048" t="s"/>
      <c r="I2048" t="s"/>
      <c r="J2048" t="n">
        <v>-0.296</v>
      </c>
      <c r="K2048" t="n">
        <v>0.109</v>
      </c>
      <c r="L2048" t="n">
        <v>0.891</v>
      </c>
      <c r="M2048" t="n">
        <v>0</v>
      </c>
    </row>
    <row r="2049" spans="1:13">
      <c r="A2049" s="1">
        <f>HYPERLINK("http://www.twitter.com/NathanBLawrence/status/803316964638728193", "803316964638728193")</f>
        <v/>
      </c>
      <c r="B2049" s="2" t="n">
        <v>42702.80396990741</v>
      </c>
      <c r="C2049" t="n">
        <v>0</v>
      </c>
      <c r="D2049" t="n">
        <v>161</v>
      </c>
      <c r="E2049" t="s">
        <v>2054</v>
      </c>
      <c r="F2049" t="s"/>
      <c r="G2049" t="s"/>
      <c r="H2049" t="s"/>
      <c r="I2049" t="s"/>
      <c r="J2049" t="n">
        <v>-0.0772</v>
      </c>
      <c r="K2049" t="n">
        <v>0.058</v>
      </c>
      <c r="L2049" t="n">
        <v>0.9419999999999999</v>
      </c>
      <c r="M2049" t="n">
        <v>0</v>
      </c>
    </row>
    <row r="2050" spans="1:13">
      <c r="A2050" s="1">
        <f>HYPERLINK("http://www.twitter.com/NathanBLawrence/status/803316687684698112", "803316687684698112")</f>
        <v/>
      </c>
      <c r="B2050" s="2" t="n">
        <v>42702.80320601852</v>
      </c>
      <c r="C2050" t="n">
        <v>0</v>
      </c>
      <c r="D2050" t="n">
        <v>413</v>
      </c>
      <c r="E2050" t="s">
        <v>2055</v>
      </c>
      <c r="F2050">
        <f>HYPERLINK("http://pbs.twimg.com/media/CyXqS5CVQAAL-sS.jpg", "http://pbs.twimg.com/media/CyXqS5CVQAAL-sS.jpg")</f>
        <v/>
      </c>
      <c r="G2050" t="s"/>
      <c r="H2050" t="s"/>
      <c r="I2050" t="s"/>
      <c r="J2050" t="n">
        <v>0</v>
      </c>
      <c r="K2050" t="n">
        <v>0</v>
      </c>
      <c r="L2050" t="n">
        <v>1</v>
      </c>
      <c r="M2050" t="n">
        <v>0</v>
      </c>
    </row>
    <row r="2051" spans="1:13">
      <c r="A2051" s="1">
        <f>HYPERLINK("http://www.twitter.com/NathanBLawrence/status/803278835521175553", "803278835521175553")</f>
        <v/>
      </c>
      <c r="B2051" s="2" t="n">
        <v>42702.69876157407</v>
      </c>
      <c r="C2051" t="n">
        <v>0</v>
      </c>
      <c r="D2051" t="n">
        <v>1358</v>
      </c>
      <c r="E2051" t="s">
        <v>2056</v>
      </c>
      <c r="F2051">
        <f>HYPERLINK("http://pbs.twimg.com/media/CyV_OKdW8AAVmWB.jpg", "http://pbs.twimg.com/media/CyV_OKdW8AAVmWB.jpg")</f>
        <v/>
      </c>
      <c r="G2051" t="s"/>
      <c r="H2051" t="s"/>
      <c r="I2051" t="s"/>
      <c r="J2051" t="n">
        <v>0</v>
      </c>
      <c r="K2051" t="n">
        <v>0</v>
      </c>
      <c r="L2051" t="n">
        <v>1</v>
      </c>
      <c r="M2051" t="n">
        <v>0</v>
      </c>
    </row>
    <row r="2052" spans="1:13">
      <c r="A2052" s="1">
        <f>HYPERLINK("http://www.twitter.com/NathanBLawrence/status/803278779292319744", "803278779292319744")</f>
        <v/>
      </c>
      <c r="B2052" s="2" t="n">
        <v>42702.69859953703</v>
      </c>
      <c r="C2052" t="n">
        <v>0</v>
      </c>
      <c r="D2052" t="n">
        <v>1376</v>
      </c>
      <c r="E2052" t="s">
        <v>2057</v>
      </c>
      <c r="F2052" t="s"/>
      <c r="G2052" t="s"/>
      <c r="H2052" t="s"/>
      <c r="I2052" t="s"/>
      <c r="J2052" t="n">
        <v>-0.5994</v>
      </c>
      <c r="K2052" t="n">
        <v>0.178</v>
      </c>
      <c r="L2052" t="n">
        <v>0.822</v>
      </c>
      <c r="M2052" t="n">
        <v>0</v>
      </c>
    </row>
    <row r="2053" spans="1:13">
      <c r="A2053" s="1">
        <f>HYPERLINK("http://www.twitter.com/NathanBLawrence/status/803278735994736640", "803278735994736640")</f>
        <v/>
      </c>
      <c r="B2053" s="2" t="n">
        <v>42702.6984837963</v>
      </c>
      <c r="C2053" t="n">
        <v>0</v>
      </c>
      <c r="D2053" t="n">
        <v>1590</v>
      </c>
      <c r="E2053" t="s">
        <v>2058</v>
      </c>
      <c r="F2053">
        <f>HYPERLINK("http://pbs.twimg.com/media/CyWEXT8XgAADD7O.jpg", "http://pbs.twimg.com/media/CyWEXT8XgAADD7O.jpg")</f>
        <v/>
      </c>
      <c r="G2053" t="s"/>
      <c r="H2053" t="s"/>
      <c r="I2053" t="s"/>
      <c r="J2053" t="n">
        <v>0</v>
      </c>
      <c r="K2053" t="n">
        <v>0</v>
      </c>
      <c r="L2053" t="n">
        <v>1</v>
      </c>
      <c r="M2053" t="n">
        <v>0</v>
      </c>
    </row>
    <row r="2054" spans="1:13">
      <c r="A2054" s="1">
        <f>HYPERLINK("http://www.twitter.com/NathanBLawrence/status/803278710480609280", "803278710480609280")</f>
        <v/>
      </c>
      <c r="B2054" s="2" t="n">
        <v>42702.69841435185</v>
      </c>
      <c r="C2054" t="n">
        <v>0</v>
      </c>
      <c r="D2054" t="n">
        <v>1229</v>
      </c>
      <c r="E2054" t="s">
        <v>2059</v>
      </c>
      <c r="F2054" t="s"/>
      <c r="G2054" t="s"/>
      <c r="H2054" t="s"/>
      <c r="I2054" t="s"/>
      <c r="J2054" t="n">
        <v>0</v>
      </c>
      <c r="K2054" t="n">
        <v>0</v>
      </c>
      <c r="L2054" t="n">
        <v>1</v>
      </c>
      <c r="M2054" t="n">
        <v>0</v>
      </c>
    </row>
    <row r="2055" spans="1:13">
      <c r="A2055" s="1">
        <f>HYPERLINK("http://www.twitter.com/NathanBLawrence/status/803278447548108800", "803278447548108800")</f>
        <v/>
      </c>
      <c r="B2055" s="2" t="n">
        <v>42702.69768518519</v>
      </c>
      <c r="C2055" t="n">
        <v>0</v>
      </c>
      <c r="D2055" t="n">
        <v>2560</v>
      </c>
      <c r="E2055" t="s">
        <v>2060</v>
      </c>
      <c r="F2055">
        <f>HYPERLINK("http://pbs.twimg.com/media/CyWJmgjWEAADTdW.jpg", "http://pbs.twimg.com/media/CyWJmgjWEAADTdW.jpg")</f>
        <v/>
      </c>
      <c r="G2055" t="s"/>
      <c r="H2055" t="s"/>
      <c r="I2055" t="s"/>
      <c r="J2055" t="n">
        <v>0</v>
      </c>
      <c r="K2055" t="n">
        <v>0</v>
      </c>
      <c r="L2055" t="n">
        <v>1</v>
      </c>
      <c r="M2055" t="n">
        <v>0</v>
      </c>
    </row>
    <row r="2056" spans="1:13">
      <c r="A2056" s="1">
        <f>HYPERLINK("http://www.twitter.com/NathanBLawrence/status/803277896710287360", "803277896710287360")</f>
        <v/>
      </c>
      <c r="B2056" s="2" t="n">
        <v>42702.69616898148</v>
      </c>
      <c r="C2056" t="n">
        <v>0</v>
      </c>
      <c r="D2056" t="n">
        <v>1904</v>
      </c>
      <c r="E2056" t="s">
        <v>2061</v>
      </c>
      <c r="F2056" t="s"/>
      <c r="G2056" t="s"/>
      <c r="H2056" t="s"/>
      <c r="I2056" t="s"/>
      <c r="J2056" t="n">
        <v>0</v>
      </c>
      <c r="K2056" t="n">
        <v>0</v>
      </c>
      <c r="L2056" t="n">
        <v>1</v>
      </c>
      <c r="M2056" t="n">
        <v>0</v>
      </c>
    </row>
    <row r="2057" spans="1:13">
      <c r="A2057" s="1">
        <f>HYPERLINK("http://www.twitter.com/NathanBLawrence/status/803142492484988928", "803142492484988928")</f>
        <v/>
      </c>
      <c r="B2057" s="2" t="n">
        <v>42702.32252314815</v>
      </c>
      <c r="C2057" t="n">
        <v>0</v>
      </c>
      <c r="D2057" t="n">
        <v>506</v>
      </c>
      <c r="E2057" t="s">
        <v>2062</v>
      </c>
      <c r="F2057" t="s"/>
      <c r="G2057" t="s"/>
      <c r="H2057" t="s"/>
      <c r="I2057" t="s"/>
      <c r="J2057" t="n">
        <v>-0.7184</v>
      </c>
      <c r="K2057" t="n">
        <v>0.285</v>
      </c>
      <c r="L2057" t="n">
        <v>0.596</v>
      </c>
      <c r="M2057" t="n">
        <v>0.119</v>
      </c>
    </row>
    <row r="2058" spans="1:13">
      <c r="A2058" s="1">
        <f>HYPERLINK("http://www.twitter.com/NathanBLawrence/status/803141716500955136", "803141716500955136")</f>
        <v/>
      </c>
      <c r="B2058" s="2" t="n">
        <v>42702.32038194445</v>
      </c>
      <c r="C2058" t="n">
        <v>0</v>
      </c>
      <c r="D2058" t="n">
        <v>252</v>
      </c>
      <c r="E2058" t="s">
        <v>2063</v>
      </c>
      <c r="F2058" t="s"/>
      <c r="G2058" t="s"/>
      <c r="H2058" t="s"/>
      <c r="I2058" t="s"/>
      <c r="J2058" t="n">
        <v>0.4767</v>
      </c>
      <c r="K2058" t="n">
        <v>0.129</v>
      </c>
      <c r="L2058" t="n">
        <v>0.613</v>
      </c>
      <c r="M2058" t="n">
        <v>0.258</v>
      </c>
    </row>
    <row r="2059" spans="1:13">
      <c r="A2059" s="1">
        <f>HYPERLINK("http://www.twitter.com/NathanBLawrence/status/803035737796972544", "803035737796972544")</f>
        <v/>
      </c>
      <c r="B2059" s="2" t="n">
        <v>42702.02793981481</v>
      </c>
      <c r="C2059" t="n">
        <v>0</v>
      </c>
      <c r="D2059" t="n">
        <v>1509</v>
      </c>
      <c r="E2059" t="s">
        <v>2064</v>
      </c>
      <c r="F2059" t="s"/>
      <c r="G2059" t="s"/>
      <c r="H2059" t="s"/>
      <c r="I2059" t="s"/>
      <c r="J2059" t="n">
        <v>-0.8126</v>
      </c>
      <c r="K2059" t="n">
        <v>0.432</v>
      </c>
      <c r="L2059" t="n">
        <v>0.353</v>
      </c>
      <c r="M2059" t="n">
        <v>0.215</v>
      </c>
    </row>
    <row r="2060" spans="1:13">
      <c r="A2060" s="1">
        <f>HYPERLINK("http://www.twitter.com/NathanBLawrence/status/802871515054272512", "802871515054272512")</f>
        <v/>
      </c>
      <c r="B2060" s="2" t="n">
        <v>42701.57476851852</v>
      </c>
      <c r="C2060" t="n">
        <v>0</v>
      </c>
      <c r="D2060" t="n">
        <v>283</v>
      </c>
      <c r="E2060" t="s">
        <v>2065</v>
      </c>
      <c r="F2060" t="s"/>
      <c r="G2060" t="s"/>
      <c r="H2060" t="s"/>
      <c r="I2060" t="s"/>
      <c r="J2060" t="n">
        <v>0.6369</v>
      </c>
      <c r="K2060" t="n">
        <v>0</v>
      </c>
      <c r="L2060" t="n">
        <v>0.851</v>
      </c>
      <c r="M2060" t="n">
        <v>0.149</v>
      </c>
    </row>
    <row r="2061" spans="1:13">
      <c r="A2061" s="1">
        <f>HYPERLINK("http://www.twitter.com/NathanBLawrence/status/802871285739044864", "802871285739044864")</f>
        <v/>
      </c>
      <c r="B2061" s="2" t="n">
        <v>42701.57413194444</v>
      </c>
      <c r="C2061" t="n">
        <v>0</v>
      </c>
      <c r="D2061" t="n">
        <v>240</v>
      </c>
      <c r="E2061" t="s">
        <v>2066</v>
      </c>
      <c r="F2061" t="s"/>
      <c r="G2061" t="s"/>
      <c r="H2061" t="s"/>
      <c r="I2061" t="s"/>
      <c r="J2061" t="n">
        <v>-0.296</v>
      </c>
      <c r="K2061" t="n">
        <v>0.095</v>
      </c>
      <c r="L2061" t="n">
        <v>0.905</v>
      </c>
      <c r="M2061" t="n">
        <v>0</v>
      </c>
    </row>
    <row r="2062" spans="1:13">
      <c r="A2062" s="1">
        <f>HYPERLINK("http://www.twitter.com/NathanBLawrence/status/802870941206409216", "802870941206409216")</f>
        <v/>
      </c>
      <c r="B2062" s="2" t="n">
        <v>42701.57318287037</v>
      </c>
      <c r="C2062" t="n">
        <v>0</v>
      </c>
      <c r="D2062" t="n">
        <v>895</v>
      </c>
      <c r="E2062" t="s">
        <v>2067</v>
      </c>
      <c r="F2062" t="s"/>
      <c r="G2062" t="s"/>
      <c r="H2062" t="s"/>
      <c r="I2062" t="s"/>
      <c r="J2062" t="n">
        <v>-0.7579</v>
      </c>
      <c r="K2062" t="n">
        <v>0.255</v>
      </c>
      <c r="L2062" t="n">
        <v>0.745</v>
      </c>
      <c r="M2062" t="n">
        <v>0</v>
      </c>
    </row>
    <row r="2063" spans="1:13">
      <c r="A2063" s="1">
        <f>HYPERLINK("http://www.twitter.com/NathanBLawrence/status/802741867603337216", "802741867603337216")</f>
        <v/>
      </c>
      <c r="B2063" s="2" t="n">
        <v>42701.21701388889</v>
      </c>
      <c r="C2063" t="n">
        <v>0</v>
      </c>
      <c r="D2063" t="n">
        <v>786</v>
      </c>
      <c r="E2063" t="s">
        <v>2068</v>
      </c>
      <c r="F2063" t="s"/>
      <c r="G2063" t="s"/>
      <c r="H2063" t="s"/>
      <c r="I2063" t="s"/>
      <c r="J2063" t="n">
        <v>0</v>
      </c>
      <c r="K2063" t="n">
        <v>0</v>
      </c>
      <c r="L2063" t="n">
        <v>1</v>
      </c>
      <c r="M2063" t="n">
        <v>0</v>
      </c>
    </row>
    <row r="2064" spans="1:13">
      <c r="A2064" s="1">
        <f>HYPERLINK("http://www.twitter.com/NathanBLawrence/status/802741837056315392", "802741837056315392")</f>
        <v/>
      </c>
      <c r="B2064" s="2" t="n">
        <v>42701.2169212963</v>
      </c>
      <c r="C2064" t="n">
        <v>0</v>
      </c>
      <c r="D2064" t="n">
        <v>1071</v>
      </c>
      <c r="E2064" t="s">
        <v>2069</v>
      </c>
      <c r="F2064">
        <f>HYPERLINK("http://pbs.twimg.com/media/CyGPXvvXUAAtPKX.jpg", "http://pbs.twimg.com/media/CyGPXvvXUAAtPKX.jpg")</f>
        <v/>
      </c>
      <c r="G2064" t="s"/>
      <c r="H2064" t="s"/>
      <c r="I2064" t="s"/>
      <c r="J2064" t="n">
        <v>-0.4005</v>
      </c>
      <c r="K2064" t="n">
        <v>0.152</v>
      </c>
      <c r="L2064" t="n">
        <v>0.848</v>
      </c>
      <c r="M2064" t="n">
        <v>0</v>
      </c>
    </row>
    <row r="2065" spans="1:13">
      <c r="A2065" s="1">
        <f>HYPERLINK("http://www.twitter.com/NathanBLawrence/status/802741834917220352", "802741834917220352")</f>
        <v/>
      </c>
      <c r="B2065" s="2" t="n">
        <v>42701.2169212963</v>
      </c>
      <c r="C2065" t="n">
        <v>0</v>
      </c>
      <c r="D2065" t="n">
        <v>2230</v>
      </c>
      <c r="E2065" t="s">
        <v>2070</v>
      </c>
      <c r="F2065" t="s"/>
      <c r="G2065" t="s"/>
      <c r="H2065" t="s"/>
      <c r="I2065" t="s"/>
      <c r="J2065" t="n">
        <v>0</v>
      </c>
      <c r="K2065" t="n">
        <v>0</v>
      </c>
      <c r="L2065" t="n">
        <v>1</v>
      </c>
      <c r="M2065" t="n">
        <v>0</v>
      </c>
    </row>
    <row r="2066" spans="1:13">
      <c r="A2066" s="1">
        <f>HYPERLINK("http://www.twitter.com/NathanBLawrence/status/802716679675506688", "802716679675506688")</f>
        <v/>
      </c>
      <c r="B2066" s="2" t="n">
        <v>42701.1475</v>
      </c>
      <c r="C2066" t="n">
        <v>0</v>
      </c>
      <c r="D2066" t="n">
        <v>1060</v>
      </c>
      <c r="E2066" t="s">
        <v>2071</v>
      </c>
      <c r="F2066" t="s"/>
      <c r="G2066" t="s"/>
      <c r="H2066" t="s"/>
      <c r="I2066" t="s"/>
      <c r="J2066" t="n">
        <v>-0.8074</v>
      </c>
      <c r="K2066" t="n">
        <v>0.477</v>
      </c>
      <c r="L2066" t="n">
        <v>0.523</v>
      </c>
      <c r="M2066" t="n">
        <v>0</v>
      </c>
    </row>
    <row r="2067" spans="1:13">
      <c r="A2067" s="1">
        <f>HYPERLINK("http://www.twitter.com/NathanBLawrence/status/802716471172407296", "802716471172407296")</f>
        <v/>
      </c>
      <c r="B2067" s="2" t="n">
        <v>42701.14693287037</v>
      </c>
      <c r="C2067" t="n">
        <v>0</v>
      </c>
      <c r="D2067" t="n">
        <v>7536</v>
      </c>
      <c r="E2067" t="s">
        <v>2072</v>
      </c>
      <c r="F2067" t="s"/>
      <c r="G2067" t="s"/>
      <c r="H2067" t="s"/>
      <c r="I2067" t="s"/>
      <c r="J2067" t="n">
        <v>0.6369</v>
      </c>
      <c r="K2067" t="n">
        <v>0</v>
      </c>
      <c r="L2067" t="n">
        <v>0.776</v>
      </c>
      <c r="M2067" t="n">
        <v>0.224</v>
      </c>
    </row>
    <row r="2068" spans="1:13">
      <c r="A2068" s="1">
        <f>HYPERLINK("http://www.twitter.com/NathanBLawrence/status/802614763683315716", "802614763683315716")</f>
        <v/>
      </c>
      <c r="B2068" s="2" t="n">
        <v>42700.86627314815</v>
      </c>
      <c r="C2068" t="n">
        <v>0</v>
      </c>
      <c r="D2068" t="n">
        <v>373</v>
      </c>
      <c r="E2068" t="s">
        <v>2073</v>
      </c>
      <c r="F2068">
        <f>HYPERLINK("http://pbs.twimg.com/media/CyNwo6OW8AA0hDf.jpg", "http://pbs.twimg.com/media/CyNwo6OW8AA0hDf.jpg")</f>
        <v/>
      </c>
      <c r="G2068" t="s"/>
      <c r="H2068" t="s"/>
      <c r="I2068" t="s"/>
      <c r="J2068" t="n">
        <v>0.0516</v>
      </c>
      <c r="K2068" t="n">
        <v>0.164</v>
      </c>
      <c r="L2068" t="n">
        <v>0.658</v>
      </c>
      <c r="M2068" t="n">
        <v>0.178</v>
      </c>
    </row>
    <row r="2069" spans="1:13">
      <c r="A2069" s="1">
        <f>HYPERLINK("http://www.twitter.com/NathanBLawrence/status/802613497553006592", "802613497553006592")</f>
        <v/>
      </c>
      <c r="B2069" s="2" t="n">
        <v>42700.86277777778</v>
      </c>
      <c r="C2069" t="n">
        <v>0</v>
      </c>
      <c r="D2069" t="n">
        <v>27</v>
      </c>
      <c r="E2069" t="s">
        <v>2074</v>
      </c>
      <c r="F2069" t="s"/>
      <c r="G2069" t="s"/>
      <c r="H2069" t="s"/>
      <c r="I2069" t="s"/>
      <c r="J2069" t="n">
        <v>0</v>
      </c>
      <c r="K2069" t="n">
        <v>0</v>
      </c>
      <c r="L2069" t="n">
        <v>1</v>
      </c>
      <c r="M2069" t="n">
        <v>0</v>
      </c>
    </row>
    <row r="2070" spans="1:13">
      <c r="A2070" s="1">
        <f>HYPERLINK("http://www.twitter.com/NathanBLawrence/status/802613093180252160", "802613093180252160")</f>
        <v/>
      </c>
      <c r="B2070" s="2" t="n">
        <v>42700.86165509259</v>
      </c>
      <c r="C2070" t="n">
        <v>0</v>
      </c>
      <c r="D2070" t="n">
        <v>256</v>
      </c>
      <c r="E2070" t="s">
        <v>2075</v>
      </c>
      <c r="F2070" t="s"/>
      <c r="G2070" t="s"/>
      <c r="H2070" t="s"/>
      <c r="I2070" t="s"/>
      <c r="J2070" t="n">
        <v>-0.8705000000000001</v>
      </c>
      <c r="K2070" t="n">
        <v>0.39</v>
      </c>
      <c r="L2070" t="n">
        <v>0.61</v>
      </c>
      <c r="M2070" t="n">
        <v>0</v>
      </c>
    </row>
    <row r="2071" spans="1:13">
      <c r="A2071" s="1">
        <f>HYPERLINK("http://www.twitter.com/NathanBLawrence/status/802612545072799745", "802612545072799745")</f>
        <v/>
      </c>
      <c r="B2071" s="2" t="n">
        <v>42700.86015046296</v>
      </c>
      <c r="C2071" t="n">
        <v>0</v>
      </c>
      <c r="D2071" t="n">
        <v>2138</v>
      </c>
      <c r="E2071" t="s">
        <v>2076</v>
      </c>
      <c r="F2071" t="s"/>
      <c r="G2071" t="s"/>
      <c r="H2071" t="s"/>
      <c r="I2071" t="s"/>
      <c r="J2071" t="n">
        <v>0</v>
      </c>
      <c r="K2071" t="n">
        <v>0</v>
      </c>
      <c r="L2071" t="n">
        <v>1</v>
      </c>
      <c r="M2071" t="n">
        <v>0</v>
      </c>
    </row>
    <row r="2072" spans="1:13">
      <c r="A2072" s="1">
        <f>HYPERLINK("http://www.twitter.com/NathanBLawrence/status/802612388340101120", "802612388340101120")</f>
        <v/>
      </c>
      <c r="B2072" s="2" t="n">
        <v>42700.85971064815</v>
      </c>
      <c r="C2072" t="n">
        <v>0</v>
      </c>
      <c r="D2072" t="n">
        <v>755</v>
      </c>
      <c r="E2072" t="s">
        <v>2077</v>
      </c>
      <c r="F2072" t="s"/>
      <c r="G2072" t="s"/>
      <c r="H2072" t="s"/>
      <c r="I2072" t="s"/>
      <c r="J2072" t="n">
        <v>0.4572</v>
      </c>
      <c r="K2072" t="n">
        <v>0</v>
      </c>
      <c r="L2072" t="n">
        <v>0.875</v>
      </c>
      <c r="M2072" t="n">
        <v>0.125</v>
      </c>
    </row>
    <row r="2073" spans="1:13">
      <c r="A2073" s="1">
        <f>HYPERLINK("http://www.twitter.com/NathanBLawrence/status/802612078276214789", "802612078276214789")</f>
        <v/>
      </c>
      <c r="B2073" s="2" t="n">
        <v>42700.85885416667</v>
      </c>
      <c r="C2073" t="n">
        <v>0</v>
      </c>
      <c r="D2073" t="n">
        <v>611</v>
      </c>
      <c r="E2073" t="s">
        <v>2078</v>
      </c>
      <c r="F2073" t="s"/>
      <c r="G2073" t="s"/>
      <c r="H2073" t="s"/>
      <c r="I2073" t="s"/>
      <c r="J2073" t="n">
        <v>-0.6249</v>
      </c>
      <c r="K2073" t="n">
        <v>0.163</v>
      </c>
      <c r="L2073" t="n">
        <v>0.837</v>
      </c>
      <c r="M2073" t="n">
        <v>0</v>
      </c>
    </row>
    <row r="2074" spans="1:13">
      <c r="A2074" s="1">
        <f>HYPERLINK("http://www.twitter.com/NathanBLawrence/status/802611832787636224", "802611832787636224")</f>
        <v/>
      </c>
      <c r="B2074" s="2" t="n">
        <v>42700.85818287037</v>
      </c>
      <c r="C2074" t="n">
        <v>0</v>
      </c>
      <c r="D2074" t="n">
        <v>541</v>
      </c>
      <c r="E2074" t="s">
        <v>2079</v>
      </c>
      <c r="F2074" t="s"/>
      <c r="G2074" t="s"/>
      <c r="H2074" t="s"/>
      <c r="I2074" t="s"/>
      <c r="J2074" t="n">
        <v>-0.7717000000000001</v>
      </c>
      <c r="K2074" t="n">
        <v>0.312</v>
      </c>
      <c r="L2074" t="n">
        <v>0.6879999999999999</v>
      </c>
      <c r="M2074" t="n">
        <v>0</v>
      </c>
    </row>
    <row r="2075" spans="1:13">
      <c r="A2075" s="1">
        <f>HYPERLINK("http://www.twitter.com/NathanBLawrence/status/802611752139628544", "802611752139628544")</f>
        <v/>
      </c>
      <c r="B2075" s="2" t="n">
        <v>42700.85796296296</v>
      </c>
      <c r="C2075" t="n">
        <v>0</v>
      </c>
      <c r="D2075" t="n">
        <v>1162</v>
      </c>
      <c r="E2075" t="s">
        <v>2080</v>
      </c>
      <c r="F2075" t="s"/>
      <c r="G2075" t="s"/>
      <c r="H2075" t="s"/>
      <c r="I2075" t="s"/>
      <c r="J2075" t="n">
        <v>0.3919</v>
      </c>
      <c r="K2075" t="n">
        <v>0.173</v>
      </c>
      <c r="L2075" t="n">
        <v>0.599</v>
      </c>
      <c r="M2075" t="n">
        <v>0.228</v>
      </c>
    </row>
    <row r="2076" spans="1:13">
      <c r="A2076" s="1">
        <f>HYPERLINK("http://www.twitter.com/NathanBLawrence/status/802611657285443584", "802611657285443584")</f>
        <v/>
      </c>
      <c r="B2076" s="2" t="n">
        <v>42700.85769675926</v>
      </c>
      <c r="C2076" t="n">
        <v>0</v>
      </c>
      <c r="D2076" t="n">
        <v>7655</v>
      </c>
      <c r="E2076" t="s">
        <v>2081</v>
      </c>
      <c r="F2076" t="s"/>
      <c r="G2076" t="s"/>
      <c r="H2076" t="s"/>
      <c r="I2076" t="s"/>
      <c r="J2076" t="n">
        <v>0.296</v>
      </c>
      <c r="K2076" t="n">
        <v>0.104</v>
      </c>
      <c r="L2076" t="n">
        <v>0.739</v>
      </c>
      <c r="M2076" t="n">
        <v>0.157</v>
      </c>
    </row>
    <row r="2077" spans="1:13">
      <c r="A2077" s="1">
        <f>HYPERLINK("http://www.twitter.com/NathanBLawrence/status/802545312418164736", "802545312418164736")</f>
        <v/>
      </c>
      <c r="B2077" s="2" t="n">
        <v>42700.67461805556</v>
      </c>
      <c r="C2077" t="n">
        <v>0</v>
      </c>
      <c r="D2077" t="n">
        <v>82</v>
      </c>
      <c r="E2077" t="s">
        <v>2082</v>
      </c>
      <c r="F2077" t="s"/>
      <c r="G2077" t="s"/>
      <c r="H2077" t="s"/>
      <c r="I2077" t="s"/>
      <c r="J2077" t="n">
        <v>-0.3612</v>
      </c>
      <c r="K2077" t="n">
        <v>0.106</v>
      </c>
      <c r="L2077" t="n">
        <v>0.894</v>
      </c>
      <c r="M2077" t="n">
        <v>0</v>
      </c>
    </row>
    <row r="2078" spans="1:13">
      <c r="A2078" s="1">
        <f>HYPERLINK("http://www.twitter.com/NathanBLawrence/status/802544144505864192", "802544144505864192")</f>
        <v/>
      </c>
      <c r="B2078" s="2" t="n">
        <v>42700.67140046296</v>
      </c>
      <c r="C2078" t="n">
        <v>0</v>
      </c>
      <c r="D2078" t="n">
        <v>2671</v>
      </c>
      <c r="E2078" t="s">
        <v>2083</v>
      </c>
      <c r="F2078" t="s"/>
      <c r="G2078" t="s"/>
      <c r="H2078" t="s"/>
      <c r="I2078" t="s"/>
      <c r="J2078" t="n">
        <v>0.128</v>
      </c>
      <c r="K2078" t="n">
        <v>0.08799999999999999</v>
      </c>
      <c r="L2078" t="n">
        <v>0.803</v>
      </c>
      <c r="M2078" t="n">
        <v>0.108</v>
      </c>
    </row>
    <row r="2079" spans="1:13">
      <c r="A2079" s="1">
        <f>HYPERLINK("http://www.twitter.com/NathanBLawrence/status/802543984543285248", "802543984543285248")</f>
        <v/>
      </c>
      <c r="B2079" s="2" t="n">
        <v>42700.67096064815</v>
      </c>
      <c r="C2079" t="n">
        <v>0</v>
      </c>
      <c r="D2079" t="n">
        <v>3326</v>
      </c>
      <c r="E2079" t="s">
        <v>2084</v>
      </c>
      <c r="F2079">
        <f>HYPERLINK("http://pbs.twimg.com/media/CyJciD8WEAAd0Km.jpg", "http://pbs.twimg.com/media/CyJciD8WEAAd0Km.jpg")</f>
        <v/>
      </c>
      <c r="G2079" t="s"/>
      <c r="H2079" t="s"/>
      <c r="I2079" t="s"/>
      <c r="J2079" t="n">
        <v>0.5859</v>
      </c>
      <c r="K2079" t="n">
        <v>0.08799999999999999</v>
      </c>
      <c r="L2079" t="n">
        <v>0.625</v>
      </c>
      <c r="M2079" t="n">
        <v>0.288</v>
      </c>
    </row>
    <row r="2080" spans="1:13">
      <c r="A2080" s="1">
        <f>HYPERLINK("http://www.twitter.com/NathanBLawrence/status/802543941673504768", "802543941673504768")</f>
        <v/>
      </c>
      <c r="B2080" s="2" t="n">
        <v>42700.67083333333</v>
      </c>
      <c r="C2080" t="n">
        <v>0</v>
      </c>
      <c r="D2080" t="n">
        <v>1975</v>
      </c>
      <c r="E2080" t="s">
        <v>2085</v>
      </c>
      <c r="F2080" t="s"/>
      <c r="G2080" t="s"/>
      <c r="H2080" t="s"/>
      <c r="I2080" t="s"/>
      <c r="J2080" t="n">
        <v>0.7003</v>
      </c>
      <c r="K2080" t="n">
        <v>0</v>
      </c>
      <c r="L2080" t="n">
        <v>0.766</v>
      </c>
      <c r="M2080" t="n">
        <v>0.234</v>
      </c>
    </row>
    <row r="2081" spans="1:13">
      <c r="A2081" s="1">
        <f>HYPERLINK("http://www.twitter.com/NathanBLawrence/status/802543852212998144", "802543852212998144")</f>
        <v/>
      </c>
      <c r="B2081" s="2" t="n">
        <v>42700.67059027778</v>
      </c>
      <c r="C2081" t="n">
        <v>0</v>
      </c>
      <c r="D2081" t="n">
        <v>1727</v>
      </c>
      <c r="E2081" t="s">
        <v>2086</v>
      </c>
      <c r="F2081" t="s"/>
      <c r="G2081" t="s"/>
      <c r="H2081" t="s"/>
      <c r="I2081" t="s"/>
      <c r="J2081" t="n">
        <v>-0.77</v>
      </c>
      <c r="K2081" t="n">
        <v>0.23</v>
      </c>
      <c r="L2081" t="n">
        <v>0.77</v>
      </c>
      <c r="M2081" t="n">
        <v>0</v>
      </c>
    </row>
    <row r="2082" spans="1:13">
      <c r="A2082" s="1">
        <f>HYPERLINK("http://www.twitter.com/NathanBLawrence/status/802542938597314560", "802542938597314560")</f>
        <v/>
      </c>
      <c r="B2082" s="2" t="n">
        <v>42700.66806712963</v>
      </c>
      <c r="C2082" t="n">
        <v>0</v>
      </c>
      <c r="D2082" t="n">
        <v>5463</v>
      </c>
      <c r="E2082" t="s">
        <v>2087</v>
      </c>
      <c r="F2082" t="s"/>
      <c r="G2082" t="s"/>
      <c r="H2082" t="s"/>
      <c r="I2082" t="s"/>
      <c r="J2082" t="n">
        <v>0.1779</v>
      </c>
      <c r="K2082" t="n">
        <v>0</v>
      </c>
      <c r="L2082" t="n">
        <v>0.918</v>
      </c>
      <c r="M2082" t="n">
        <v>0.082</v>
      </c>
    </row>
    <row r="2083" spans="1:13">
      <c r="A2083" s="1">
        <f>HYPERLINK("http://www.twitter.com/NathanBLawrence/status/802542794850074624", "802542794850074624")</f>
        <v/>
      </c>
      <c r="B2083" s="2" t="n">
        <v>42700.66767361111</v>
      </c>
      <c r="C2083" t="n">
        <v>0</v>
      </c>
      <c r="D2083" t="n">
        <v>32</v>
      </c>
      <c r="E2083" t="s">
        <v>2088</v>
      </c>
      <c r="F2083" t="s"/>
      <c r="G2083" t="s"/>
      <c r="H2083" t="s"/>
      <c r="I2083" t="s"/>
      <c r="J2083" t="n">
        <v>-0.6633</v>
      </c>
      <c r="K2083" t="n">
        <v>0.189</v>
      </c>
      <c r="L2083" t="n">
        <v>0.8110000000000001</v>
      </c>
      <c r="M2083" t="n">
        <v>0</v>
      </c>
    </row>
    <row r="2084" spans="1:13">
      <c r="A2084" s="1">
        <f>HYPERLINK("http://www.twitter.com/NathanBLawrence/status/802541741110886401", "802541741110886401")</f>
        <v/>
      </c>
      <c r="B2084" s="2" t="n">
        <v>42700.66476851852</v>
      </c>
      <c r="C2084" t="n">
        <v>0</v>
      </c>
      <c r="D2084" t="n">
        <v>795</v>
      </c>
      <c r="E2084" t="s">
        <v>2089</v>
      </c>
      <c r="F2084" t="s"/>
      <c r="G2084" t="s"/>
      <c r="H2084" t="s"/>
      <c r="I2084" t="s"/>
      <c r="J2084" t="n">
        <v>0</v>
      </c>
      <c r="K2084" t="n">
        <v>0</v>
      </c>
      <c r="L2084" t="n">
        <v>1</v>
      </c>
      <c r="M2084" t="n">
        <v>0</v>
      </c>
    </row>
    <row r="2085" spans="1:13">
      <c r="A2085" s="1">
        <f>HYPERLINK("http://www.twitter.com/NathanBLawrence/status/802530241788919808", "802530241788919808")</f>
        <v/>
      </c>
      <c r="B2085" s="2" t="n">
        <v>42700.63303240741</v>
      </c>
      <c r="C2085" t="n">
        <v>0</v>
      </c>
      <c r="D2085" t="n">
        <v>2321</v>
      </c>
      <c r="E2085" t="s">
        <v>2090</v>
      </c>
      <c r="F2085" t="s"/>
      <c r="G2085" t="s"/>
      <c r="H2085" t="s"/>
      <c r="I2085" t="s"/>
      <c r="J2085" t="n">
        <v>-0.7579</v>
      </c>
      <c r="K2085" t="n">
        <v>0.255</v>
      </c>
      <c r="L2085" t="n">
        <v>0.745</v>
      </c>
      <c r="M2085" t="n">
        <v>0</v>
      </c>
    </row>
    <row r="2086" spans="1:13">
      <c r="A2086" s="1">
        <f>HYPERLINK("http://www.twitter.com/NathanBLawrence/status/802344934879719425", "802344934879719425")</f>
        <v/>
      </c>
      <c r="B2086" s="2" t="n">
        <v>42700.12167824074</v>
      </c>
      <c r="C2086" t="n">
        <v>0</v>
      </c>
      <c r="D2086" t="n">
        <v>539</v>
      </c>
      <c r="E2086" t="s">
        <v>2091</v>
      </c>
      <c r="F2086" t="s"/>
      <c r="G2086" t="s"/>
      <c r="H2086" t="s"/>
      <c r="I2086" t="s"/>
      <c r="J2086" t="n">
        <v>-0.3612</v>
      </c>
      <c r="K2086" t="n">
        <v>0.098</v>
      </c>
      <c r="L2086" t="n">
        <v>0.902</v>
      </c>
      <c r="M2086" t="n">
        <v>0</v>
      </c>
    </row>
    <row r="2087" spans="1:13">
      <c r="A2087" s="1">
        <f>HYPERLINK("http://www.twitter.com/NathanBLawrence/status/802344266039226368", "802344266039226368")</f>
        <v/>
      </c>
      <c r="B2087" s="2" t="n">
        <v>42700.11983796296</v>
      </c>
      <c r="C2087" t="n">
        <v>0</v>
      </c>
      <c r="D2087" t="n">
        <v>202</v>
      </c>
      <c r="E2087" t="s">
        <v>2092</v>
      </c>
      <c r="F2087" t="s"/>
      <c r="G2087" t="s"/>
      <c r="H2087" t="s"/>
      <c r="I2087" t="s"/>
      <c r="J2087" t="n">
        <v>0</v>
      </c>
      <c r="K2087" t="n">
        <v>0</v>
      </c>
      <c r="L2087" t="n">
        <v>1</v>
      </c>
      <c r="M2087" t="n">
        <v>0</v>
      </c>
    </row>
    <row r="2088" spans="1:13">
      <c r="A2088" s="1">
        <f>HYPERLINK("http://www.twitter.com/NathanBLawrence/status/802344087030472704", "802344087030472704")</f>
        <v/>
      </c>
      <c r="B2088" s="2" t="n">
        <v>42700.11934027778</v>
      </c>
      <c r="C2088" t="n">
        <v>0</v>
      </c>
      <c r="D2088" t="n">
        <v>134</v>
      </c>
      <c r="E2088" t="s">
        <v>2093</v>
      </c>
      <c r="F2088" t="s"/>
      <c r="G2088" t="s"/>
      <c r="H2088" t="s"/>
      <c r="I2088" t="s"/>
      <c r="J2088" t="n">
        <v>-0.431</v>
      </c>
      <c r="K2088" t="n">
        <v>0.125</v>
      </c>
      <c r="L2088" t="n">
        <v>0.875</v>
      </c>
      <c r="M2088" t="n">
        <v>0</v>
      </c>
    </row>
    <row r="2089" spans="1:13">
      <c r="A2089" s="1">
        <f>HYPERLINK("http://www.twitter.com/NathanBLawrence/status/802343865655103488", "802343865655103488")</f>
        <v/>
      </c>
      <c r="B2089" s="2" t="n">
        <v>42700.11873842592</v>
      </c>
      <c r="C2089" t="n">
        <v>0</v>
      </c>
      <c r="D2089" t="n">
        <v>342</v>
      </c>
      <c r="E2089" t="s">
        <v>2094</v>
      </c>
      <c r="F2089" t="s"/>
      <c r="G2089" t="s"/>
      <c r="H2089" t="s"/>
      <c r="I2089" t="s"/>
      <c r="J2089" t="n">
        <v>0</v>
      </c>
      <c r="K2089" t="n">
        <v>0</v>
      </c>
      <c r="L2089" t="n">
        <v>1</v>
      </c>
      <c r="M2089" t="n">
        <v>0</v>
      </c>
    </row>
    <row r="2090" spans="1:13">
      <c r="A2090" s="1">
        <f>HYPERLINK("http://www.twitter.com/NathanBLawrence/status/802342599654854656", "802342599654854656")</f>
        <v/>
      </c>
      <c r="B2090" s="2" t="n">
        <v>42700.11524305555</v>
      </c>
      <c r="C2090" t="n">
        <v>0</v>
      </c>
      <c r="D2090" t="n">
        <v>411</v>
      </c>
      <c r="E2090" t="s">
        <v>2095</v>
      </c>
      <c r="F2090">
        <f>HYPERLINK("http://pbs.twimg.com/media/CyJWxKPWgAA9Kir.jpg", "http://pbs.twimg.com/media/CyJWxKPWgAA9Kir.jpg")</f>
        <v/>
      </c>
      <c r="G2090" t="s"/>
      <c r="H2090" t="s"/>
      <c r="I2090" t="s"/>
      <c r="J2090" t="n">
        <v>-0.6808</v>
      </c>
      <c r="K2090" t="n">
        <v>0.361</v>
      </c>
      <c r="L2090" t="n">
        <v>0.522</v>
      </c>
      <c r="M2090" t="n">
        <v>0.117</v>
      </c>
    </row>
    <row r="2091" spans="1:13">
      <c r="A2091" s="1">
        <f>HYPERLINK("http://www.twitter.com/NathanBLawrence/status/802342490498023424", "802342490498023424")</f>
        <v/>
      </c>
      <c r="B2091" s="2" t="n">
        <v>42700.11494212963</v>
      </c>
      <c r="C2091" t="n">
        <v>0</v>
      </c>
      <c r="D2091" t="n">
        <v>1755</v>
      </c>
      <c r="E2091" t="s">
        <v>2096</v>
      </c>
      <c r="F2091">
        <f>HYPERLINK("http://pbs.twimg.com/media/CyG11YOXEAAr7EG.jpg", "http://pbs.twimg.com/media/CyG11YOXEAAr7EG.jpg")</f>
        <v/>
      </c>
      <c r="G2091" t="s"/>
      <c r="H2091" t="s"/>
      <c r="I2091" t="s"/>
      <c r="J2091" t="n">
        <v>0</v>
      </c>
      <c r="K2091" t="n">
        <v>0</v>
      </c>
      <c r="L2091" t="n">
        <v>1</v>
      </c>
      <c r="M2091" t="n">
        <v>0</v>
      </c>
    </row>
    <row r="2092" spans="1:13">
      <c r="A2092" s="1">
        <f>HYPERLINK("http://www.twitter.com/NathanBLawrence/status/802330941876305920", "802330941876305920")</f>
        <v/>
      </c>
      <c r="B2092" s="2" t="n">
        <v>42700.08306712963</v>
      </c>
      <c r="C2092" t="n">
        <v>0</v>
      </c>
      <c r="D2092" t="n">
        <v>18</v>
      </c>
      <c r="E2092" t="s">
        <v>2097</v>
      </c>
      <c r="F2092" t="s"/>
      <c r="G2092" t="s"/>
      <c r="H2092" t="s"/>
      <c r="I2092" t="s"/>
      <c r="J2092" t="n">
        <v>0.079</v>
      </c>
      <c r="K2092" t="n">
        <v>0.108</v>
      </c>
      <c r="L2092" t="n">
        <v>0.8110000000000001</v>
      </c>
      <c r="M2092" t="n">
        <v>0.081</v>
      </c>
    </row>
    <row r="2093" spans="1:13">
      <c r="A2093" s="1">
        <f>HYPERLINK("http://www.twitter.com/NathanBLawrence/status/802278724725067777", "802278724725067777")</f>
        <v/>
      </c>
      <c r="B2093" s="2" t="n">
        <v>42699.93898148148</v>
      </c>
      <c r="C2093" t="n">
        <v>0</v>
      </c>
      <c r="D2093" t="n">
        <v>916</v>
      </c>
      <c r="E2093" t="s">
        <v>2098</v>
      </c>
      <c r="F2093">
        <f>HYPERLINK("http://pbs.twimg.com/media/CyHVEgHXcAIdUPm.jpg", "http://pbs.twimg.com/media/CyHVEgHXcAIdUPm.jpg")</f>
        <v/>
      </c>
      <c r="G2093" t="s"/>
      <c r="H2093" t="s"/>
      <c r="I2093" t="s"/>
      <c r="J2093" t="n">
        <v>0.3818</v>
      </c>
      <c r="K2093" t="n">
        <v>0.09</v>
      </c>
      <c r="L2093" t="n">
        <v>0.745</v>
      </c>
      <c r="M2093" t="n">
        <v>0.165</v>
      </c>
    </row>
    <row r="2094" spans="1:13">
      <c r="A2094" s="1">
        <f>HYPERLINK("http://www.twitter.com/NathanBLawrence/status/802278571490349056", "802278571490349056")</f>
        <v/>
      </c>
      <c r="B2094" s="2" t="n">
        <v>42699.93855324074</v>
      </c>
      <c r="C2094" t="n">
        <v>0</v>
      </c>
      <c r="D2094" t="n">
        <v>2123</v>
      </c>
      <c r="E2094" t="s">
        <v>2099</v>
      </c>
      <c r="F2094">
        <f>HYPERLINK("http://pbs.twimg.com/media/CyD7Dm5UoAAETBf.jpg", "http://pbs.twimg.com/media/CyD7Dm5UoAAETBf.jpg")</f>
        <v/>
      </c>
      <c r="G2094" t="s"/>
      <c r="H2094" t="s"/>
      <c r="I2094" t="s"/>
      <c r="J2094" t="n">
        <v>0.34</v>
      </c>
      <c r="K2094" t="n">
        <v>0</v>
      </c>
      <c r="L2094" t="n">
        <v>0.893</v>
      </c>
      <c r="M2094" t="n">
        <v>0.107</v>
      </c>
    </row>
    <row r="2095" spans="1:13">
      <c r="A2095" s="1">
        <f>HYPERLINK("http://www.twitter.com/NathanBLawrence/status/802254740528787456", "802254740528787456")</f>
        <v/>
      </c>
      <c r="B2095" s="2" t="n">
        <v>42699.87278935185</v>
      </c>
      <c r="C2095" t="n">
        <v>0</v>
      </c>
      <c r="D2095" t="n">
        <v>3076</v>
      </c>
      <c r="E2095" t="s">
        <v>2100</v>
      </c>
      <c r="F2095">
        <f>HYPERLINK("https://video.twimg.com/amplify_video/802151253169971200/vid/240x240/q_frQQRqrW3sUzvx.mp4", "https://video.twimg.com/amplify_video/802151253169971200/vid/240x240/q_frQQRqrW3sUzvx.mp4")</f>
        <v/>
      </c>
      <c r="G2095" t="s"/>
      <c r="H2095" t="s"/>
      <c r="I2095" t="s"/>
      <c r="J2095" t="n">
        <v>0.0772</v>
      </c>
      <c r="K2095" t="n">
        <v>0</v>
      </c>
      <c r="L2095" t="n">
        <v>0.925</v>
      </c>
      <c r="M2095" t="n">
        <v>0.075</v>
      </c>
    </row>
    <row r="2096" spans="1:13">
      <c r="A2096" s="1">
        <f>HYPERLINK("http://www.twitter.com/NathanBLawrence/status/802243674457444353", "802243674457444353")</f>
        <v/>
      </c>
      <c r="B2096" s="2" t="n">
        <v>42699.84225694444</v>
      </c>
      <c r="C2096" t="n">
        <v>0</v>
      </c>
      <c r="D2096" t="n">
        <v>206</v>
      </c>
      <c r="E2096" t="s">
        <v>2101</v>
      </c>
      <c r="F2096">
        <f>HYPERLINK("http://pbs.twimg.com/media/CyIgTuIXcAENUTW.jpg", "http://pbs.twimg.com/media/CyIgTuIXcAENUTW.jpg")</f>
        <v/>
      </c>
      <c r="G2096" t="s"/>
      <c r="H2096" t="s"/>
      <c r="I2096" t="s"/>
      <c r="J2096" t="n">
        <v>0</v>
      </c>
      <c r="K2096" t="n">
        <v>0</v>
      </c>
      <c r="L2096" t="n">
        <v>1</v>
      </c>
      <c r="M2096" t="n">
        <v>0</v>
      </c>
    </row>
    <row r="2097" spans="1:13">
      <c r="A2097" s="1">
        <f>HYPERLINK("http://www.twitter.com/NathanBLawrence/status/802212650394468352", "802212650394468352")</f>
        <v/>
      </c>
      <c r="B2097" s="2" t="n">
        <v>42699.75664351852</v>
      </c>
      <c r="C2097" t="n">
        <v>0</v>
      </c>
      <c r="D2097" t="n">
        <v>712</v>
      </c>
      <c r="E2097" t="s">
        <v>2102</v>
      </c>
      <c r="F2097">
        <f>HYPERLINK("http://pbs.twimg.com/media/CyIHJ26XcAAKaXe.jpg", "http://pbs.twimg.com/media/CyIHJ26XcAAKaXe.jpg")</f>
        <v/>
      </c>
      <c r="G2097" t="s"/>
      <c r="H2097" t="s"/>
      <c r="I2097" t="s"/>
      <c r="J2097" t="n">
        <v>-0.5423</v>
      </c>
      <c r="K2097" t="n">
        <v>0.242</v>
      </c>
      <c r="L2097" t="n">
        <v>0.667</v>
      </c>
      <c r="M2097" t="n">
        <v>0.091</v>
      </c>
    </row>
    <row r="2098" spans="1:13">
      <c r="A2098" s="1">
        <f>HYPERLINK("http://www.twitter.com/NathanBLawrence/status/802209110108344321", "802209110108344321")</f>
        <v/>
      </c>
      <c r="B2098" s="2" t="n">
        <v>42699.746875</v>
      </c>
      <c r="C2098" t="n">
        <v>0</v>
      </c>
      <c r="D2098" t="n">
        <v>3664</v>
      </c>
      <c r="E2098" t="s">
        <v>2103</v>
      </c>
      <c r="F2098" t="s"/>
      <c r="G2098" t="s"/>
      <c r="H2098" t="s"/>
      <c r="I2098" t="s"/>
      <c r="J2098" t="n">
        <v>0.7351</v>
      </c>
      <c r="K2098" t="n">
        <v>0.08</v>
      </c>
      <c r="L2098" t="n">
        <v>0.652</v>
      </c>
      <c r="M2098" t="n">
        <v>0.268</v>
      </c>
    </row>
    <row r="2099" spans="1:13">
      <c r="A2099" s="1">
        <f>HYPERLINK("http://www.twitter.com/NathanBLawrence/status/802191526143098880", "802191526143098880")</f>
        <v/>
      </c>
      <c r="B2099" s="2" t="n">
        <v>42699.69835648148</v>
      </c>
      <c r="C2099" t="n">
        <v>0</v>
      </c>
      <c r="D2099" t="n">
        <v>116</v>
      </c>
      <c r="E2099" t="s">
        <v>2104</v>
      </c>
      <c r="F2099" t="s"/>
      <c r="G2099" t="s"/>
      <c r="H2099" t="s"/>
      <c r="I2099" t="s"/>
      <c r="J2099" t="n">
        <v>0</v>
      </c>
      <c r="K2099" t="n">
        <v>0</v>
      </c>
      <c r="L2099" t="n">
        <v>1</v>
      </c>
      <c r="M2099" t="n">
        <v>0</v>
      </c>
    </row>
    <row r="2100" spans="1:13">
      <c r="A2100" s="1">
        <f>HYPERLINK("http://www.twitter.com/NathanBLawrence/status/802186880091570176", "802186880091570176")</f>
        <v/>
      </c>
      <c r="B2100" s="2" t="n">
        <v>42699.68553240741</v>
      </c>
      <c r="C2100" t="n">
        <v>0</v>
      </c>
      <c r="D2100" t="n">
        <v>664</v>
      </c>
      <c r="E2100" t="s">
        <v>2105</v>
      </c>
      <c r="F2100" t="s"/>
      <c r="G2100" t="s"/>
      <c r="H2100" t="s"/>
      <c r="I2100" t="s"/>
      <c r="J2100" t="n">
        <v>0</v>
      </c>
      <c r="K2100" t="n">
        <v>0</v>
      </c>
      <c r="L2100" t="n">
        <v>1</v>
      </c>
      <c r="M2100" t="n">
        <v>0</v>
      </c>
    </row>
    <row r="2101" spans="1:13">
      <c r="A2101" s="1">
        <f>HYPERLINK("http://www.twitter.com/NathanBLawrence/status/802186447864393728", "802186447864393728")</f>
        <v/>
      </c>
      <c r="B2101" s="2" t="n">
        <v>42699.68434027778</v>
      </c>
      <c r="C2101" t="n">
        <v>0</v>
      </c>
      <c r="D2101" t="n">
        <v>8931</v>
      </c>
      <c r="E2101" t="s">
        <v>2106</v>
      </c>
      <c r="F2101">
        <f>HYPERLINK("http://pbs.twimg.com/media/CyGueueXgAA6MXf.jpg", "http://pbs.twimg.com/media/CyGueueXgAA6MXf.jpg")</f>
        <v/>
      </c>
      <c r="G2101" t="s"/>
      <c r="H2101" t="s"/>
      <c r="I2101" t="s"/>
      <c r="J2101" t="n">
        <v>0</v>
      </c>
      <c r="K2101" t="n">
        <v>0</v>
      </c>
      <c r="L2101" t="n">
        <v>1</v>
      </c>
      <c r="M2101" t="n">
        <v>0</v>
      </c>
    </row>
    <row r="2102" spans="1:13">
      <c r="A2102" s="1">
        <f>HYPERLINK("http://www.twitter.com/NathanBLawrence/status/801620427772723201", "801620427772723201")</f>
        <v/>
      </c>
      <c r="B2102" s="2" t="n">
        <v>42698.12243055556</v>
      </c>
      <c r="C2102" t="n">
        <v>0</v>
      </c>
      <c r="D2102" t="n">
        <v>494</v>
      </c>
      <c r="E2102" t="s">
        <v>2107</v>
      </c>
      <c r="F2102" t="s"/>
      <c r="G2102" t="s"/>
      <c r="H2102" t="s"/>
      <c r="I2102" t="s"/>
      <c r="J2102" t="n">
        <v>-0.1027</v>
      </c>
      <c r="K2102" t="n">
        <v>0.076</v>
      </c>
      <c r="L2102" t="n">
        <v>0.924</v>
      </c>
      <c r="M2102" t="n">
        <v>0</v>
      </c>
    </row>
    <row r="2103" spans="1:13">
      <c r="A2103" s="1">
        <f>HYPERLINK("http://www.twitter.com/NathanBLawrence/status/801576509043576832", "801576509043576832")</f>
        <v/>
      </c>
      <c r="B2103" s="2" t="n">
        <v>42698.00122685185</v>
      </c>
      <c r="C2103" t="n">
        <v>0</v>
      </c>
      <c r="D2103" t="n">
        <v>2170</v>
      </c>
      <c r="E2103" t="s">
        <v>2108</v>
      </c>
      <c r="F2103" t="s"/>
      <c r="G2103" t="s"/>
      <c r="H2103" t="s"/>
      <c r="I2103" t="s"/>
      <c r="J2103" t="n">
        <v>-0.7056</v>
      </c>
      <c r="K2103" t="n">
        <v>0.227</v>
      </c>
      <c r="L2103" t="n">
        <v>0.773</v>
      </c>
      <c r="M2103" t="n">
        <v>0</v>
      </c>
    </row>
    <row r="2104" spans="1:13">
      <c r="A2104" s="1">
        <f>HYPERLINK("http://www.twitter.com/NathanBLawrence/status/801549637677105152", "801549637677105152")</f>
        <v/>
      </c>
      <c r="B2104" s="2" t="n">
        <v>42697.92708333334</v>
      </c>
      <c r="C2104" t="n">
        <v>0</v>
      </c>
      <c r="D2104" t="n">
        <v>2988</v>
      </c>
      <c r="E2104" t="s">
        <v>2109</v>
      </c>
      <c r="F2104">
        <f>HYPERLINK("http://pbs.twimg.com/media/Cx-rTSNXUAc7VRv.jpg", "http://pbs.twimg.com/media/Cx-rTSNXUAc7VRv.jpg")</f>
        <v/>
      </c>
      <c r="G2104" t="s"/>
      <c r="H2104" t="s"/>
      <c r="I2104" t="s"/>
      <c r="J2104" t="n">
        <v>0.7351</v>
      </c>
      <c r="K2104" t="n">
        <v>0</v>
      </c>
      <c r="L2104" t="n">
        <v>0.592</v>
      </c>
      <c r="M2104" t="n">
        <v>0.408</v>
      </c>
    </row>
    <row r="2105" spans="1:13">
      <c r="A2105" s="1">
        <f>HYPERLINK("http://www.twitter.com/NathanBLawrence/status/801549355694034944", "801549355694034944")</f>
        <v/>
      </c>
      <c r="B2105" s="2" t="n">
        <v>42697.92630787037</v>
      </c>
      <c r="C2105" t="n">
        <v>0</v>
      </c>
      <c r="D2105" t="n">
        <v>180</v>
      </c>
      <c r="E2105" t="s">
        <v>2110</v>
      </c>
      <c r="F2105">
        <f>HYPERLINK("http://pbs.twimg.com/media/Cx-qCccXEAEAwgt.jpg", "http://pbs.twimg.com/media/Cx-qCccXEAEAwgt.jpg")</f>
        <v/>
      </c>
      <c r="G2105" t="s"/>
      <c r="H2105" t="s"/>
      <c r="I2105" t="s"/>
      <c r="J2105" t="n">
        <v>0.9149</v>
      </c>
      <c r="K2105" t="n">
        <v>0</v>
      </c>
      <c r="L2105" t="n">
        <v>0.484</v>
      </c>
      <c r="M2105" t="n">
        <v>0.516</v>
      </c>
    </row>
    <row r="2106" spans="1:13">
      <c r="A2106" s="1">
        <f>HYPERLINK("http://www.twitter.com/NathanBLawrence/status/801548572898578441", "801548572898578441")</f>
        <v/>
      </c>
      <c r="B2106" s="2" t="n">
        <v>42697.92414351852</v>
      </c>
      <c r="C2106" t="n">
        <v>0</v>
      </c>
      <c r="D2106" t="n">
        <v>6076</v>
      </c>
      <c r="E2106" t="s">
        <v>2111</v>
      </c>
      <c r="F2106" t="s"/>
      <c r="G2106" t="s"/>
      <c r="H2106" t="s"/>
      <c r="I2106" t="s"/>
      <c r="J2106" t="n">
        <v>-0.4404</v>
      </c>
      <c r="K2106" t="n">
        <v>0.153</v>
      </c>
      <c r="L2106" t="n">
        <v>0.766</v>
      </c>
      <c r="M2106" t="n">
        <v>0.08</v>
      </c>
    </row>
    <row r="2107" spans="1:13">
      <c r="A2107" s="1">
        <f>HYPERLINK("http://www.twitter.com/NathanBLawrence/status/801541621678542848", "801541621678542848")</f>
        <v/>
      </c>
      <c r="B2107" s="2" t="n">
        <v>42697.90496527778</v>
      </c>
      <c r="C2107" t="n">
        <v>0</v>
      </c>
      <c r="D2107" t="n">
        <v>0</v>
      </c>
      <c r="E2107" t="s">
        <v>2112</v>
      </c>
      <c r="F2107" t="s"/>
      <c r="G2107" t="s"/>
      <c r="H2107" t="s"/>
      <c r="I2107" t="s"/>
      <c r="J2107" t="n">
        <v>-0.3421</v>
      </c>
      <c r="K2107" t="n">
        <v>0.185</v>
      </c>
      <c r="L2107" t="n">
        <v>0.8149999999999999</v>
      </c>
      <c r="M2107" t="n">
        <v>0</v>
      </c>
    </row>
    <row r="2108" spans="1:13">
      <c r="A2108" s="1">
        <f>HYPERLINK("http://www.twitter.com/NathanBLawrence/status/801540992352587776", "801540992352587776")</f>
        <v/>
      </c>
      <c r="B2108" s="2" t="n">
        <v>42697.90322916667</v>
      </c>
      <c r="C2108" t="n">
        <v>0</v>
      </c>
      <c r="D2108" t="n">
        <v>9930</v>
      </c>
      <c r="E2108" t="s">
        <v>2113</v>
      </c>
      <c r="F2108" t="s"/>
      <c r="G2108" t="s"/>
      <c r="H2108" t="s"/>
      <c r="I2108" t="s"/>
      <c r="J2108" t="n">
        <v>0</v>
      </c>
      <c r="K2108" t="n">
        <v>0</v>
      </c>
      <c r="L2108" t="n">
        <v>1</v>
      </c>
      <c r="M2108" t="n">
        <v>0</v>
      </c>
    </row>
    <row r="2109" spans="1:13">
      <c r="A2109" s="1">
        <f>HYPERLINK("http://www.twitter.com/NathanBLawrence/status/801252271954608129", "801252271954608129")</f>
        <v/>
      </c>
      <c r="B2109" s="2" t="n">
        <v>42697.10650462963</v>
      </c>
      <c r="C2109" t="n">
        <v>0</v>
      </c>
      <c r="D2109" t="n">
        <v>1702</v>
      </c>
      <c r="E2109" t="s">
        <v>2114</v>
      </c>
      <c r="F2109">
        <f>HYPERLINK("http://pbs.twimg.com/media/Cx6QFoNWEAAnAUA.jpg", "http://pbs.twimg.com/media/Cx6QFoNWEAAnAUA.jpg")</f>
        <v/>
      </c>
      <c r="G2109" t="s"/>
      <c r="H2109" t="s"/>
      <c r="I2109" t="s"/>
      <c r="J2109" t="n">
        <v>0.2023</v>
      </c>
      <c r="K2109" t="n">
        <v>0</v>
      </c>
      <c r="L2109" t="n">
        <v>0.859</v>
      </c>
      <c r="M2109" t="n">
        <v>0.141</v>
      </c>
    </row>
    <row r="2110" spans="1:13">
      <c r="A2110" s="1">
        <f>HYPERLINK("http://www.twitter.com/NathanBLawrence/status/801252247090974720", "801252247090974720")</f>
        <v/>
      </c>
      <c r="B2110" s="2" t="n">
        <v>42697.10643518518</v>
      </c>
      <c r="C2110" t="n">
        <v>0</v>
      </c>
      <c r="D2110" t="n">
        <v>2383</v>
      </c>
      <c r="E2110" t="s">
        <v>2115</v>
      </c>
      <c r="F2110" t="s"/>
      <c r="G2110" t="s"/>
      <c r="H2110" t="s"/>
      <c r="I2110" t="s"/>
      <c r="J2110" t="n">
        <v>-0.8225</v>
      </c>
      <c r="K2110" t="n">
        <v>0.462</v>
      </c>
      <c r="L2110" t="n">
        <v>0.538</v>
      </c>
      <c r="M2110" t="n">
        <v>0</v>
      </c>
    </row>
    <row r="2111" spans="1:13">
      <c r="A2111" s="1">
        <f>HYPERLINK("http://www.twitter.com/NathanBLawrence/status/801232576731967488", "801232576731967488")</f>
        <v/>
      </c>
      <c r="B2111" s="2" t="n">
        <v>42697.05216435185</v>
      </c>
      <c r="C2111" t="n">
        <v>0</v>
      </c>
      <c r="D2111" t="n">
        <v>2177</v>
      </c>
      <c r="E2111" t="s">
        <v>2116</v>
      </c>
      <c r="F2111" t="s"/>
      <c r="G2111" t="s"/>
      <c r="H2111" t="s"/>
      <c r="I2111" t="s"/>
      <c r="J2111" t="n">
        <v>0.2023</v>
      </c>
      <c r="K2111" t="n">
        <v>0</v>
      </c>
      <c r="L2111" t="n">
        <v>0.93</v>
      </c>
      <c r="M2111" t="n">
        <v>0.07000000000000001</v>
      </c>
    </row>
    <row r="2112" spans="1:13">
      <c r="A2112" s="1">
        <f>HYPERLINK("http://www.twitter.com/NathanBLawrence/status/801174470585151488", "801174470585151488")</f>
        <v/>
      </c>
      <c r="B2112" s="2" t="n">
        <v>42696.89181712963</v>
      </c>
      <c r="C2112" t="n">
        <v>0</v>
      </c>
      <c r="D2112" t="n">
        <v>214</v>
      </c>
      <c r="E2112" t="s">
        <v>2117</v>
      </c>
      <c r="F2112">
        <f>HYPERLINK("http://pbs.twimg.com/media/Cx40aOsXUAAJEaa.jpg", "http://pbs.twimg.com/media/Cx40aOsXUAAJEaa.jpg")</f>
        <v/>
      </c>
      <c r="G2112" t="s"/>
      <c r="H2112" t="s"/>
      <c r="I2112" t="s"/>
      <c r="J2112" t="n">
        <v>-0.6204</v>
      </c>
      <c r="K2112" t="n">
        <v>0.22</v>
      </c>
      <c r="L2112" t="n">
        <v>0.78</v>
      </c>
      <c r="M2112" t="n">
        <v>0</v>
      </c>
    </row>
    <row r="2113" spans="1:13">
      <c r="A2113" s="1">
        <f>HYPERLINK("http://www.twitter.com/NathanBLawrence/status/801086361096908800", "801086361096908800")</f>
        <v/>
      </c>
      <c r="B2113" s="2" t="n">
        <v>42696.64868055555</v>
      </c>
      <c r="C2113" t="n">
        <v>0</v>
      </c>
      <c r="D2113" t="n">
        <v>1579</v>
      </c>
      <c r="E2113" t="s">
        <v>2118</v>
      </c>
      <c r="F2113" t="s"/>
      <c r="G2113" t="s"/>
      <c r="H2113" t="s"/>
      <c r="I2113" t="s"/>
      <c r="J2113" t="n">
        <v>0.4215</v>
      </c>
      <c r="K2113" t="n">
        <v>0</v>
      </c>
      <c r="L2113" t="n">
        <v>0.517</v>
      </c>
      <c r="M2113" t="n">
        <v>0.483</v>
      </c>
    </row>
    <row r="2114" spans="1:13">
      <c r="A2114" s="1">
        <f>HYPERLINK("http://www.twitter.com/NathanBLawrence/status/800909211370536960", "800909211370536960")</f>
        <v/>
      </c>
      <c r="B2114" s="2" t="n">
        <v>42696.15983796296</v>
      </c>
      <c r="C2114" t="n">
        <v>0</v>
      </c>
      <c r="D2114" t="n">
        <v>1028</v>
      </c>
      <c r="E2114" t="s">
        <v>2119</v>
      </c>
      <c r="F2114">
        <f>HYPERLINK("http://pbs.twimg.com/media/Cx1i_uVWEAAWK6h.jpg", "http://pbs.twimg.com/media/Cx1i_uVWEAAWK6h.jpg")</f>
        <v/>
      </c>
      <c r="G2114" t="s"/>
      <c r="H2114" t="s"/>
      <c r="I2114" t="s"/>
      <c r="J2114" t="n">
        <v>0</v>
      </c>
      <c r="K2114" t="n">
        <v>0</v>
      </c>
      <c r="L2114" t="n">
        <v>1</v>
      </c>
      <c r="M2114" t="n">
        <v>0</v>
      </c>
    </row>
    <row r="2115" spans="1:13">
      <c r="A2115" s="1">
        <f>HYPERLINK("http://www.twitter.com/NathanBLawrence/status/800901075901566976", "800901075901566976")</f>
        <v/>
      </c>
      <c r="B2115" s="2" t="n">
        <v>42696.13739583334</v>
      </c>
      <c r="C2115" t="n">
        <v>0</v>
      </c>
      <c r="D2115" t="n">
        <v>2017</v>
      </c>
      <c r="E2115" t="s">
        <v>2120</v>
      </c>
      <c r="F2115" t="s"/>
      <c r="G2115" t="s"/>
      <c r="H2115" t="s"/>
      <c r="I2115" t="s"/>
      <c r="J2115" t="n">
        <v>0.3612</v>
      </c>
      <c r="K2115" t="n">
        <v>0</v>
      </c>
      <c r="L2115" t="n">
        <v>0.898</v>
      </c>
      <c r="M2115" t="n">
        <v>0.102</v>
      </c>
    </row>
    <row r="2116" spans="1:13">
      <c r="A2116" s="1">
        <f>HYPERLINK("http://www.twitter.com/NathanBLawrence/status/800900204685852672", "800900204685852672")</f>
        <v/>
      </c>
      <c r="B2116" s="2" t="n">
        <v>42696.13498842593</v>
      </c>
      <c r="C2116" t="n">
        <v>0</v>
      </c>
      <c r="D2116" t="n">
        <v>7989</v>
      </c>
      <c r="E2116" t="s">
        <v>2121</v>
      </c>
      <c r="F2116" t="s"/>
      <c r="G2116" t="s"/>
      <c r="H2116" t="s"/>
      <c r="I2116" t="s"/>
      <c r="J2116" t="n">
        <v>0.836</v>
      </c>
      <c r="K2116" t="n">
        <v>0</v>
      </c>
      <c r="L2116" t="n">
        <v>0.657</v>
      </c>
      <c r="M2116" t="n">
        <v>0.343</v>
      </c>
    </row>
    <row r="2117" spans="1:13">
      <c r="A2117" s="1">
        <f>HYPERLINK("http://www.twitter.com/NathanBLawrence/status/800897765735800832", "800897765735800832")</f>
        <v/>
      </c>
      <c r="B2117" s="2" t="n">
        <v>42696.12825231482</v>
      </c>
      <c r="C2117" t="n">
        <v>0</v>
      </c>
      <c r="D2117" t="n">
        <v>5434</v>
      </c>
      <c r="E2117" t="s">
        <v>2122</v>
      </c>
      <c r="F2117" t="s"/>
      <c r="G2117" t="s"/>
      <c r="H2117" t="s"/>
      <c r="I2117" t="s"/>
      <c r="J2117" t="n">
        <v>-0.6705</v>
      </c>
      <c r="K2117" t="n">
        <v>0.353</v>
      </c>
      <c r="L2117" t="n">
        <v>0.543</v>
      </c>
      <c r="M2117" t="n">
        <v>0.104</v>
      </c>
    </row>
    <row r="2118" spans="1:13">
      <c r="A2118" s="1">
        <f>HYPERLINK("http://www.twitter.com/NathanBLawrence/status/800892200926187525", "800892200926187525")</f>
        <v/>
      </c>
      <c r="B2118" s="2" t="n">
        <v>42696.1129050926</v>
      </c>
      <c r="C2118" t="n">
        <v>0</v>
      </c>
      <c r="D2118" t="n">
        <v>3510</v>
      </c>
      <c r="E2118" t="s">
        <v>2123</v>
      </c>
      <c r="F2118" t="s"/>
      <c r="G2118" t="s"/>
      <c r="H2118" t="s"/>
      <c r="I2118" t="s"/>
      <c r="J2118" t="n">
        <v>0.6369</v>
      </c>
      <c r="K2118" t="n">
        <v>0</v>
      </c>
      <c r="L2118" t="n">
        <v>0.84</v>
      </c>
      <c r="M2118" t="n">
        <v>0.16</v>
      </c>
    </row>
    <row r="2119" spans="1:13">
      <c r="A2119" s="1">
        <f>HYPERLINK("http://www.twitter.com/NathanBLawrence/status/800885017698271232", "800885017698271232")</f>
        <v/>
      </c>
      <c r="B2119" s="2" t="n">
        <v>42696.09307870371</v>
      </c>
      <c r="C2119" t="n">
        <v>0</v>
      </c>
      <c r="D2119" t="n">
        <v>846</v>
      </c>
      <c r="E2119" t="s">
        <v>2124</v>
      </c>
      <c r="F2119">
        <f>HYPERLINK("http://pbs.twimg.com/media/CxzFuc0UUAApa5V.jpg", "http://pbs.twimg.com/media/CxzFuc0UUAApa5V.jpg")</f>
        <v/>
      </c>
      <c r="G2119" t="s"/>
      <c r="H2119" t="s"/>
      <c r="I2119" t="s"/>
      <c r="J2119" t="n">
        <v>0</v>
      </c>
      <c r="K2119" t="n">
        <v>0</v>
      </c>
      <c r="L2119" t="n">
        <v>1</v>
      </c>
      <c r="M2119" t="n">
        <v>0</v>
      </c>
    </row>
    <row r="2120" spans="1:13">
      <c r="A2120" s="1">
        <f>HYPERLINK("http://www.twitter.com/NathanBLawrence/status/800884178380328960", "800884178380328960")</f>
        <v/>
      </c>
      <c r="B2120" s="2" t="n">
        <v>42696.09076388889</v>
      </c>
      <c r="C2120" t="n">
        <v>0</v>
      </c>
      <c r="D2120" t="n">
        <v>1101</v>
      </c>
      <c r="E2120" t="s">
        <v>2125</v>
      </c>
      <c r="F2120" t="s"/>
      <c r="G2120" t="s"/>
      <c r="H2120" t="s"/>
      <c r="I2120" t="s"/>
      <c r="J2120" t="n">
        <v>0</v>
      </c>
      <c r="K2120" t="n">
        <v>0</v>
      </c>
      <c r="L2120" t="n">
        <v>1</v>
      </c>
      <c r="M2120" t="n">
        <v>0</v>
      </c>
    </row>
    <row r="2121" spans="1:13">
      <c r="A2121" s="1">
        <f>HYPERLINK("http://www.twitter.com/NathanBLawrence/status/800879598607147008", "800879598607147008")</f>
        <v/>
      </c>
      <c r="B2121" s="2" t="n">
        <v>42696.078125</v>
      </c>
      <c r="C2121" t="n">
        <v>12</v>
      </c>
      <c r="D2121" t="n">
        <v>1</v>
      </c>
      <c r="E2121" t="s">
        <v>2126</v>
      </c>
      <c r="F2121" t="s"/>
      <c r="G2121" t="s"/>
      <c r="H2121" t="s"/>
      <c r="I2121" t="s"/>
      <c r="J2121" t="n">
        <v>0.5848</v>
      </c>
      <c r="K2121" t="n">
        <v>0.093</v>
      </c>
      <c r="L2121" t="n">
        <v>0.672</v>
      </c>
      <c r="M2121" t="n">
        <v>0.235</v>
      </c>
    </row>
    <row r="2122" spans="1:13">
      <c r="A2122" s="1">
        <f>HYPERLINK("http://www.twitter.com/NathanBLawrence/status/800878652028284928", "800878652028284928")</f>
        <v/>
      </c>
      <c r="B2122" s="2" t="n">
        <v>42696.07550925926</v>
      </c>
      <c r="C2122" t="n">
        <v>0</v>
      </c>
      <c r="D2122" t="n">
        <v>696</v>
      </c>
      <c r="E2122" t="s">
        <v>2127</v>
      </c>
      <c r="F2122">
        <f>HYPERLINK("http://pbs.twimg.com/media/Cx08KPSUcAIdEYf.jpg", "http://pbs.twimg.com/media/Cx08KPSUcAIdEYf.jpg")</f>
        <v/>
      </c>
      <c r="G2122" t="s"/>
      <c r="H2122" t="s"/>
      <c r="I2122" t="s"/>
      <c r="J2122" t="n">
        <v>0</v>
      </c>
      <c r="K2122" t="n">
        <v>0</v>
      </c>
      <c r="L2122" t="n">
        <v>1</v>
      </c>
      <c r="M2122" t="n">
        <v>0</v>
      </c>
    </row>
    <row r="2123" spans="1:13">
      <c r="A2123" s="1">
        <f>HYPERLINK("http://www.twitter.com/NathanBLawrence/status/800864275719946245", "800864275719946245")</f>
        <v/>
      </c>
      <c r="B2123" s="2" t="n">
        <v>42696.0358449074</v>
      </c>
      <c r="C2123" t="n">
        <v>0</v>
      </c>
      <c r="D2123" t="n">
        <v>2172</v>
      </c>
      <c r="E2123" t="s">
        <v>2128</v>
      </c>
      <c r="F2123" t="s"/>
      <c r="G2123" t="s"/>
      <c r="H2123" t="s"/>
      <c r="I2123" t="s"/>
      <c r="J2123" t="n">
        <v>-0.7906</v>
      </c>
      <c r="K2123" t="n">
        <v>0.25</v>
      </c>
      <c r="L2123" t="n">
        <v>0.75</v>
      </c>
      <c r="M2123" t="n">
        <v>0</v>
      </c>
    </row>
    <row r="2124" spans="1:13">
      <c r="A2124" s="1">
        <f>HYPERLINK("http://www.twitter.com/NathanBLawrence/status/800864250948370432", "800864250948370432")</f>
        <v/>
      </c>
      <c r="B2124" s="2" t="n">
        <v>42696.03577546297</v>
      </c>
      <c r="C2124" t="n">
        <v>0</v>
      </c>
      <c r="D2124" t="n">
        <v>1634</v>
      </c>
      <c r="E2124" t="s">
        <v>2129</v>
      </c>
      <c r="F2124" t="s"/>
      <c r="G2124" t="s"/>
      <c r="H2124" t="s"/>
      <c r="I2124" t="s"/>
      <c r="J2124" t="n">
        <v>0</v>
      </c>
      <c r="K2124" t="n">
        <v>0</v>
      </c>
      <c r="L2124" t="n">
        <v>1</v>
      </c>
      <c r="M2124" t="n">
        <v>0</v>
      </c>
    </row>
    <row r="2125" spans="1:13">
      <c r="A2125" s="1">
        <f>HYPERLINK("http://www.twitter.com/NathanBLawrence/status/800850796246081536", "800850796246081536")</f>
        <v/>
      </c>
      <c r="B2125" s="2" t="n">
        <v>42695.99864583334</v>
      </c>
      <c r="C2125" t="n">
        <v>0</v>
      </c>
      <c r="D2125" t="n">
        <v>6231</v>
      </c>
      <c r="E2125" t="s">
        <v>2130</v>
      </c>
      <c r="F2125" t="s"/>
      <c r="G2125" t="s"/>
      <c r="H2125" t="s"/>
      <c r="I2125" t="s"/>
      <c r="J2125" t="n">
        <v>0.4767</v>
      </c>
      <c r="K2125" t="n">
        <v>0</v>
      </c>
      <c r="L2125" t="n">
        <v>0.78</v>
      </c>
      <c r="M2125" t="n">
        <v>0.22</v>
      </c>
    </row>
    <row r="2126" spans="1:13">
      <c r="A2126" s="1">
        <f>HYPERLINK("http://www.twitter.com/NathanBLawrence/status/800849880201699328", "800849880201699328")</f>
        <v/>
      </c>
      <c r="B2126" s="2" t="n">
        <v>42695.99612268519</v>
      </c>
      <c r="C2126" t="n">
        <v>0</v>
      </c>
      <c r="D2126" t="n">
        <v>1112</v>
      </c>
      <c r="E2126" t="s">
        <v>2131</v>
      </c>
      <c r="F2126">
        <f>HYPERLINK("https://video.twimg.com/ext_tw_video/800846169991684096/pu/vid/640x360/bIrRE2aAAjX2c1zV.mp4", "https://video.twimg.com/ext_tw_video/800846169991684096/pu/vid/640x360/bIrRE2aAAjX2c1zV.mp4")</f>
        <v/>
      </c>
      <c r="G2126" t="s"/>
      <c r="H2126" t="s"/>
      <c r="I2126" t="s"/>
      <c r="J2126" t="n">
        <v>0.6289</v>
      </c>
      <c r="K2126" t="n">
        <v>0</v>
      </c>
      <c r="L2126" t="n">
        <v>0.804</v>
      </c>
      <c r="M2126" t="n">
        <v>0.196</v>
      </c>
    </row>
    <row r="2127" spans="1:13">
      <c r="A2127" s="1">
        <f>HYPERLINK("http://www.twitter.com/NathanBLawrence/status/800849646235029505", "800849646235029505")</f>
        <v/>
      </c>
      <c r="B2127" s="2" t="n">
        <v>42695.99547453703</v>
      </c>
      <c r="C2127" t="n">
        <v>0</v>
      </c>
      <c r="D2127" t="n">
        <v>103</v>
      </c>
      <c r="E2127" t="s">
        <v>2132</v>
      </c>
      <c r="F2127">
        <f>HYPERLINK("http://pbs.twimg.com/media/Cx0wZzrXAAAkLaL.jpg", "http://pbs.twimg.com/media/Cx0wZzrXAAAkLaL.jpg")</f>
        <v/>
      </c>
      <c r="G2127" t="s"/>
      <c r="H2127" t="s"/>
      <c r="I2127" t="s"/>
      <c r="J2127" t="n">
        <v>-0.4215</v>
      </c>
      <c r="K2127" t="n">
        <v>0.189</v>
      </c>
      <c r="L2127" t="n">
        <v>0.732</v>
      </c>
      <c r="M2127" t="n">
        <v>0.079</v>
      </c>
    </row>
    <row r="2128" spans="1:13">
      <c r="A2128" s="1">
        <f>HYPERLINK("http://www.twitter.com/NathanBLawrence/status/800839822252376064", "800839822252376064")</f>
        <v/>
      </c>
      <c r="B2128" s="2" t="n">
        <v>42695.96836805555</v>
      </c>
      <c r="C2128" t="n">
        <v>0</v>
      </c>
      <c r="D2128" t="n">
        <v>0</v>
      </c>
      <c r="E2128" t="s">
        <v>2133</v>
      </c>
      <c r="F2128" t="s"/>
      <c r="G2128" t="s"/>
      <c r="H2128" t="s"/>
      <c r="I2128" t="s"/>
      <c r="J2128" t="n">
        <v>0.6597</v>
      </c>
      <c r="K2128" t="n">
        <v>0</v>
      </c>
      <c r="L2128" t="n">
        <v>0.735</v>
      </c>
      <c r="M2128" t="n">
        <v>0.265</v>
      </c>
    </row>
    <row r="2129" spans="1:13">
      <c r="A2129" s="1">
        <f>HYPERLINK("http://www.twitter.com/NathanBLawrence/status/800771367402668032", "800771367402668032")</f>
        <v/>
      </c>
      <c r="B2129" s="2" t="n">
        <v>42695.77946759259</v>
      </c>
      <c r="C2129" t="n">
        <v>0</v>
      </c>
      <c r="D2129" t="n">
        <v>283</v>
      </c>
      <c r="E2129" t="s">
        <v>2134</v>
      </c>
      <c r="F2129" t="s"/>
      <c r="G2129" t="s"/>
      <c r="H2129" t="s"/>
      <c r="I2129" t="s"/>
      <c r="J2129" t="n">
        <v>-0.1531</v>
      </c>
      <c r="K2129" t="n">
        <v>0.091</v>
      </c>
      <c r="L2129" t="n">
        <v>0.909</v>
      </c>
      <c r="M2129" t="n">
        <v>0</v>
      </c>
    </row>
    <row r="2130" spans="1:13">
      <c r="A2130" s="1">
        <f>HYPERLINK("http://www.twitter.com/NathanBLawrence/status/800771254810644483", "800771254810644483")</f>
        <v/>
      </c>
      <c r="B2130" s="2" t="n">
        <v>42695.77915509259</v>
      </c>
      <c r="C2130" t="n">
        <v>0</v>
      </c>
      <c r="D2130" t="n">
        <v>7058</v>
      </c>
      <c r="E2130" t="s">
        <v>2135</v>
      </c>
      <c r="F2130" t="s"/>
      <c r="G2130" t="s"/>
      <c r="H2130" t="s"/>
      <c r="I2130" t="s"/>
      <c r="J2130" t="n">
        <v>-0.7783</v>
      </c>
      <c r="K2130" t="n">
        <v>0.286</v>
      </c>
      <c r="L2130" t="n">
        <v>0.714</v>
      </c>
      <c r="M2130" t="n">
        <v>0</v>
      </c>
    </row>
    <row r="2131" spans="1:13">
      <c r="A2131" s="1">
        <f>HYPERLINK("http://www.twitter.com/NathanBLawrence/status/800771217619750915", "800771217619750915")</f>
        <v/>
      </c>
      <c r="B2131" s="2" t="n">
        <v>42695.77905092593</v>
      </c>
      <c r="C2131" t="n">
        <v>0</v>
      </c>
      <c r="D2131" t="n">
        <v>752</v>
      </c>
      <c r="E2131" t="s">
        <v>2136</v>
      </c>
      <c r="F2131" t="s"/>
      <c r="G2131" t="s"/>
      <c r="H2131" t="s"/>
      <c r="I2131" t="s"/>
      <c r="J2131" t="n">
        <v>-0.7096</v>
      </c>
      <c r="K2131" t="n">
        <v>0.256</v>
      </c>
      <c r="L2131" t="n">
        <v>0.657</v>
      </c>
      <c r="M2131" t="n">
        <v>0.08699999999999999</v>
      </c>
    </row>
    <row r="2132" spans="1:13">
      <c r="A2132" s="1">
        <f>HYPERLINK("http://www.twitter.com/NathanBLawrence/status/800771205502406657", "800771205502406657")</f>
        <v/>
      </c>
      <c r="B2132" s="2" t="n">
        <v>42695.77901620371</v>
      </c>
      <c r="C2132" t="n">
        <v>0</v>
      </c>
      <c r="D2132" t="n">
        <v>92</v>
      </c>
      <c r="E2132" t="s">
        <v>2137</v>
      </c>
      <c r="F2132" t="s"/>
      <c r="G2132" t="s"/>
      <c r="H2132" t="s"/>
      <c r="I2132" t="s"/>
      <c r="J2132" t="n">
        <v>-0.7919</v>
      </c>
      <c r="K2132" t="n">
        <v>0.297</v>
      </c>
      <c r="L2132" t="n">
        <v>0.703</v>
      </c>
      <c r="M2132" t="n">
        <v>0</v>
      </c>
    </row>
    <row r="2133" spans="1:13">
      <c r="A2133" s="1">
        <f>HYPERLINK("http://www.twitter.com/NathanBLawrence/status/800770691926781952", "800770691926781952")</f>
        <v/>
      </c>
      <c r="B2133" s="2" t="n">
        <v>42695.77760416667</v>
      </c>
      <c r="C2133" t="n">
        <v>0</v>
      </c>
      <c r="D2133" t="n">
        <v>41</v>
      </c>
      <c r="E2133" t="s">
        <v>2138</v>
      </c>
      <c r="F2133" t="s"/>
      <c r="G2133" t="s"/>
      <c r="H2133" t="s"/>
      <c r="I2133" t="s"/>
      <c r="J2133" t="n">
        <v>0.4939</v>
      </c>
      <c r="K2133" t="n">
        <v>0.109</v>
      </c>
      <c r="L2133" t="n">
        <v>0.636</v>
      </c>
      <c r="M2133" t="n">
        <v>0.255</v>
      </c>
    </row>
    <row r="2134" spans="1:13">
      <c r="A2134" s="1">
        <f>HYPERLINK("http://www.twitter.com/NathanBLawrence/status/800770652252860416", "800770652252860416")</f>
        <v/>
      </c>
      <c r="B2134" s="2" t="n">
        <v>42695.77748842593</v>
      </c>
      <c r="C2134" t="n">
        <v>0</v>
      </c>
      <c r="D2134" t="n">
        <v>496</v>
      </c>
      <c r="E2134" t="s">
        <v>2139</v>
      </c>
      <c r="F2134" t="s"/>
      <c r="G2134" t="s"/>
      <c r="H2134" t="s"/>
      <c r="I2134" t="s"/>
      <c r="J2134" t="n">
        <v>-0.4019</v>
      </c>
      <c r="K2134" t="n">
        <v>0.137</v>
      </c>
      <c r="L2134" t="n">
        <v>0.863</v>
      </c>
      <c r="M2134" t="n">
        <v>0</v>
      </c>
    </row>
    <row r="2135" spans="1:13">
      <c r="A2135" s="1">
        <f>HYPERLINK("http://www.twitter.com/NathanBLawrence/status/800770069521375232", "800770069521375232")</f>
        <v/>
      </c>
      <c r="B2135" s="2" t="n">
        <v>42695.77587962963</v>
      </c>
      <c r="C2135" t="n">
        <v>0</v>
      </c>
      <c r="D2135" t="n">
        <v>108</v>
      </c>
      <c r="E2135" t="s">
        <v>2140</v>
      </c>
      <c r="F2135">
        <f>HYPERLINK("http://pbs.twimg.com/media/CxveR0WXEAE58W8.jpg", "http://pbs.twimg.com/media/CxveR0WXEAE58W8.jpg")</f>
        <v/>
      </c>
      <c r="G2135" t="s"/>
      <c r="H2135" t="s"/>
      <c r="I2135" t="s"/>
      <c r="J2135" t="n">
        <v>-0.5207000000000001</v>
      </c>
      <c r="K2135" t="n">
        <v>0.187</v>
      </c>
      <c r="L2135" t="n">
        <v>0.8129999999999999</v>
      </c>
      <c r="M2135" t="n">
        <v>0</v>
      </c>
    </row>
    <row r="2136" spans="1:13">
      <c r="A2136" s="1">
        <f>HYPERLINK("http://www.twitter.com/NathanBLawrence/status/800758023971078146", "800758023971078146")</f>
        <v/>
      </c>
      <c r="B2136" s="2" t="n">
        <v>42695.74263888889</v>
      </c>
      <c r="C2136" t="n">
        <v>0</v>
      </c>
      <c r="D2136" t="n">
        <v>146</v>
      </c>
      <c r="E2136" t="s">
        <v>2141</v>
      </c>
      <c r="F2136">
        <f>HYPERLINK("http://pbs.twimg.com/media/CxzI1-uXAAAw4-b.jpg", "http://pbs.twimg.com/media/CxzI1-uXAAAw4-b.jpg")</f>
        <v/>
      </c>
      <c r="G2136" t="s"/>
      <c r="H2136" t="s"/>
      <c r="I2136" t="s"/>
      <c r="J2136" t="n">
        <v>-0.3204</v>
      </c>
      <c r="K2136" t="n">
        <v>0.181</v>
      </c>
      <c r="L2136" t="n">
        <v>0.819</v>
      </c>
      <c r="M2136" t="n">
        <v>0</v>
      </c>
    </row>
    <row r="2137" spans="1:13">
      <c r="A2137" s="1">
        <f>HYPERLINK("http://www.twitter.com/NathanBLawrence/status/800529420809179136", "800529420809179136")</f>
        <v/>
      </c>
      <c r="B2137" s="2" t="n">
        <v>42695.11181712963</v>
      </c>
      <c r="C2137" t="n">
        <v>0</v>
      </c>
      <c r="D2137" t="n">
        <v>10514</v>
      </c>
      <c r="E2137" t="s">
        <v>2142</v>
      </c>
      <c r="F2137">
        <f>HYPERLINK("http://pbs.twimg.com/media/CxnmprwXgAAIUcO.jpg", "http://pbs.twimg.com/media/CxnmprwXgAAIUcO.jpg")</f>
        <v/>
      </c>
      <c r="G2137" t="s"/>
      <c r="H2137" t="s"/>
      <c r="I2137" t="s"/>
      <c r="J2137" t="n">
        <v>-0.4767</v>
      </c>
      <c r="K2137" t="n">
        <v>0.341</v>
      </c>
      <c r="L2137" t="n">
        <v>0.659</v>
      </c>
      <c r="M2137" t="n">
        <v>0</v>
      </c>
    </row>
    <row r="2138" spans="1:13">
      <c r="A2138" s="1">
        <f>HYPERLINK("http://www.twitter.com/NathanBLawrence/status/800060084877398016", "800060084877398016")</f>
        <v/>
      </c>
      <c r="B2138" s="2" t="n">
        <v>42693.81670138889</v>
      </c>
      <c r="C2138" t="n">
        <v>0</v>
      </c>
      <c r="D2138" t="n">
        <v>1507</v>
      </c>
      <c r="E2138" t="s">
        <v>2143</v>
      </c>
      <c r="F2138" t="s"/>
      <c r="G2138" t="s"/>
      <c r="H2138" t="s"/>
      <c r="I2138" t="s"/>
      <c r="J2138" t="n">
        <v>0.7184</v>
      </c>
      <c r="K2138" t="n">
        <v>0</v>
      </c>
      <c r="L2138" t="n">
        <v>0.769</v>
      </c>
      <c r="M2138" t="n">
        <v>0.231</v>
      </c>
    </row>
    <row r="2139" spans="1:13">
      <c r="A2139" s="1">
        <f>HYPERLINK("http://www.twitter.com/NathanBLawrence/status/800059936294244352", "800059936294244352")</f>
        <v/>
      </c>
      <c r="B2139" s="2" t="n">
        <v>42693.81628472222</v>
      </c>
      <c r="C2139" t="n">
        <v>0</v>
      </c>
      <c r="D2139" t="n">
        <v>520</v>
      </c>
      <c r="E2139" t="s">
        <v>2144</v>
      </c>
      <c r="F2139" t="s"/>
      <c r="G2139" t="s"/>
      <c r="H2139" t="s"/>
      <c r="I2139" t="s"/>
      <c r="J2139" t="n">
        <v>0.1531</v>
      </c>
      <c r="K2139" t="n">
        <v>0.092</v>
      </c>
      <c r="L2139" t="n">
        <v>0.792</v>
      </c>
      <c r="M2139" t="n">
        <v>0.117</v>
      </c>
    </row>
    <row r="2140" spans="1:13">
      <c r="A2140" s="1">
        <f>HYPERLINK("http://www.twitter.com/NathanBLawrence/status/800059798582595584", "800059798582595584")</f>
        <v/>
      </c>
      <c r="B2140" s="2" t="n">
        <v>42693.81591435185</v>
      </c>
      <c r="C2140" t="n">
        <v>0</v>
      </c>
      <c r="D2140" t="n">
        <v>564</v>
      </c>
      <c r="E2140" t="s">
        <v>2145</v>
      </c>
      <c r="F2140" t="s"/>
      <c r="G2140" t="s"/>
      <c r="H2140" t="s"/>
      <c r="I2140" t="s"/>
      <c r="J2140" t="n">
        <v>-0.2942</v>
      </c>
      <c r="K2140" t="n">
        <v>0.251</v>
      </c>
      <c r="L2140" t="n">
        <v>0.535</v>
      </c>
      <c r="M2140" t="n">
        <v>0.214</v>
      </c>
    </row>
    <row r="2141" spans="1:13">
      <c r="A2141" s="1">
        <f>HYPERLINK("http://www.twitter.com/NathanBLawrence/status/800037912809246721", "800037912809246721")</f>
        <v/>
      </c>
      <c r="B2141" s="2" t="n">
        <v>42693.75552083334</v>
      </c>
      <c r="C2141" t="n">
        <v>0</v>
      </c>
      <c r="D2141" t="n">
        <v>29</v>
      </c>
      <c r="E2141" t="s">
        <v>2146</v>
      </c>
      <c r="F2141" t="s"/>
      <c r="G2141" t="s"/>
      <c r="H2141" t="s"/>
      <c r="I2141" t="s"/>
      <c r="J2141" t="n">
        <v>0.3818</v>
      </c>
      <c r="K2141" t="n">
        <v>0</v>
      </c>
      <c r="L2141" t="n">
        <v>0.776</v>
      </c>
      <c r="M2141" t="n">
        <v>0.224</v>
      </c>
    </row>
    <row r="2142" spans="1:13">
      <c r="A2142" s="1">
        <f>HYPERLINK("http://www.twitter.com/NathanBLawrence/status/800036963248009216", "800036963248009216")</f>
        <v/>
      </c>
      <c r="B2142" s="2" t="n">
        <v>42693.75289351852</v>
      </c>
      <c r="C2142" t="n">
        <v>0</v>
      </c>
      <c r="D2142" t="n">
        <v>380</v>
      </c>
      <c r="E2142" t="s">
        <v>2147</v>
      </c>
      <c r="F2142" t="s"/>
      <c r="G2142" t="s"/>
      <c r="H2142" t="s"/>
      <c r="I2142" t="s"/>
      <c r="J2142" t="n">
        <v>-0.6633</v>
      </c>
      <c r="K2142" t="n">
        <v>0.253</v>
      </c>
      <c r="L2142" t="n">
        <v>0.747</v>
      </c>
      <c r="M2142" t="n">
        <v>0</v>
      </c>
    </row>
    <row r="2143" spans="1:13">
      <c r="A2143" s="1">
        <f>HYPERLINK("http://www.twitter.com/NathanBLawrence/status/800029541813145602", "800029541813145602")</f>
        <v/>
      </c>
      <c r="B2143" s="2" t="n">
        <v>42693.73241898148</v>
      </c>
      <c r="C2143" t="n">
        <v>0</v>
      </c>
      <c r="D2143" t="n">
        <v>1275</v>
      </c>
      <c r="E2143" t="s">
        <v>2148</v>
      </c>
      <c r="F2143">
        <f>HYPERLINK("http://pbs.twimg.com/media/Cxok_3JVEAAs-O6.jpg", "http://pbs.twimg.com/media/Cxok_3JVEAAs-O6.jpg")</f>
        <v/>
      </c>
      <c r="G2143" t="s"/>
      <c r="H2143" t="s"/>
      <c r="I2143" t="s"/>
      <c r="J2143" t="n">
        <v>0.4588</v>
      </c>
      <c r="K2143" t="n">
        <v>0.073</v>
      </c>
      <c r="L2143" t="n">
        <v>0.732</v>
      </c>
      <c r="M2143" t="n">
        <v>0.195</v>
      </c>
    </row>
    <row r="2144" spans="1:13">
      <c r="A2144" s="1">
        <f>HYPERLINK("http://www.twitter.com/NathanBLawrence/status/800029191697797124", "800029191697797124")</f>
        <v/>
      </c>
      <c r="B2144" s="2" t="n">
        <v>42693.73144675926</v>
      </c>
      <c r="C2144" t="n">
        <v>0</v>
      </c>
      <c r="D2144" t="n">
        <v>2277</v>
      </c>
      <c r="E2144" t="s">
        <v>2149</v>
      </c>
      <c r="F2144">
        <f>HYPERLINK("http://pbs.twimg.com/media/Cxo2wK1WIAAa1qi.jpg", "http://pbs.twimg.com/media/Cxo2wK1WIAAa1qi.jpg")</f>
        <v/>
      </c>
      <c r="G2144" t="s"/>
      <c r="H2144" t="s"/>
      <c r="I2144" t="s"/>
      <c r="J2144" t="n">
        <v>0</v>
      </c>
      <c r="K2144" t="n">
        <v>0</v>
      </c>
      <c r="L2144" t="n">
        <v>1</v>
      </c>
      <c r="M2144" t="n">
        <v>0</v>
      </c>
    </row>
    <row r="2145" spans="1:13">
      <c r="A2145" s="1">
        <f>HYPERLINK("http://www.twitter.com/NathanBLawrence/status/800028506100895748", "800028506100895748")</f>
        <v/>
      </c>
      <c r="B2145" s="2" t="n">
        <v>42693.72956018519</v>
      </c>
      <c r="C2145" t="n">
        <v>0</v>
      </c>
      <c r="D2145" t="n">
        <v>346</v>
      </c>
      <c r="E2145" t="s">
        <v>2150</v>
      </c>
      <c r="F2145" t="s"/>
      <c r="G2145" t="s"/>
      <c r="H2145" t="s"/>
      <c r="I2145" t="s"/>
      <c r="J2145" t="n">
        <v>-0.128</v>
      </c>
      <c r="K2145" t="n">
        <v>0.133</v>
      </c>
      <c r="L2145" t="n">
        <v>0.756</v>
      </c>
      <c r="M2145" t="n">
        <v>0.111</v>
      </c>
    </row>
    <row r="2146" spans="1:13">
      <c r="A2146" s="1">
        <f>HYPERLINK("http://www.twitter.com/NathanBLawrence/status/800024842405695488", "800024842405695488")</f>
        <v/>
      </c>
      <c r="B2146" s="2" t="n">
        <v>42693.71944444445</v>
      </c>
      <c r="C2146" t="n">
        <v>0</v>
      </c>
      <c r="D2146" t="n">
        <v>805</v>
      </c>
      <c r="E2146" t="s">
        <v>2151</v>
      </c>
      <c r="F2146" t="s"/>
      <c r="G2146" t="s"/>
      <c r="H2146" t="s"/>
      <c r="I2146" t="s"/>
      <c r="J2146" t="n">
        <v>-0.6597</v>
      </c>
      <c r="K2146" t="n">
        <v>0.231</v>
      </c>
      <c r="L2146" t="n">
        <v>0.769</v>
      </c>
      <c r="M2146" t="n">
        <v>0</v>
      </c>
    </row>
    <row r="2147" spans="1:13">
      <c r="A2147" s="1">
        <f>HYPERLINK("http://www.twitter.com/NathanBLawrence/status/800023729338204160", "800023729338204160")</f>
        <v/>
      </c>
      <c r="B2147" s="2" t="n">
        <v>42693.71637731481</v>
      </c>
      <c r="C2147" t="n">
        <v>0</v>
      </c>
      <c r="D2147" t="n">
        <v>1909</v>
      </c>
      <c r="E2147" t="s">
        <v>2152</v>
      </c>
      <c r="F2147" t="s"/>
      <c r="G2147" t="s"/>
      <c r="H2147" t="s"/>
      <c r="I2147" t="s"/>
      <c r="J2147" t="n">
        <v>-0.6124000000000001</v>
      </c>
      <c r="K2147" t="n">
        <v>0.16</v>
      </c>
      <c r="L2147" t="n">
        <v>0.84</v>
      </c>
      <c r="M2147" t="n">
        <v>0</v>
      </c>
    </row>
    <row r="2148" spans="1:13">
      <c r="A2148" s="1">
        <f>HYPERLINK("http://www.twitter.com/NathanBLawrence/status/800023599516004352", "800023599516004352")</f>
        <v/>
      </c>
      <c r="B2148" s="2" t="n">
        <v>42693.71601851852</v>
      </c>
      <c r="C2148" t="n">
        <v>0</v>
      </c>
      <c r="D2148" t="n">
        <v>818</v>
      </c>
      <c r="E2148" t="s">
        <v>2153</v>
      </c>
      <c r="F2148" t="s"/>
      <c r="G2148" t="s"/>
      <c r="H2148" t="s"/>
      <c r="I2148" t="s"/>
      <c r="J2148" t="n">
        <v>0.1531</v>
      </c>
      <c r="K2148" t="n">
        <v>0.096</v>
      </c>
      <c r="L2148" t="n">
        <v>0.783</v>
      </c>
      <c r="M2148" t="n">
        <v>0.122</v>
      </c>
    </row>
    <row r="2149" spans="1:13">
      <c r="A2149" s="1">
        <f>HYPERLINK("http://www.twitter.com/NathanBLawrence/status/800022938347077632", "800022938347077632")</f>
        <v/>
      </c>
      <c r="B2149" s="2" t="n">
        <v>42693.71418981482</v>
      </c>
      <c r="C2149" t="n">
        <v>0</v>
      </c>
      <c r="D2149" t="n">
        <v>675</v>
      </c>
      <c r="E2149" t="s">
        <v>2154</v>
      </c>
      <c r="F2149" t="s"/>
      <c r="G2149" t="s"/>
      <c r="H2149" t="s"/>
      <c r="I2149" t="s"/>
      <c r="J2149" t="n">
        <v>-0.3818</v>
      </c>
      <c r="K2149" t="n">
        <v>0.126</v>
      </c>
      <c r="L2149" t="n">
        <v>0.874</v>
      </c>
      <c r="M2149" t="n">
        <v>0</v>
      </c>
    </row>
    <row r="2150" spans="1:13">
      <c r="A2150" s="1">
        <f>HYPERLINK("http://www.twitter.com/NathanBLawrence/status/800022719014248448", "800022719014248448")</f>
        <v/>
      </c>
      <c r="B2150" s="2" t="n">
        <v>42693.71358796296</v>
      </c>
      <c r="C2150" t="n">
        <v>0</v>
      </c>
      <c r="D2150" t="n">
        <v>5174</v>
      </c>
      <c r="E2150" t="s">
        <v>2155</v>
      </c>
      <c r="F2150" t="s"/>
      <c r="G2150" t="s"/>
      <c r="H2150" t="s"/>
      <c r="I2150" t="s"/>
      <c r="J2150" t="n">
        <v>-0.5423</v>
      </c>
      <c r="K2150" t="n">
        <v>0.156</v>
      </c>
      <c r="L2150" t="n">
        <v>0.844</v>
      </c>
      <c r="M2150" t="n">
        <v>0</v>
      </c>
    </row>
    <row r="2151" spans="1:13">
      <c r="A2151" s="1">
        <f>HYPERLINK("http://www.twitter.com/NathanBLawrence/status/800019177729880065", "800019177729880065")</f>
        <v/>
      </c>
      <c r="B2151" s="2" t="n">
        <v>42693.70381944445</v>
      </c>
      <c r="C2151" t="n">
        <v>0</v>
      </c>
      <c r="D2151" t="n">
        <v>55</v>
      </c>
      <c r="E2151" t="s">
        <v>2156</v>
      </c>
      <c r="F2151" t="s"/>
      <c r="G2151" t="s"/>
      <c r="H2151" t="s"/>
      <c r="I2151" t="s"/>
      <c r="J2151" t="n">
        <v>0.34</v>
      </c>
      <c r="K2151" t="n">
        <v>0</v>
      </c>
      <c r="L2151" t="n">
        <v>0.902</v>
      </c>
      <c r="M2151" t="n">
        <v>0.098</v>
      </c>
    </row>
    <row r="2152" spans="1:13">
      <c r="A2152" s="1">
        <f>HYPERLINK("http://www.twitter.com/NathanBLawrence/status/800019085111214081", "800019085111214081")</f>
        <v/>
      </c>
      <c r="B2152" s="2" t="n">
        <v>42693.70356481482</v>
      </c>
      <c r="C2152" t="n">
        <v>0</v>
      </c>
      <c r="D2152" t="n">
        <v>507</v>
      </c>
      <c r="E2152" t="s">
        <v>2157</v>
      </c>
      <c r="F2152" t="s"/>
      <c r="G2152" t="s"/>
      <c r="H2152" t="s"/>
      <c r="I2152" t="s"/>
      <c r="J2152" t="n">
        <v>0</v>
      </c>
      <c r="K2152" t="n">
        <v>0</v>
      </c>
      <c r="L2152" t="n">
        <v>1</v>
      </c>
      <c r="M2152" t="n">
        <v>0</v>
      </c>
    </row>
    <row r="2153" spans="1:13">
      <c r="A2153" s="1">
        <f>HYPERLINK("http://www.twitter.com/NathanBLawrence/status/800018396817608709", "800018396817608709")</f>
        <v/>
      </c>
      <c r="B2153" s="2" t="n">
        <v>42693.70166666667</v>
      </c>
      <c r="C2153" t="n">
        <v>0</v>
      </c>
      <c r="D2153" t="n">
        <v>2326</v>
      </c>
      <c r="E2153" t="s">
        <v>2158</v>
      </c>
      <c r="F2153" t="s"/>
      <c r="G2153" t="s"/>
      <c r="H2153" t="s"/>
      <c r="I2153" t="s"/>
      <c r="J2153" t="n">
        <v>-0.7506</v>
      </c>
      <c r="K2153" t="n">
        <v>0.252</v>
      </c>
      <c r="L2153" t="n">
        <v>0.748</v>
      </c>
      <c r="M2153" t="n">
        <v>0</v>
      </c>
    </row>
    <row r="2154" spans="1:13">
      <c r="A2154" s="1">
        <f>HYPERLINK("http://www.twitter.com/NathanBLawrence/status/800016341600206848", "800016341600206848")</f>
        <v/>
      </c>
      <c r="B2154" s="2" t="n">
        <v>42693.69599537037</v>
      </c>
      <c r="C2154" t="n">
        <v>0</v>
      </c>
      <c r="D2154" t="n">
        <v>311</v>
      </c>
      <c r="E2154" t="s">
        <v>2159</v>
      </c>
      <c r="F2154" t="s"/>
      <c r="G2154" t="s"/>
      <c r="H2154" t="s"/>
      <c r="I2154" t="s"/>
      <c r="J2154" t="n">
        <v>0.34</v>
      </c>
      <c r="K2154" t="n">
        <v>0</v>
      </c>
      <c r="L2154" t="n">
        <v>0.897</v>
      </c>
      <c r="M2154" t="n">
        <v>0.103</v>
      </c>
    </row>
    <row r="2155" spans="1:13">
      <c r="A2155" s="1">
        <f>HYPERLINK("http://www.twitter.com/NathanBLawrence/status/800016014461255680", "800016014461255680")</f>
        <v/>
      </c>
      <c r="B2155" s="2" t="n">
        <v>42693.69509259259</v>
      </c>
      <c r="C2155" t="n">
        <v>0</v>
      </c>
      <c r="D2155" t="n">
        <v>866</v>
      </c>
      <c r="E2155" t="s">
        <v>2160</v>
      </c>
      <c r="F2155">
        <f>HYPERLINK("http://pbs.twimg.com/media/CxkPyzLUUAANnsd.jpg", "http://pbs.twimg.com/media/CxkPyzLUUAANnsd.jpg")</f>
        <v/>
      </c>
      <c r="G2155" t="s"/>
      <c r="H2155" t="s"/>
      <c r="I2155" t="s"/>
      <c r="J2155" t="n">
        <v>0</v>
      </c>
      <c r="K2155" t="n">
        <v>0</v>
      </c>
      <c r="L2155" t="n">
        <v>1</v>
      </c>
      <c r="M2155" t="n">
        <v>0</v>
      </c>
    </row>
    <row r="2156" spans="1:13">
      <c r="A2156" s="1">
        <f>HYPERLINK("http://www.twitter.com/NathanBLawrence/status/799725801738555392", "799725801738555392")</f>
        <v/>
      </c>
      <c r="B2156" s="2" t="n">
        <v>42692.89424768519</v>
      </c>
      <c r="C2156" t="n">
        <v>0</v>
      </c>
      <c r="D2156" t="n">
        <v>53</v>
      </c>
      <c r="E2156" t="s">
        <v>2161</v>
      </c>
      <c r="F2156" t="s"/>
      <c r="G2156" t="s"/>
      <c r="H2156" t="s"/>
      <c r="I2156" t="s"/>
      <c r="J2156" t="n">
        <v>-0.4019</v>
      </c>
      <c r="K2156" t="n">
        <v>0.197</v>
      </c>
      <c r="L2156" t="n">
        <v>0.803</v>
      </c>
      <c r="M2156" t="n">
        <v>0</v>
      </c>
    </row>
    <row r="2157" spans="1:13">
      <c r="A2157" s="1">
        <f>HYPERLINK("http://www.twitter.com/NathanBLawrence/status/799721959743516674", "799721959743516674")</f>
        <v/>
      </c>
      <c r="B2157" s="2" t="n">
        <v>42692.88364583333</v>
      </c>
      <c r="C2157" t="n">
        <v>0</v>
      </c>
      <c r="D2157" t="n">
        <v>25</v>
      </c>
      <c r="E2157" t="s">
        <v>2162</v>
      </c>
      <c r="F2157" t="s"/>
      <c r="G2157" t="s"/>
      <c r="H2157" t="s"/>
      <c r="I2157" t="s"/>
      <c r="J2157" t="n">
        <v>-0.765</v>
      </c>
      <c r="K2157" t="n">
        <v>0.322</v>
      </c>
      <c r="L2157" t="n">
        <v>0.678</v>
      </c>
      <c r="M2157" t="n">
        <v>0</v>
      </c>
    </row>
    <row r="2158" spans="1:13">
      <c r="A2158" s="1">
        <f>HYPERLINK("http://www.twitter.com/NathanBLawrence/status/799720858264670208", "799720858264670208")</f>
        <v/>
      </c>
      <c r="B2158" s="2" t="n">
        <v>42692.88061342593</v>
      </c>
      <c r="C2158" t="n">
        <v>0</v>
      </c>
      <c r="D2158" t="n">
        <v>180</v>
      </c>
      <c r="E2158" t="s">
        <v>2163</v>
      </c>
      <c r="F2158">
        <f>HYPERLINK("http://pbs.twimg.com/media/Cxki8E1XAAAGDok.jpg", "http://pbs.twimg.com/media/Cxki8E1XAAAGDok.jpg")</f>
        <v/>
      </c>
      <c r="G2158" t="s"/>
      <c r="H2158" t="s"/>
      <c r="I2158" t="s"/>
      <c r="J2158" t="n">
        <v>-0.4019</v>
      </c>
      <c r="K2158" t="n">
        <v>0.162</v>
      </c>
      <c r="L2158" t="n">
        <v>0.838</v>
      </c>
      <c r="M2158" t="n">
        <v>0</v>
      </c>
    </row>
    <row r="2159" spans="1:13">
      <c r="A2159" s="1">
        <f>HYPERLINK("http://www.twitter.com/NathanBLawrence/status/799720350590308352", "799720350590308352")</f>
        <v/>
      </c>
      <c r="B2159" s="2" t="n">
        <v>42692.87921296297</v>
      </c>
      <c r="C2159" t="n">
        <v>0</v>
      </c>
      <c r="D2159" t="n">
        <v>404</v>
      </c>
      <c r="E2159" t="s">
        <v>2164</v>
      </c>
      <c r="F2159" t="s"/>
      <c r="G2159" t="s"/>
      <c r="H2159" t="s"/>
      <c r="I2159" t="s"/>
      <c r="J2159" t="n">
        <v>-0.7845</v>
      </c>
      <c r="K2159" t="n">
        <v>0.315</v>
      </c>
      <c r="L2159" t="n">
        <v>0.6850000000000001</v>
      </c>
      <c r="M2159" t="n">
        <v>0</v>
      </c>
    </row>
    <row r="2160" spans="1:13">
      <c r="A2160" s="1">
        <f>HYPERLINK("http://www.twitter.com/NathanBLawrence/status/799717883383255040", "799717883383255040")</f>
        <v/>
      </c>
      <c r="B2160" s="2" t="n">
        <v>42692.87240740741</v>
      </c>
      <c r="C2160" t="n">
        <v>0</v>
      </c>
      <c r="D2160" t="n">
        <v>436</v>
      </c>
      <c r="E2160" t="s">
        <v>2165</v>
      </c>
      <c r="F2160" t="s"/>
      <c r="G2160" t="s"/>
      <c r="H2160" t="s"/>
      <c r="I2160" t="s"/>
      <c r="J2160" t="n">
        <v>-0.875</v>
      </c>
      <c r="K2160" t="n">
        <v>0.393</v>
      </c>
      <c r="L2160" t="n">
        <v>0.607</v>
      </c>
      <c r="M2160" t="n">
        <v>0</v>
      </c>
    </row>
    <row r="2161" spans="1:13">
      <c r="A2161" s="1">
        <f>HYPERLINK("http://www.twitter.com/NathanBLawrence/status/799716753659990016", "799716753659990016")</f>
        <v/>
      </c>
      <c r="B2161" s="2" t="n">
        <v>42692.86928240741</v>
      </c>
      <c r="C2161" t="n">
        <v>0</v>
      </c>
      <c r="D2161" t="n">
        <v>127</v>
      </c>
      <c r="E2161" t="s">
        <v>2166</v>
      </c>
      <c r="F2161" t="s"/>
      <c r="G2161" t="s"/>
      <c r="H2161" t="s"/>
      <c r="I2161" t="s"/>
      <c r="J2161" t="n">
        <v>0.296</v>
      </c>
      <c r="K2161" t="n">
        <v>0</v>
      </c>
      <c r="L2161" t="n">
        <v>0.694</v>
      </c>
      <c r="M2161" t="n">
        <v>0.306</v>
      </c>
    </row>
    <row r="2162" spans="1:13">
      <c r="A2162" s="1">
        <f>HYPERLINK("http://www.twitter.com/NathanBLawrence/status/799716729362518016", "799716729362518016")</f>
        <v/>
      </c>
      <c r="B2162" s="2" t="n">
        <v>42692.86921296296</v>
      </c>
      <c r="C2162" t="n">
        <v>0</v>
      </c>
      <c r="D2162" t="n">
        <v>2331</v>
      </c>
      <c r="E2162" t="s">
        <v>2167</v>
      </c>
      <c r="F2162">
        <f>HYPERLINK("https://video.twimg.com/ext_tw_video/799711066322305026/pu/vid/1280x720/uBsgJ70jD2rS0gZi.mp4", "https://video.twimg.com/ext_tw_video/799711066322305026/pu/vid/1280x720/uBsgJ70jD2rS0gZi.mp4")</f>
        <v/>
      </c>
      <c r="G2162" t="s"/>
      <c r="H2162" t="s"/>
      <c r="I2162" t="s"/>
      <c r="J2162" t="n">
        <v>0.4019</v>
      </c>
      <c r="K2162" t="n">
        <v>0</v>
      </c>
      <c r="L2162" t="n">
        <v>0.881</v>
      </c>
      <c r="M2162" t="n">
        <v>0.119</v>
      </c>
    </row>
    <row r="2163" spans="1:13">
      <c r="A2163" s="1">
        <f>HYPERLINK("http://www.twitter.com/NathanBLawrence/status/799701358299455488", "799701358299455488")</f>
        <v/>
      </c>
      <c r="B2163" s="2" t="n">
        <v>42692.82680555555</v>
      </c>
      <c r="C2163" t="n">
        <v>0</v>
      </c>
      <c r="D2163" t="n">
        <v>653</v>
      </c>
      <c r="E2163" t="s">
        <v>2168</v>
      </c>
      <c r="F2163" t="s"/>
      <c r="G2163" t="s"/>
      <c r="H2163" t="s"/>
      <c r="I2163" t="s"/>
      <c r="J2163" t="n">
        <v>0.4404</v>
      </c>
      <c r="K2163" t="n">
        <v>0</v>
      </c>
      <c r="L2163" t="n">
        <v>0.828</v>
      </c>
      <c r="M2163" t="n">
        <v>0.172</v>
      </c>
    </row>
    <row r="2164" spans="1:13">
      <c r="A2164" s="1">
        <f>HYPERLINK("http://www.twitter.com/NathanBLawrence/status/799678694998626305", "799678694998626305")</f>
        <v/>
      </c>
      <c r="B2164" s="2" t="n">
        <v>42692.76425925926</v>
      </c>
      <c r="C2164" t="n">
        <v>0</v>
      </c>
      <c r="D2164" t="n">
        <v>113</v>
      </c>
      <c r="E2164" t="s">
        <v>2169</v>
      </c>
      <c r="F2164" t="s"/>
      <c r="G2164" t="s"/>
      <c r="H2164" t="s"/>
      <c r="I2164" t="s"/>
      <c r="J2164" t="n">
        <v>0.2732</v>
      </c>
      <c r="K2164" t="n">
        <v>0</v>
      </c>
      <c r="L2164" t="n">
        <v>0.92</v>
      </c>
      <c r="M2164" t="n">
        <v>0.08</v>
      </c>
    </row>
    <row r="2165" spans="1:13">
      <c r="A2165" s="1">
        <f>HYPERLINK("http://www.twitter.com/NathanBLawrence/status/799676214420054016", "799676214420054016")</f>
        <v/>
      </c>
      <c r="B2165" s="2" t="n">
        <v>42692.75741898148</v>
      </c>
      <c r="C2165" t="n">
        <v>0</v>
      </c>
      <c r="D2165" t="n">
        <v>24</v>
      </c>
      <c r="E2165" t="s">
        <v>2170</v>
      </c>
      <c r="F2165" t="s"/>
      <c r="G2165" t="s"/>
      <c r="H2165" t="s"/>
      <c r="I2165" t="s"/>
      <c r="J2165" t="n">
        <v>-0.2263</v>
      </c>
      <c r="K2165" t="n">
        <v>0.192</v>
      </c>
      <c r="L2165" t="n">
        <v>0.8080000000000001</v>
      </c>
      <c r="M2165" t="n">
        <v>0</v>
      </c>
    </row>
    <row r="2166" spans="1:13">
      <c r="A2166" s="1">
        <f>HYPERLINK("http://www.twitter.com/NathanBLawrence/status/799675327014465536", "799675327014465536")</f>
        <v/>
      </c>
      <c r="B2166" s="2" t="n">
        <v>42692.75496527777</v>
      </c>
      <c r="C2166" t="n">
        <v>0</v>
      </c>
      <c r="D2166" t="n">
        <v>1251</v>
      </c>
      <c r="E2166" t="s">
        <v>2171</v>
      </c>
      <c r="F2166" t="s"/>
      <c r="G2166" t="s"/>
      <c r="H2166" t="s"/>
      <c r="I2166" t="s"/>
      <c r="J2166" t="n">
        <v>-0.2263</v>
      </c>
      <c r="K2166" t="n">
        <v>0.118</v>
      </c>
      <c r="L2166" t="n">
        <v>0.798</v>
      </c>
      <c r="M2166" t="n">
        <v>0.08400000000000001</v>
      </c>
    </row>
    <row r="2167" spans="1:13">
      <c r="A2167" s="1">
        <f>HYPERLINK("http://www.twitter.com/NathanBLawrence/status/799674566192889856", "799674566192889856")</f>
        <v/>
      </c>
      <c r="B2167" s="2" t="n">
        <v>42692.75287037037</v>
      </c>
      <c r="C2167" t="n">
        <v>0</v>
      </c>
      <c r="D2167" t="n">
        <v>0</v>
      </c>
      <c r="E2167" t="s">
        <v>2172</v>
      </c>
      <c r="F2167" t="s"/>
      <c r="G2167" t="s"/>
      <c r="H2167" t="s"/>
      <c r="I2167" t="s"/>
      <c r="J2167" t="n">
        <v>0.6486</v>
      </c>
      <c r="K2167" t="n">
        <v>0</v>
      </c>
      <c r="L2167" t="n">
        <v>0.762</v>
      </c>
      <c r="M2167" t="n">
        <v>0.238</v>
      </c>
    </row>
    <row r="2168" spans="1:13">
      <c r="A2168" s="1">
        <f>HYPERLINK("http://www.twitter.com/NathanBLawrence/status/799673338360532992", "799673338360532992")</f>
        <v/>
      </c>
      <c r="B2168" s="2" t="n">
        <v>42692.74947916667</v>
      </c>
      <c r="C2168" t="n">
        <v>0</v>
      </c>
      <c r="D2168" t="n">
        <v>419</v>
      </c>
      <c r="E2168" t="s">
        <v>2173</v>
      </c>
      <c r="F2168" t="s"/>
      <c r="G2168" t="s"/>
      <c r="H2168" t="s"/>
      <c r="I2168" t="s"/>
      <c r="J2168" t="n">
        <v>-0.1648</v>
      </c>
      <c r="K2168" t="n">
        <v>0.14</v>
      </c>
      <c r="L2168" t="n">
        <v>0.66</v>
      </c>
      <c r="M2168" t="n">
        <v>0.199</v>
      </c>
    </row>
    <row r="2169" spans="1:13">
      <c r="A2169" s="1">
        <f>HYPERLINK("http://www.twitter.com/NathanBLawrence/status/799670474858823681", "799670474858823681")</f>
        <v/>
      </c>
      <c r="B2169" s="2" t="n">
        <v>42692.74158564815</v>
      </c>
      <c r="C2169" t="n">
        <v>0</v>
      </c>
      <c r="D2169" t="n">
        <v>1427</v>
      </c>
      <c r="E2169" t="s">
        <v>2174</v>
      </c>
      <c r="F2169">
        <f>HYPERLINK("http://pbs.twimg.com/media/CxiyTuLVEAA3s4F.jpg", "http://pbs.twimg.com/media/CxiyTuLVEAA3s4F.jpg")</f>
        <v/>
      </c>
      <c r="G2169" t="s"/>
      <c r="H2169" t="s"/>
      <c r="I2169" t="s"/>
      <c r="J2169" t="n">
        <v>0</v>
      </c>
      <c r="K2169" t="n">
        <v>0</v>
      </c>
      <c r="L2169" t="n">
        <v>1</v>
      </c>
      <c r="M2169" t="n">
        <v>0</v>
      </c>
    </row>
    <row r="2170" spans="1:13">
      <c r="A2170" s="1">
        <f>HYPERLINK("http://www.twitter.com/NathanBLawrence/status/799661276859351040", "799661276859351040")</f>
        <v/>
      </c>
      <c r="B2170" s="2" t="n">
        <v>42692.71620370371</v>
      </c>
      <c r="C2170" t="n">
        <v>0</v>
      </c>
      <c r="D2170" t="n">
        <v>260</v>
      </c>
      <c r="E2170" t="s">
        <v>2175</v>
      </c>
      <c r="F2170">
        <f>HYPERLINK("http://pbs.twimg.com/media/CxfHHyBXEAA9jeG.jpg", "http://pbs.twimg.com/media/CxfHHyBXEAA9jeG.jpg")</f>
        <v/>
      </c>
      <c r="G2170" t="s"/>
      <c r="H2170" t="s"/>
      <c r="I2170" t="s"/>
      <c r="J2170" t="n">
        <v>0.4588</v>
      </c>
      <c r="K2170" t="n">
        <v>0</v>
      </c>
      <c r="L2170" t="n">
        <v>0.87</v>
      </c>
      <c r="M2170" t="n">
        <v>0.13</v>
      </c>
    </row>
    <row r="2171" spans="1:13">
      <c r="A2171" s="1">
        <f>HYPERLINK("http://www.twitter.com/NathanBLawrence/status/799658511886127104", "799658511886127104")</f>
        <v/>
      </c>
      <c r="B2171" s="2" t="n">
        <v>42692.70856481481</v>
      </c>
      <c r="C2171" t="n">
        <v>0</v>
      </c>
      <c r="D2171" t="n">
        <v>3977</v>
      </c>
      <c r="E2171" t="s">
        <v>2176</v>
      </c>
      <c r="F2171" t="s"/>
      <c r="G2171" t="s"/>
      <c r="H2171" t="s"/>
      <c r="I2171" t="s"/>
      <c r="J2171" t="n">
        <v>0.7906</v>
      </c>
      <c r="K2171" t="n">
        <v>0.066</v>
      </c>
      <c r="L2171" t="n">
        <v>0.659</v>
      </c>
      <c r="M2171" t="n">
        <v>0.275</v>
      </c>
    </row>
    <row r="2172" spans="1:13">
      <c r="A2172" s="1">
        <f>HYPERLINK("http://www.twitter.com/NathanBLawrence/status/799477377822814208", "799477377822814208")</f>
        <v/>
      </c>
      <c r="B2172" s="2" t="n">
        <v>42692.20873842593</v>
      </c>
      <c r="C2172" t="n">
        <v>0</v>
      </c>
      <c r="D2172" t="n">
        <v>135</v>
      </c>
      <c r="E2172" t="s">
        <v>2177</v>
      </c>
      <c r="F2172" t="s"/>
      <c r="G2172" t="s"/>
      <c r="H2172" t="s"/>
      <c r="I2172" t="s"/>
      <c r="J2172" t="n">
        <v>-0.3818</v>
      </c>
      <c r="K2172" t="n">
        <v>0.157</v>
      </c>
      <c r="L2172" t="n">
        <v>0.843</v>
      </c>
      <c r="M2172" t="n">
        <v>0</v>
      </c>
    </row>
    <row r="2173" spans="1:13">
      <c r="A2173" s="1">
        <f>HYPERLINK("http://www.twitter.com/NathanBLawrence/status/799470276685791233", "799470276685791233")</f>
        <v/>
      </c>
      <c r="B2173" s="2" t="n">
        <v>42692.18914351852</v>
      </c>
      <c r="C2173" t="n">
        <v>0</v>
      </c>
      <c r="D2173" t="n">
        <v>1754</v>
      </c>
      <c r="E2173" t="s">
        <v>2178</v>
      </c>
      <c r="F2173">
        <f>HYPERLINK("http://pbs.twimg.com/media/Cxgzb-dWIAAGggS.jpg", "http://pbs.twimg.com/media/Cxgzb-dWIAAGggS.jpg")</f>
        <v/>
      </c>
      <c r="G2173" t="s"/>
      <c r="H2173" t="s"/>
      <c r="I2173" t="s"/>
      <c r="J2173" t="n">
        <v>0.8374</v>
      </c>
      <c r="K2173" t="n">
        <v>0</v>
      </c>
      <c r="L2173" t="n">
        <v>0.335</v>
      </c>
      <c r="M2173" t="n">
        <v>0.665</v>
      </c>
    </row>
    <row r="2174" spans="1:13">
      <c r="A2174" s="1">
        <f>HYPERLINK("http://www.twitter.com/NathanBLawrence/status/799469389489864704", "799469389489864704")</f>
        <v/>
      </c>
      <c r="B2174" s="2" t="n">
        <v>42692.18668981481</v>
      </c>
      <c r="C2174" t="n">
        <v>0</v>
      </c>
      <c r="D2174" t="n">
        <v>158</v>
      </c>
      <c r="E2174" t="s">
        <v>2179</v>
      </c>
      <c r="F2174" t="s"/>
      <c r="G2174" t="s"/>
      <c r="H2174" t="s"/>
      <c r="I2174" t="s"/>
      <c r="J2174" t="n">
        <v>0.3612</v>
      </c>
      <c r="K2174" t="n">
        <v>0</v>
      </c>
      <c r="L2174" t="n">
        <v>0.872</v>
      </c>
      <c r="M2174" t="n">
        <v>0.128</v>
      </c>
    </row>
    <row r="2175" spans="1:13">
      <c r="A2175" s="1">
        <f>HYPERLINK("http://www.twitter.com/NathanBLawrence/status/799468842019762176", "799468842019762176")</f>
        <v/>
      </c>
      <c r="B2175" s="2" t="n">
        <v>42692.18518518518</v>
      </c>
      <c r="C2175" t="n">
        <v>0</v>
      </c>
      <c r="D2175" t="n">
        <v>1331</v>
      </c>
      <c r="E2175" t="s">
        <v>2180</v>
      </c>
      <c r="F2175">
        <f>HYPERLINK("http://pbs.twimg.com/media/CxgwMoWUcAA2Ixa.jpg", "http://pbs.twimg.com/media/CxgwMoWUcAA2Ixa.jpg")</f>
        <v/>
      </c>
      <c r="G2175" t="s"/>
      <c r="H2175" t="s"/>
      <c r="I2175" t="s"/>
      <c r="J2175" t="n">
        <v>0.7184</v>
      </c>
      <c r="K2175" t="n">
        <v>0.058</v>
      </c>
      <c r="L2175" t="n">
        <v>0.6919999999999999</v>
      </c>
      <c r="M2175" t="n">
        <v>0.25</v>
      </c>
    </row>
    <row r="2176" spans="1:13">
      <c r="A2176" s="1">
        <f>HYPERLINK("http://www.twitter.com/NathanBLawrence/status/799464861415723008", "799464861415723008")</f>
        <v/>
      </c>
      <c r="B2176" s="2" t="n">
        <v>42692.17418981482</v>
      </c>
      <c r="C2176" t="n">
        <v>0</v>
      </c>
      <c r="D2176" t="n">
        <v>226</v>
      </c>
      <c r="E2176" t="s">
        <v>2181</v>
      </c>
      <c r="F2176" t="s"/>
      <c r="G2176" t="s"/>
      <c r="H2176" t="s"/>
      <c r="I2176" t="s"/>
      <c r="J2176" t="n">
        <v>-0.4767</v>
      </c>
      <c r="K2176" t="n">
        <v>0.154</v>
      </c>
      <c r="L2176" t="n">
        <v>0.846</v>
      </c>
      <c r="M2176" t="n">
        <v>0</v>
      </c>
    </row>
    <row r="2177" spans="1:13">
      <c r="A2177" s="1">
        <f>HYPERLINK("http://www.twitter.com/NathanBLawrence/status/799432572707205120", "799432572707205120")</f>
        <v/>
      </c>
      <c r="B2177" s="2" t="n">
        <v>42692.08509259259</v>
      </c>
      <c r="C2177" t="n">
        <v>0</v>
      </c>
      <c r="D2177" t="n">
        <v>46166</v>
      </c>
      <c r="E2177" t="s">
        <v>2182</v>
      </c>
      <c r="F2177" t="s"/>
      <c r="G2177" t="s"/>
      <c r="H2177" t="s"/>
      <c r="I2177" t="s"/>
      <c r="J2177" t="n">
        <v>0.4939</v>
      </c>
      <c r="K2177" t="n">
        <v>0</v>
      </c>
      <c r="L2177" t="n">
        <v>0.882</v>
      </c>
      <c r="M2177" t="n">
        <v>0.118</v>
      </c>
    </row>
    <row r="2178" spans="1:13">
      <c r="A2178" s="1">
        <f>HYPERLINK("http://www.twitter.com/NathanBLawrence/status/799398425368428544", "799398425368428544")</f>
        <v/>
      </c>
      <c r="B2178" s="2" t="n">
        <v>42691.99086805555</v>
      </c>
      <c r="C2178" t="n">
        <v>0</v>
      </c>
      <c r="D2178" t="n">
        <v>6772</v>
      </c>
      <c r="E2178" t="s">
        <v>2183</v>
      </c>
      <c r="F2178" t="s"/>
      <c r="G2178" t="s"/>
      <c r="H2178" t="s"/>
      <c r="I2178" t="s"/>
      <c r="J2178" t="n">
        <v>-0.0788</v>
      </c>
      <c r="K2178" t="n">
        <v>0.173</v>
      </c>
      <c r="L2178" t="n">
        <v>0.706</v>
      </c>
      <c r="M2178" t="n">
        <v>0.122</v>
      </c>
    </row>
    <row r="2179" spans="1:13">
      <c r="A2179" s="1">
        <f>HYPERLINK("http://www.twitter.com/NathanBLawrence/status/799382800562524160", "799382800562524160")</f>
        <v/>
      </c>
      <c r="B2179" s="2" t="n">
        <v>42691.94775462963</v>
      </c>
      <c r="C2179" t="n">
        <v>0</v>
      </c>
      <c r="D2179" t="n">
        <v>3264</v>
      </c>
      <c r="E2179" t="s">
        <v>2184</v>
      </c>
      <c r="F2179" t="s"/>
      <c r="G2179" t="s"/>
      <c r="H2179" t="s"/>
      <c r="I2179" t="s"/>
      <c r="J2179" t="n">
        <v>0</v>
      </c>
      <c r="K2179" t="n">
        <v>0</v>
      </c>
      <c r="L2179" t="n">
        <v>1</v>
      </c>
      <c r="M2179" t="n">
        <v>0</v>
      </c>
    </row>
    <row r="2180" spans="1:13">
      <c r="A2180" s="1">
        <f>HYPERLINK("http://www.twitter.com/NathanBLawrence/status/799382485561999364", "799382485561999364")</f>
        <v/>
      </c>
      <c r="B2180" s="2" t="n">
        <v>42691.94688657407</v>
      </c>
      <c r="C2180" t="n">
        <v>0</v>
      </c>
      <c r="D2180" t="n">
        <v>68</v>
      </c>
      <c r="E2180" t="s">
        <v>2185</v>
      </c>
      <c r="F2180" t="s"/>
      <c r="G2180" t="s"/>
      <c r="H2180" t="s"/>
      <c r="I2180" t="s"/>
      <c r="J2180" t="n">
        <v>0</v>
      </c>
      <c r="K2180" t="n">
        <v>0</v>
      </c>
      <c r="L2180" t="n">
        <v>1</v>
      </c>
      <c r="M2180" t="n">
        <v>0</v>
      </c>
    </row>
    <row r="2181" spans="1:13">
      <c r="A2181" s="1">
        <f>HYPERLINK("http://www.twitter.com/NathanBLawrence/status/799379964659433472", "799379964659433472")</f>
        <v/>
      </c>
      <c r="B2181" s="2" t="n">
        <v>42691.93991898148</v>
      </c>
      <c r="C2181" t="n">
        <v>0</v>
      </c>
      <c r="D2181" t="n">
        <v>967</v>
      </c>
      <c r="E2181" t="s">
        <v>2186</v>
      </c>
      <c r="F2181" t="s"/>
      <c r="G2181" t="s"/>
      <c r="H2181" t="s"/>
      <c r="I2181" t="s"/>
      <c r="J2181" t="n">
        <v>0.6249</v>
      </c>
      <c r="K2181" t="n">
        <v>0</v>
      </c>
      <c r="L2181" t="n">
        <v>0.6870000000000001</v>
      </c>
      <c r="M2181" t="n">
        <v>0.313</v>
      </c>
    </row>
    <row r="2182" spans="1:13">
      <c r="A2182" s="1">
        <f>HYPERLINK("http://www.twitter.com/NathanBLawrence/status/799370186499489792", "799370186499489792")</f>
        <v/>
      </c>
      <c r="B2182" s="2" t="n">
        <v>42691.91293981481</v>
      </c>
      <c r="C2182" t="n">
        <v>0</v>
      </c>
      <c r="D2182" t="n">
        <v>0</v>
      </c>
      <c r="E2182" t="s">
        <v>2187</v>
      </c>
      <c r="F2182" t="s"/>
      <c r="G2182" t="s"/>
      <c r="H2182" t="s"/>
      <c r="I2182" t="s"/>
      <c r="J2182" t="n">
        <v>-0.34</v>
      </c>
      <c r="K2182" t="n">
        <v>0.124</v>
      </c>
      <c r="L2182" t="n">
        <v>0.876</v>
      </c>
      <c r="M2182" t="n">
        <v>0</v>
      </c>
    </row>
    <row r="2183" spans="1:13">
      <c r="A2183" s="1">
        <f>HYPERLINK("http://www.twitter.com/NathanBLawrence/status/799308170191601664", "799308170191601664")</f>
        <v/>
      </c>
      <c r="B2183" s="2" t="n">
        <v>42691.74180555555</v>
      </c>
      <c r="C2183" t="n">
        <v>0</v>
      </c>
      <c r="D2183" t="n">
        <v>469</v>
      </c>
      <c r="E2183" t="s">
        <v>2188</v>
      </c>
      <c r="F2183" t="s"/>
      <c r="G2183" t="s"/>
      <c r="H2183" t="s"/>
      <c r="I2183" t="s"/>
      <c r="J2183" t="n">
        <v>0</v>
      </c>
      <c r="K2183" t="n">
        <v>0</v>
      </c>
      <c r="L2183" t="n">
        <v>1</v>
      </c>
      <c r="M2183" t="n">
        <v>0</v>
      </c>
    </row>
    <row r="2184" spans="1:13">
      <c r="A2184" s="1">
        <f>HYPERLINK("http://www.twitter.com/NathanBLawrence/status/799307941648224257", "799307941648224257")</f>
        <v/>
      </c>
      <c r="B2184" s="2" t="n">
        <v>42691.74118055555</v>
      </c>
      <c r="C2184" t="n">
        <v>0</v>
      </c>
      <c r="D2184" t="n">
        <v>161</v>
      </c>
      <c r="E2184" t="s">
        <v>2189</v>
      </c>
      <c r="F2184" t="s"/>
      <c r="G2184" t="s"/>
      <c r="H2184" t="s"/>
      <c r="I2184" t="s"/>
      <c r="J2184" t="n">
        <v>0.7845</v>
      </c>
      <c r="K2184" t="n">
        <v>0.052</v>
      </c>
      <c r="L2184" t="n">
        <v>0.674</v>
      </c>
      <c r="M2184" t="n">
        <v>0.273</v>
      </c>
    </row>
    <row r="2185" spans="1:13">
      <c r="A2185" s="1">
        <f>HYPERLINK("http://www.twitter.com/NathanBLawrence/status/799307547899367424", "799307547899367424")</f>
        <v/>
      </c>
      <c r="B2185" s="2" t="n">
        <v>42691.74009259259</v>
      </c>
      <c r="C2185" t="n">
        <v>0</v>
      </c>
      <c r="D2185" t="n">
        <v>631</v>
      </c>
      <c r="E2185" t="s">
        <v>2190</v>
      </c>
      <c r="F2185" t="s"/>
      <c r="G2185" t="s"/>
      <c r="H2185" t="s"/>
      <c r="I2185" t="s"/>
      <c r="J2185" t="n">
        <v>-0.8176</v>
      </c>
      <c r="K2185" t="n">
        <v>0.294</v>
      </c>
      <c r="L2185" t="n">
        <v>0.706</v>
      </c>
      <c r="M2185" t="n">
        <v>0</v>
      </c>
    </row>
    <row r="2186" spans="1:13">
      <c r="A2186" s="1">
        <f>HYPERLINK("http://www.twitter.com/NathanBLawrence/status/799307345763373056", "799307345763373056")</f>
        <v/>
      </c>
      <c r="B2186" s="2" t="n">
        <v>42691.73953703704</v>
      </c>
      <c r="C2186" t="n">
        <v>0</v>
      </c>
      <c r="D2186" t="n">
        <v>20</v>
      </c>
      <c r="E2186" t="s">
        <v>2191</v>
      </c>
      <c r="F2186" t="s"/>
      <c r="G2186" t="s"/>
      <c r="H2186" t="s"/>
      <c r="I2186" t="s"/>
      <c r="J2186" t="n">
        <v>0.0772</v>
      </c>
      <c r="K2186" t="n">
        <v>0</v>
      </c>
      <c r="L2186" t="n">
        <v>0.929</v>
      </c>
      <c r="M2186" t="n">
        <v>0.07099999999999999</v>
      </c>
    </row>
    <row r="2187" spans="1:13">
      <c r="A2187" s="1">
        <f>HYPERLINK("http://www.twitter.com/NathanBLawrence/status/799306666068025345", "799306666068025345")</f>
        <v/>
      </c>
      <c r="B2187" s="2" t="n">
        <v>42691.73766203703</v>
      </c>
      <c r="C2187" t="n">
        <v>0</v>
      </c>
      <c r="D2187" t="n">
        <v>225</v>
      </c>
      <c r="E2187" t="s">
        <v>2192</v>
      </c>
      <c r="F2187" t="s"/>
      <c r="G2187" t="s"/>
      <c r="H2187" t="s"/>
      <c r="I2187" t="s"/>
      <c r="J2187" t="n">
        <v>0</v>
      </c>
      <c r="K2187" t="n">
        <v>0</v>
      </c>
      <c r="L2187" t="n">
        <v>1</v>
      </c>
      <c r="M2187" t="n">
        <v>0</v>
      </c>
    </row>
    <row r="2188" spans="1:13">
      <c r="A2188" s="1">
        <f>HYPERLINK("http://www.twitter.com/NathanBLawrence/status/799304743520792577", "799304743520792577")</f>
        <v/>
      </c>
      <c r="B2188" s="2" t="n">
        <v>42691.73234953704</v>
      </c>
      <c r="C2188" t="n">
        <v>0</v>
      </c>
      <c r="D2188" t="n">
        <v>87</v>
      </c>
      <c r="E2188" t="s">
        <v>2193</v>
      </c>
      <c r="F2188" t="s"/>
      <c r="G2188" t="s"/>
      <c r="H2188" t="s"/>
      <c r="I2188" t="s"/>
      <c r="J2188" t="n">
        <v>-0.7003</v>
      </c>
      <c r="K2188" t="n">
        <v>0.324</v>
      </c>
      <c r="L2188" t="n">
        <v>0.573</v>
      </c>
      <c r="M2188" t="n">
        <v>0.103</v>
      </c>
    </row>
    <row r="2189" spans="1:13">
      <c r="A2189" s="1">
        <f>HYPERLINK("http://www.twitter.com/NathanBLawrence/status/799303825634930688", "799303825634930688")</f>
        <v/>
      </c>
      <c r="B2189" s="2" t="n">
        <v>42691.72982638889</v>
      </c>
      <c r="C2189" t="n">
        <v>0</v>
      </c>
      <c r="D2189" t="n">
        <v>4736</v>
      </c>
      <c r="E2189" t="s">
        <v>2194</v>
      </c>
      <c r="F2189" t="s"/>
      <c r="G2189" t="s"/>
      <c r="H2189" t="s"/>
      <c r="I2189" t="s"/>
      <c r="J2189" t="n">
        <v>0.3899</v>
      </c>
      <c r="K2189" t="n">
        <v>0.099</v>
      </c>
      <c r="L2189" t="n">
        <v>0.708</v>
      </c>
      <c r="M2189" t="n">
        <v>0.193</v>
      </c>
    </row>
    <row r="2190" spans="1:13">
      <c r="A2190" s="1">
        <f>HYPERLINK("http://www.twitter.com/NathanBLawrence/status/799303744156471297", "799303744156471297")</f>
        <v/>
      </c>
      <c r="B2190" s="2" t="n">
        <v>42691.72959490741</v>
      </c>
      <c r="C2190" t="n">
        <v>0</v>
      </c>
      <c r="D2190" t="n">
        <v>15</v>
      </c>
      <c r="E2190" t="s">
        <v>2195</v>
      </c>
      <c r="F2190" t="s"/>
      <c r="G2190" t="s"/>
      <c r="H2190" t="s"/>
      <c r="I2190" t="s"/>
      <c r="J2190" t="n">
        <v>0</v>
      </c>
      <c r="K2190" t="n">
        <v>0</v>
      </c>
      <c r="L2190" t="n">
        <v>1</v>
      </c>
      <c r="M2190" t="n">
        <v>0</v>
      </c>
    </row>
    <row r="2191" spans="1:13">
      <c r="A2191" s="1">
        <f>HYPERLINK("http://www.twitter.com/NathanBLawrence/status/799298300436418561", "799298300436418561")</f>
        <v/>
      </c>
      <c r="B2191" s="2" t="n">
        <v>42691.71457175926</v>
      </c>
      <c r="C2191" t="n">
        <v>0</v>
      </c>
      <c r="D2191" t="n">
        <v>93</v>
      </c>
      <c r="E2191" t="s">
        <v>2196</v>
      </c>
      <c r="F2191" t="s"/>
      <c r="G2191" t="s"/>
      <c r="H2191" t="s"/>
      <c r="I2191" t="s"/>
      <c r="J2191" t="n">
        <v>-0.4767</v>
      </c>
      <c r="K2191" t="n">
        <v>0.237</v>
      </c>
      <c r="L2191" t="n">
        <v>0.763</v>
      </c>
      <c r="M2191" t="n">
        <v>0</v>
      </c>
    </row>
    <row r="2192" spans="1:13">
      <c r="A2192" s="1">
        <f>HYPERLINK("http://www.twitter.com/NathanBLawrence/status/799297261096169473", "799297261096169473")</f>
        <v/>
      </c>
      <c r="B2192" s="2" t="n">
        <v>42691.71170138889</v>
      </c>
      <c r="C2192" t="n">
        <v>0</v>
      </c>
      <c r="D2192" t="n">
        <v>2548</v>
      </c>
      <c r="E2192" t="s">
        <v>2197</v>
      </c>
      <c r="F2192">
        <f>HYPERLINK("http://pbs.twimg.com/media/CxeZMg-XUAQ1wCs.jpg", "http://pbs.twimg.com/media/CxeZMg-XUAQ1wCs.jpg")</f>
        <v/>
      </c>
      <c r="G2192" t="s"/>
      <c r="H2192" t="s"/>
      <c r="I2192" t="s"/>
      <c r="J2192" t="n">
        <v>0.5106000000000001</v>
      </c>
      <c r="K2192" t="n">
        <v>0</v>
      </c>
      <c r="L2192" t="n">
        <v>0.798</v>
      </c>
      <c r="M2192" t="n">
        <v>0.202</v>
      </c>
    </row>
    <row r="2193" spans="1:13">
      <c r="A2193" s="1">
        <f>HYPERLINK("http://www.twitter.com/NathanBLawrence/status/799289006223663105", "799289006223663105")</f>
        <v/>
      </c>
      <c r="B2193" s="2" t="n">
        <v>42691.68892361111</v>
      </c>
      <c r="C2193" t="n">
        <v>0</v>
      </c>
      <c r="D2193" t="n">
        <v>4744</v>
      </c>
      <c r="E2193" t="s">
        <v>2198</v>
      </c>
      <c r="F2193" t="s"/>
      <c r="G2193" t="s"/>
      <c r="H2193" t="s"/>
      <c r="I2193" t="s"/>
      <c r="J2193" t="n">
        <v>0</v>
      </c>
      <c r="K2193" t="n">
        <v>0</v>
      </c>
      <c r="L2193" t="n">
        <v>1</v>
      </c>
      <c r="M2193" t="n">
        <v>0</v>
      </c>
    </row>
    <row r="2194" spans="1:13">
      <c r="A2194" s="1">
        <f>HYPERLINK("http://www.twitter.com/NathanBLawrence/status/799288421319581697", "799288421319581697")</f>
        <v/>
      </c>
      <c r="B2194" s="2" t="n">
        <v>42691.68731481482</v>
      </c>
      <c r="C2194" t="n">
        <v>0</v>
      </c>
      <c r="D2194" t="n">
        <v>54</v>
      </c>
      <c r="E2194" t="s">
        <v>2199</v>
      </c>
      <c r="F2194">
        <f>HYPERLINK("http://pbs.twimg.com/media/CxejObsXEAA2aYz.jpg", "http://pbs.twimg.com/media/CxejObsXEAA2aYz.jpg")</f>
        <v/>
      </c>
      <c r="G2194" t="s"/>
      <c r="H2194" t="s"/>
      <c r="I2194" t="s"/>
      <c r="J2194" t="n">
        <v>0.4215</v>
      </c>
      <c r="K2194" t="n">
        <v>0</v>
      </c>
      <c r="L2194" t="n">
        <v>0.887</v>
      </c>
      <c r="M2194" t="n">
        <v>0.113</v>
      </c>
    </row>
    <row r="2195" spans="1:13">
      <c r="A2195" s="1">
        <f>HYPERLINK("http://www.twitter.com/NathanBLawrence/status/799284765555826689", "799284765555826689")</f>
        <v/>
      </c>
      <c r="B2195" s="2" t="n">
        <v>42691.67722222222</v>
      </c>
      <c r="C2195" t="n">
        <v>0</v>
      </c>
      <c r="D2195" t="n">
        <v>308</v>
      </c>
      <c r="E2195" t="s">
        <v>2200</v>
      </c>
      <c r="F2195" t="s"/>
      <c r="G2195" t="s"/>
      <c r="H2195" t="s"/>
      <c r="I2195" t="s"/>
      <c r="J2195" t="n">
        <v>0.6597</v>
      </c>
      <c r="K2195" t="n">
        <v>0</v>
      </c>
      <c r="L2195" t="n">
        <v>0.707</v>
      </c>
      <c r="M2195" t="n">
        <v>0.293</v>
      </c>
    </row>
    <row r="2196" spans="1:13">
      <c r="A2196" s="1">
        <f>HYPERLINK("http://www.twitter.com/NathanBLawrence/status/799100283540410368", "799100283540410368")</f>
        <v/>
      </c>
      <c r="B2196" s="2" t="n">
        <v>42691.16814814815</v>
      </c>
      <c r="C2196" t="n">
        <v>0</v>
      </c>
      <c r="D2196" t="n">
        <v>0</v>
      </c>
      <c r="E2196" t="s">
        <v>2201</v>
      </c>
      <c r="F2196" t="s"/>
      <c r="G2196" t="s"/>
      <c r="H2196" t="s"/>
      <c r="I2196" t="s"/>
      <c r="J2196" t="n">
        <v>-0.4588</v>
      </c>
      <c r="K2196" t="n">
        <v>0.375</v>
      </c>
      <c r="L2196" t="n">
        <v>0.625</v>
      </c>
      <c r="M2196" t="n">
        <v>0</v>
      </c>
    </row>
    <row r="2197" spans="1:13">
      <c r="A2197" s="1">
        <f>HYPERLINK("http://www.twitter.com/NathanBLawrence/status/799079711519424514", "799079711519424514")</f>
        <v/>
      </c>
      <c r="B2197" s="2" t="n">
        <v>42691.11138888889</v>
      </c>
      <c r="C2197" t="n">
        <v>0</v>
      </c>
      <c r="D2197" t="n">
        <v>146</v>
      </c>
      <c r="E2197" t="s">
        <v>2202</v>
      </c>
      <c r="F2197">
        <f>HYPERLINK("http://pbs.twimg.com/media/CxZKVvjXEAAPZn0.jpg", "http://pbs.twimg.com/media/CxZKVvjXEAAPZn0.jpg")</f>
        <v/>
      </c>
      <c r="G2197" t="s"/>
      <c r="H2197" t="s"/>
      <c r="I2197" t="s"/>
      <c r="J2197" t="n">
        <v>-0.296</v>
      </c>
      <c r="K2197" t="n">
        <v>0.164</v>
      </c>
      <c r="L2197" t="n">
        <v>0.72</v>
      </c>
      <c r="M2197" t="n">
        <v>0.116</v>
      </c>
    </row>
    <row r="2198" spans="1:13">
      <c r="A2198" s="1">
        <f>HYPERLINK("http://www.twitter.com/NathanBLawrence/status/799005599333830660", "799005599333830660")</f>
        <v/>
      </c>
      <c r="B2198" s="2" t="n">
        <v>42690.906875</v>
      </c>
      <c r="C2198" t="n">
        <v>0</v>
      </c>
      <c r="D2198" t="n">
        <v>294</v>
      </c>
      <c r="E2198" t="s">
        <v>2203</v>
      </c>
      <c r="F2198" t="s"/>
      <c r="G2198" t="s"/>
      <c r="H2198" t="s"/>
      <c r="I2198" t="s"/>
      <c r="J2198" t="n">
        <v>0</v>
      </c>
      <c r="K2198" t="n">
        <v>0</v>
      </c>
      <c r="L2198" t="n">
        <v>1</v>
      </c>
      <c r="M2198" t="n">
        <v>0</v>
      </c>
    </row>
    <row r="2199" spans="1:13">
      <c r="A2199" s="1">
        <f>HYPERLINK("http://www.twitter.com/NathanBLawrence/status/798974615758503936", "798974615758503936")</f>
        <v/>
      </c>
      <c r="B2199" s="2" t="n">
        <v>42690.82137731482</v>
      </c>
      <c r="C2199" t="n">
        <v>0</v>
      </c>
      <c r="D2199" t="n">
        <v>184</v>
      </c>
      <c r="E2199" t="s">
        <v>2204</v>
      </c>
      <c r="F2199" t="s"/>
      <c r="G2199" t="s"/>
      <c r="H2199" t="s"/>
      <c r="I2199" t="s"/>
      <c r="J2199" t="n">
        <v>0.4588</v>
      </c>
      <c r="K2199" t="n">
        <v>0.102</v>
      </c>
      <c r="L2199" t="n">
        <v>0.6820000000000001</v>
      </c>
      <c r="M2199" t="n">
        <v>0.216</v>
      </c>
    </row>
    <row r="2200" spans="1:13">
      <c r="A2200" s="1">
        <f>HYPERLINK("http://www.twitter.com/NathanBLawrence/status/798954841326452736", "798954841326452736")</f>
        <v/>
      </c>
      <c r="B2200" s="2" t="n">
        <v>42690.76680555556</v>
      </c>
      <c r="C2200" t="n">
        <v>0</v>
      </c>
      <c r="D2200" t="n">
        <v>3817</v>
      </c>
      <c r="E2200" t="s">
        <v>2205</v>
      </c>
      <c r="F2200" t="s"/>
      <c r="G2200" t="s"/>
      <c r="H2200" t="s"/>
      <c r="I2200" t="s"/>
      <c r="J2200" t="n">
        <v>-0.4215</v>
      </c>
      <c r="K2200" t="n">
        <v>0.118</v>
      </c>
      <c r="L2200" t="n">
        <v>0.882</v>
      </c>
      <c r="M2200" t="n">
        <v>0</v>
      </c>
    </row>
    <row r="2201" spans="1:13">
      <c r="A2201" s="1">
        <f>HYPERLINK("http://www.twitter.com/NathanBLawrence/status/798954509720547328", "798954509720547328")</f>
        <v/>
      </c>
      <c r="B2201" s="2" t="n">
        <v>42690.7658912037</v>
      </c>
      <c r="C2201" t="n">
        <v>0</v>
      </c>
      <c r="D2201" t="n">
        <v>273</v>
      </c>
      <c r="E2201" t="s">
        <v>2206</v>
      </c>
      <c r="F2201" t="s"/>
      <c r="G2201" t="s"/>
      <c r="H2201" t="s"/>
      <c r="I2201" t="s"/>
      <c r="J2201" t="n">
        <v>-0.296</v>
      </c>
      <c r="K2201" t="n">
        <v>0.109</v>
      </c>
      <c r="L2201" t="n">
        <v>0.891</v>
      </c>
      <c r="M2201" t="n">
        <v>0</v>
      </c>
    </row>
    <row r="2202" spans="1:13">
      <c r="A2202" s="1">
        <f>HYPERLINK("http://www.twitter.com/NathanBLawrence/status/798954002398453760", "798954002398453760")</f>
        <v/>
      </c>
      <c r="B2202" s="2" t="n">
        <v>42690.76449074074</v>
      </c>
      <c r="C2202" t="n">
        <v>0</v>
      </c>
      <c r="D2202" t="n">
        <v>705</v>
      </c>
      <c r="E2202" t="s">
        <v>2207</v>
      </c>
      <c r="F2202">
        <f>HYPERLINK("http://pbs.twimg.com/media/CxZTg6zWQAA65hM.jpg", "http://pbs.twimg.com/media/CxZTg6zWQAA65hM.jpg")</f>
        <v/>
      </c>
      <c r="G2202" t="s"/>
      <c r="H2202" t="s"/>
      <c r="I2202" t="s"/>
      <c r="J2202" t="n">
        <v>0</v>
      </c>
      <c r="K2202" t="n">
        <v>0</v>
      </c>
      <c r="L2202" t="n">
        <v>1</v>
      </c>
      <c r="M2202" t="n">
        <v>0</v>
      </c>
    </row>
    <row r="2203" spans="1:13">
      <c r="A2203" s="1">
        <f>HYPERLINK("http://www.twitter.com/NathanBLawrence/status/798951259172651008", "798951259172651008")</f>
        <v/>
      </c>
      <c r="B2203" s="2" t="n">
        <v>42690.7569212963</v>
      </c>
      <c r="C2203" t="n">
        <v>0</v>
      </c>
      <c r="D2203" t="n">
        <v>331</v>
      </c>
      <c r="E2203" t="s">
        <v>2208</v>
      </c>
      <c r="F2203">
        <f>HYPERLINK("http://pbs.twimg.com/media/CxZv_UHUQAABCST.jpg", "http://pbs.twimg.com/media/CxZv_UHUQAABCST.jpg")</f>
        <v/>
      </c>
      <c r="G2203" t="s"/>
      <c r="H2203" t="s"/>
      <c r="I2203" t="s"/>
      <c r="J2203" t="n">
        <v>-0.4767</v>
      </c>
      <c r="K2203" t="n">
        <v>0.279</v>
      </c>
      <c r="L2203" t="n">
        <v>0.721</v>
      </c>
      <c r="M2203" t="n">
        <v>0</v>
      </c>
    </row>
    <row r="2204" spans="1:13">
      <c r="A2204" s="1">
        <f>HYPERLINK("http://www.twitter.com/NathanBLawrence/status/798950645625659392", "798950645625659392")</f>
        <v/>
      </c>
      <c r="B2204" s="2" t="n">
        <v>42690.75523148148</v>
      </c>
      <c r="C2204" t="n">
        <v>0</v>
      </c>
      <c r="D2204" t="n">
        <v>196</v>
      </c>
      <c r="E2204" t="s">
        <v>2209</v>
      </c>
      <c r="F2204">
        <f>HYPERLINK("http://pbs.twimg.com/media/CxZwzjhVIAAWAFH.jpg", "http://pbs.twimg.com/media/CxZwzjhVIAAWAFH.jpg")</f>
        <v/>
      </c>
      <c r="G2204" t="s"/>
      <c r="H2204" t="s"/>
      <c r="I2204" t="s"/>
      <c r="J2204" t="n">
        <v>-0.6369</v>
      </c>
      <c r="K2204" t="n">
        <v>0.271</v>
      </c>
      <c r="L2204" t="n">
        <v>0.729</v>
      </c>
      <c r="M2204" t="n">
        <v>0</v>
      </c>
    </row>
    <row r="2205" spans="1:13">
      <c r="A2205" s="1">
        <f>HYPERLINK("http://www.twitter.com/NathanBLawrence/status/798949949954105344", "798949949954105344")</f>
        <v/>
      </c>
      <c r="B2205" s="2" t="n">
        <v>42690.75331018519</v>
      </c>
      <c r="C2205" t="n">
        <v>0</v>
      </c>
      <c r="D2205" t="n">
        <v>751</v>
      </c>
      <c r="E2205" t="s">
        <v>2210</v>
      </c>
      <c r="F2205" t="s"/>
      <c r="G2205" t="s"/>
      <c r="H2205" t="s"/>
      <c r="I2205" t="s"/>
      <c r="J2205" t="n">
        <v>-0.5904</v>
      </c>
      <c r="K2205" t="n">
        <v>0.19</v>
      </c>
      <c r="L2205" t="n">
        <v>0.737</v>
      </c>
      <c r="M2205" t="n">
        <v>0.074</v>
      </c>
    </row>
    <row r="2206" spans="1:13">
      <c r="A2206" s="1">
        <f>HYPERLINK("http://www.twitter.com/NathanBLawrence/status/798948678991872000", "798948678991872000")</f>
        <v/>
      </c>
      <c r="B2206" s="2" t="n">
        <v>42690.74980324074</v>
      </c>
      <c r="C2206" t="n">
        <v>0</v>
      </c>
      <c r="D2206" t="n">
        <v>2009</v>
      </c>
      <c r="E2206" t="s">
        <v>2211</v>
      </c>
      <c r="F2206">
        <f>HYPERLINK("http://pbs.twimg.com/media/CxZrwAJWEAAVH9E.jpg", "http://pbs.twimg.com/media/CxZrwAJWEAAVH9E.jpg")</f>
        <v/>
      </c>
      <c r="G2206" t="s"/>
      <c r="H2206" t="s"/>
      <c r="I2206" t="s"/>
      <c r="J2206" t="n">
        <v>0</v>
      </c>
      <c r="K2206" t="n">
        <v>0</v>
      </c>
      <c r="L2206" t="n">
        <v>1</v>
      </c>
      <c r="M2206" t="n">
        <v>0</v>
      </c>
    </row>
    <row r="2207" spans="1:13">
      <c r="A2207" s="1">
        <f>HYPERLINK("http://www.twitter.com/NathanBLawrence/status/798946545467060224", "798946545467060224")</f>
        <v/>
      </c>
      <c r="B2207" s="2" t="n">
        <v>42690.74391203704</v>
      </c>
      <c r="C2207" t="n">
        <v>0</v>
      </c>
      <c r="D2207" t="n">
        <v>269</v>
      </c>
      <c r="E2207" t="s">
        <v>2212</v>
      </c>
      <c r="F2207" t="s"/>
      <c r="G2207" t="s"/>
      <c r="H2207" t="s"/>
      <c r="I2207" t="s"/>
      <c r="J2207" t="n">
        <v>-0.2263</v>
      </c>
      <c r="K2207" t="n">
        <v>0.118</v>
      </c>
      <c r="L2207" t="n">
        <v>0.796</v>
      </c>
      <c r="M2207" t="n">
        <v>0.08699999999999999</v>
      </c>
    </row>
    <row r="2208" spans="1:13">
      <c r="A2208" s="1">
        <f>HYPERLINK("http://www.twitter.com/NathanBLawrence/status/798931386191278080", "798931386191278080")</f>
        <v/>
      </c>
      <c r="B2208" s="2" t="n">
        <v>42690.70208333333</v>
      </c>
      <c r="C2208" t="n">
        <v>0</v>
      </c>
      <c r="D2208" t="n">
        <v>2931</v>
      </c>
      <c r="E2208" t="s">
        <v>2213</v>
      </c>
      <c r="F2208">
        <f>HYPERLINK("http://pbs.twimg.com/media/CxVpmG7VIAAIE90.jpg", "http://pbs.twimg.com/media/CxVpmG7VIAAIE90.jpg")</f>
        <v/>
      </c>
      <c r="G2208" t="s"/>
      <c r="H2208" t="s"/>
      <c r="I2208" t="s"/>
      <c r="J2208" t="n">
        <v>-0.6523</v>
      </c>
      <c r="K2208" t="n">
        <v>0.186</v>
      </c>
      <c r="L2208" t="n">
        <v>0.8139999999999999</v>
      </c>
      <c r="M2208" t="n">
        <v>0</v>
      </c>
    </row>
    <row r="2209" spans="1:13">
      <c r="A2209" s="1">
        <f>HYPERLINK("http://www.twitter.com/NathanBLawrence/status/798929691965067266", "798929691965067266")</f>
        <v/>
      </c>
      <c r="B2209" s="2" t="n">
        <v>42690.69740740741</v>
      </c>
      <c r="C2209" t="n">
        <v>0</v>
      </c>
      <c r="D2209" t="n">
        <v>654</v>
      </c>
      <c r="E2209" t="s">
        <v>2214</v>
      </c>
      <c r="F2209">
        <f>HYPERLINK("http://pbs.twimg.com/media/CxYQDC9VQAARv6U.jpg", "http://pbs.twimg.com/media/CxYQDC9VQAARv6U.jpg")</f>
        <v/>
      </c>
      <c r="G2209" t="s"/>
      <c r="H2209" t="s"/>
      <c r="I2209" t="s"/>
      <c r="J2209" t="n">
        <v>-0.2023</v>
      </c>
      <c r="K2209" t="n">
        <v>0.122</v>
      </c>
      <c r="L2209" t="n">
        <v>0.878</v>
      </c>
      <c r="M2209" t="n">
        <v>0</v>
      </c>
    </row>
    <row r="2210" spans="1:13">
      <c r="A2210" s="1">
        <f>HYPERLINK("http://www.twitter.com/NathanBLawrence/status/798690116831019009", "798690116831019009")</f>
        <v/>
      </c>
      <c r="B2210" s="2" t="n">
        <v>42690.03630787037</v>
      </c>
      <c r="C2210" t="n">
        <v>0</v>
      </c>
      <c r="D2210" t="n">
        <v>4368</v>
      </c>
      <c r="E2210" t="s">
        <v>2215</v>
      </c>
      <c r="F2210">
        <f>HYPERLINK("http://pbs.twimg.com/media/CxRJwUPXcAEEV-E.jpg", "http://pbs.twimg.com/media/CxRJwUPXcAEEV-E.jpg")</f>
        <v/>
      </c>
      <c r="G2210" t="s"/>
      <c r="H2210" t="s"/>
      <c r="I2210" t="s"/>
      <c r="J2210" t="n">
        <v>0.9149</v>
      </c>
      <c r="K2210" t="n">
        <v>0</v>
      </c>
      <c r="L2210" t="n">
        <v>0.523</v>
      </c>
      <c r="M2210" t="n">
        <v>0.477</v>
      </c>
    </row>
    <row r="2211" spans="1:13">
      <c r="A2211" s="1">
        <f>HYPERLINK("http://www.twitter.com/NathanBLawrence/status/798674871072894976", "798674871072894976")</f>
        <v/>
      </c>
      <c r="B2211" s="2" t="n">
        <v>42689.99423611111</v>
      </c>
      <c r="C2211" t="n">
        <v>0</v>
      </c>
      <c r="D2211" t="n">
        <v>1029</v>
      </c>
      <c r="E2211" t="s">
        <v>2216</v>
      </c>
      <c r="F2211" t="s"/>
      <c r="G2211" t="s"/>
      <c r="H2211" t="s"/>
      <c r="I2211" t="s"/>
      <c r="J2211" t="n">
        <v>0.3699</v>
      </c>
      <c r="K2211" t="n">
        <v>0.063</v>
      </c>
      <c r="L2211" t="n">
        <v>0.771</v>
      </c>
      <c r="M2211" t="n">
        <v>0.166</v>
      </c>
    </row>
    <row r="2212" spans="1:13">
      <c r="A2212" s="1">
        <f>HYPERLINK("http://www.twitter.com/NathanBLawrence/status/798672926576738304", "798672926576738304")</f>
        <v/>
      </c>
      <c r="B2212" s="2" t="n">
        <v>42689.98886574074</v>
      </c>
      <c r="C2212" t="n">
        <v>0</v>
      </c>
      <c r="D2212" t="n">
        <v>3605</v>
      </c>
      <c r="E2212" t="s">
        <v>2217</v>
      </c>
      <c r="F2212">
        <f>HYPERLINK("https://video.twimg.com/amplify_video/798506806595108866/vid/1280x720/dQa0a6rW_yLHsIKE.mp4", "https://video.twimg.com/amplify_video/798506806595108866/vid/1280x720/dQa0a6rW_yLHsIKE.mp4")</f>
        <v/>
      </c>
      <c r="G2212" t="s"/>
      <c r="H2212" t="s"/>
      <c r="I2212" t="s"/>
      <c r="J2212" t="n">
        <v>-0.6124000000000001</v>
      </c>
      <c r="K2212" t="n">
        <v>0.192</v>
      </c>
      <c r="L2212" t="n">
        <v>0.8080000000000001</v>
      </c>
      <c r="M2212" t="n">
        <v>0</v>
      </c>
    </row>
    <row r="2213" spans="1:13">
      <c r="A2213" s="1">
        <f>HYPERLINK("http://www.twitter.com/NathanBLawrence/status/798616662161391616", "798616662161391616")</f>
        <v/>
      </c>
      <c r="B2213" s="2" t="n">
        <v>42689.83361111111</v>
      </c>
      <c r="C2213" t="n">
        <v>0</v>
      </c>
      <c r="D2213" t="n">
        <v>0</v>
      </c>
      <c r="E2213" t="s">
        <v>2218</v>
      </c>
      <c r="F2213" t="s"/>
      <c r="G2213" t="s"/>
      <c r="H2213" t="s"/>
      <c r="I2213" t="s"/>
      <c r="J2213" t="n">
        <v>-0.7122000000000001</v>
      </c>
      <c r="K2213" t="n">
        <v>0.267</v>
      </c>
      <c r="L2213" t="n">
        <v>0.733</v>
      </c>
      <c r="M2213" t="n">
        <v>0</v>
      </c>
    </row>
    <row r="2214" spans="1:13">
      <c r="A2214" s="1">
        <f>HYPERLINK("http://www.twitter.com/NathanBLawrence/status/798608740391845888", "798608740391845888")</f>
        <v/>
      </c>
      <c r="B2214" s="2" t="n">
        <v>42689.81174768518</v>
      </c>
      <c r="C2214" t="n">
        <v>0</v>
      </c>
      <c r="D2214" t="n">
        <v>25</v>
      </c>
      <c r="E2214" t="s">
        <v>2219</v>
      </c>
      <c r="F2214" t="s"/>
      <c r="G2214" t="s"/>
      <c r="H2214" t="s"/>
      <c r="I2214" t="s"/>
      <c r="J2214" t="n">
        <v>-0.7901</v>
      </c>
      <c r="K2214" t="n">
        <v>0.259</v>
      </c>
      <c r="L2214" t="n">
        <v>0.741</v>
      </c>
      <c r="M2214" t="n">
        <v>0</v>
      </c>
    </row>
    <row r="2215" spans="1:13">
      <c r="A2215" s="1">
        <f>HYPERLINK("http://www.twitter.com/NathanBLawrence/status/798608317002043392", "798608317002043392")</f>
        <v/>
      </c>
      <c r="B2215" s="2" t="n">
        <v>42689.81057870371</v>
      </c>
      <c r="C2215" t="n">
        <v>0</v>
      </c>
      <c r="D2215" t="n">
        <v>732</v>
      </c>
      <c r="E2215" t="s">
        <v>2220</v>
      </c>
      <c r="F2215">
        <f>HYPERLINK("http://pbs.twimg.com/media/CxTyQnCW8AApHoG.jpg", "http://pbs.twimg.com/media/CxTyQnCW8AApHoG.jpg")</f>
        <v/>
      </c>
      <c r="G2215" t="s"/>
      <c r="H2215" t="s"/>
      <c r="I2215" t="s"/>
      <c r="J2215" t="n">
        <v>-0.3671</v>
      </c>
      <c r="K2215" t="n">
        <v>0.241</v>
      </c>
      <c r="L2215" t="n">
        <v>0.609</v>
      </c>
      <c r="M2215" t="n">
        <v>0.15</v>
      </c>
    </row>
    <row r="2216" spans="1:13">
      <c r="A2216" s="1">
        <f>HYPERLINK("http://www.twitter.com/NathanBLawrence/status/798607731460435968", "798607731460435968")</f>
        <v/>
      </c>
      <c r="B2216" s="2" t="n">
        <v>42689.8089699074</v>
      </c>
      <c r="C2216" t="n">
        <v>0</v>
      </c>
      <c r="D2216" t="n">
        <v>218</v>
      </c>
      <c r="E2216" t="s">
        <v>2221</v>
      </c>
      <c r="F2216" t="s"/>
      <c r="G2216" t="s"/>
      <c r="H2216" t="s"/>
      <c r="I2216" t="s"/>
      <c r="J2216" t="n">
        <v>0.0772</v>
      </c>
      <c r="K2216" t="n">
        <v>0</v>
      </c>
      <c r="L2216" t="n">
        <v>0.874</v>
      </c>
      <c r="M2216" t="n">
        <v>0.126</v>
      </c>
    </row>
    <row r="2217" spans="1:13">
      <c r="A2217" s="1">
        <f>HYPERLINK("http://www.twitter.com/NathanBLawrence/status/798606249529053185", "798606249529053185")</f>
        <v/>
      </c>
      <c r="B2217" s="2" t="n">
        <v>42689.80487268518</v>
      </c>
      <c r="C2217" t="n">
        <v>0</v>
      </c>
      <c r="D2217" t="n">
        <v>6</v>
      </c>
      <c r="E2217" t="s">
        <v>2222</v>
      </c>
      <c r="F2217" t="s"/>
      <c r="G2217" t="s"/>
      <c r="H2217" t="s"/>
      <c r="I2217" t="s"/>
      <c r="J2217" t="n">
        <v>0</v>
      </c>
      <c r="K2217" t="n">
        <v>0</v>
      </c>
      <c r="L2217" t="n">
        <v>1</v>
      </c>
      <c r="M2217" t="n">
        <v>0</v>
      </c>
    </row>
    <row r="2218" spans="1:13">
      <c r="A2218" s="1">
        <f>HYPERLINK("http://www.twitter.com/NathanBLawrence/status/798605920112705536", "798605920112705536")</f>
        <v/>
      </c>
      <c r="B2218" s="2" t="n">
        <v>42689.80396990741</v>
      </c>
      <c r="C2218" t="n">
        <v>0</v>
      </c>
      <c r="D2218" t="n">
        <v>105</v>
      </c>
      <c r="E2218" t="s">
        <v>2223</v>
      </c>
      <c r="F2218" t="s"/>
      <c r="G2218" t="s"/>
      <c r="H2218" t="s"/>
      <c r="I2218" t="s"/>
      <c r="J2218" t="n">
        <v>0.6249</v>
      </c>
      <c r="K2218" t="n">
        <v>0</v>
      </c>
      <c r="L2218" t="n">
        <v>0.773</v>
      </c>
      <c r="M2218" t="n">
        <v>0.227</v>
      </c>
    </row>
    <row r="2219" spans="1:13">
      <c r="A2219" s="1">
        <f>HYPERLINK("http://www.twitter.com/NathanBLawrence/status/798604323609399296", "798604323609399296")</f>
        <v/>
      </c>
      <c r="B2219" s="2" t="n">
        <v>42689.79956018519</v>
      </c>
      <c r="C2219" t="n">
        <v>0</v>
      </c>
      <c r="D2219" t="n">
        <v>3838</v>
      </c>
      <c r="E2219" t="s">
        <v>2224</v>
      </c>
      <c r="F2219" t="s"/>
      <c r="G2219" t="s"/>
      <c r="H2219" t="s"/>
      <c r="I2219" t="s"/>
      <c r="J2219" t="n">
        <v>0.25</v>
      </c>
      <c r="K2219" t="n">
        <v>0.114</v>
      </c>
      <c r="L2219" t="n">
        <v>0.705</v>
      </c>
      <c r="M2219" t="n">
        <v>0.181</v>
      </c>
    </row>
    <row r="2220" spans="1:13">
      <c r="A2220" s="1">
        <f>HYPERLINK("http://www.twitter.com/NathanBLawrence/status/798604180155994113", "798604180155994113")</f>
        <v/>
      </c>
      <c r="B2220" s="2" t="n">
        <v>42689.79916666666</v>
      </c>
      <c r="C2220" t="n">
        <v>0</v>
      </c>
      <c r="D2220" t="n">
        <v>6934</v>
      </c>
      <c r="E2220" t="s">
        <v>2225</v>
      </c>
      <c r="F2220" t="s"/>
      <c r="G2220" t="s"/>
      <c r="H2220" t="s"/>
      <c r="I2220" t="s"/>
      <c r="J2220" t="n">
        <v>-0.1027</v>
      </c>
      <c r="K2220" t="n">
        <v>0.119</v>
      </c>
      <c r="L2220" t="n">
        <v>0.741</v>
      </c>
      <c r="M2220" t="n">
        <v>0.141</v>
      </c>
    </row>
    <row r="2221" spans="1:13">
      <c r="A2221" s="1">
        <f>HYPERLINK("http://www.twitter.com/NathanBLawrence/status/798604018008240128", "798604018008240128")</f>
        <v/>
      </c>
      <c r="B2221" s="2" t="n">
        <v>42689.79871527778</v>
      </c>
      <c r="C2221" t="n">
        <v>0</v>
      </c>
      <c r="D2221" t="n">
        <v>565</v>
      </c>
      <c r="E2221" t="s">
        <v>2226</v>
      </c>
      <c r="F2221" t="s"/>
      <c r="G2221" t="s"/>
      <c r="H2221" t="s"/>
      <c r="I2221" t="s"/>
      <c r="J2221" t="n">
        <v>-0.6124000000000001</v>
      </c>
      <c r="K2221" t="n">
        <v>0.25</v>
      </c>
      <c r="L2221" t="n">
        <v>0.75</v>
      </c>
      <c r="M2221" t="n">
        <v>0</v>
      </c>
    </row>
    <row r="2222" spans="1:13">
      <c r="A2222" s="1">
        <f>HYPERLINK("http://www.twitter.com/NathanBLawrence/status/798591413264887808", "798591413264887808")</f>
        <v/>
      </c>
      <c r="B2222" s="2" t="n">
        <v>42689.76393518518</v>
      </c>
      <c r="C2222" t="n">
        <v>0</v>
      </c>
      <c r="D2222" t="n">
        <v>5936</v>
      </c>
      <c r="E2222" t="s">
        <v>2227</v>
      </c>
      <c r="F2222" t="s"/>
      <c r="G2222" t="s"/>
      <c r="H2222" t="s"/>
      <c r="I2222" t="s"/>
      <c r="J2222" t="n">
        <v>-0.4404</v>
      </c>
      <c r="K2222" t="n">
        <v>0.139</v>
      </c>
      <c r="L2222" t="n">
        <v>0.861</v>
      </c>
      <c r="M2222" t="n">
        <v>0</v>
      </c>
    </row>
    <row r="2223" spans="1:13">
      <c r="A2223" s="1">
        <f>HYPERLINK("http://www.twitter.com/NathanBLawrence/status/798587007576350720", "798587007576350720")</f>
        <v/>
      </c>
      <c r="B2223" s="2" t="n">
        <v>42689.75178240741</v>
      </c>
      <c r="C2223" t="n">
        <v>0</v>
      </c>
      <c r="D2223" t="n">
        <v>856</v>
      </c>
      <c r="E2223" t="s">
        <v>2228</v>
      </c>
      <c r="F2223">
        <f>HYPERLINK("http://pbs.twimg.com/media/CxUR5HFVEAAi3Vq.jpg", "http://pbs.twimg.com/media/CxUR5HFVEAAi3Vq.jpg")</f>
        <v/>
      </c>
      <c r="G2223" t="s"/>
      <c r="H2223" t="s"/>
      <c r="I2223" t="s"/>
      <c r="J2223" t="n">
        <v>0</v>
      </c>
      <c r="K2223" t="n">
        <v>0</v>
      </c>
      <c r="L2223" t="n">
        <v>1</v>
      </c>
      <c r="M2223" t="n">
        <v>0</v>
      </c>
    </row>
    <row r="2224" spans="1:13">
      <c r="A2224" s="1">
        <f>HYPERLINK("http://www.twitter.com/NathanBLawrence/status/798586143721734144", "798586143721734144")</f>
        <v/>
      </c>
      <c r="B2224" s="2" t="n">
        <v>42689.74939814815</v>
      </c>
      <c r="C2224" t="n">
        <v>0</v>
      </c>
      <c r="D2224" t="n">
        <v>7</v>
      </c>
      <c r="E2224" t="s">
        <v>2229</v>
      </c>
      <c r="F2224" t="s"/>
      <c r="G2224" t="s"/>
      <c r="H2224" t="s"/>
      <c r="I2224" t="s"/>
      <c r="J2224" t="n">
        <v>-0.7131</v>
      </c>
      <c r="K2224" t="n">
        <v>0.299</v>
      </c>
      <c r="L2224" t="n">
        <v>0.617</v>
      </c>
      <c r="M2224" t="n">
        <v>0.08400000000000001</v>
      </c>
    </row>
    <row r="2225" spans="1:13">
      <c r="A2225" s="1">
        <f>HYPERLINK("http://www.twitter.com/NathanBLawrence/status/798570318180720640", "798570318180720640")</f>
        <v/>
      </c>
      <c r="B2225" s="2" t="n">
        <v>42689.70572916666</v>
      </c>
      <c r="C2225" t="n">
        <v>0</v>
      </c>
      <c r="D2225" t="n">
        <v>2745</v>
      </c>
      <c r="E2225" t="s">
        <v>2230</v>
      </c>
      <c r="F2225" t="s"/>
      <c r="G2225" t="s"/>
      <c r="H2225" t="s"/>
      <c r="I2225" t="s"/>
      <c r="J2225" t="n">
        <v>0.5719</v>
      </c>
      <c r="K2225" t="n">
        <v>0</v>
      </c>
      <c r="L2225" t="n">
        <v>0.837</v>
      </c>
      <c r="M2225" t="n">
        <v>0.163</v>
      </c>
    </row>
    <row r="2226" spans="1:13">
      <c r="A2226" s="1">
        <f>HYPERLINK("http://www.twitter.com/NathanBLawrence/status/798569575935676416", "798569575935676416")</f>
        <v/>
      </c>
      <c r="B2226" s="2" t="n">
        <v>42689.70368055555</v>
      </c>
      <c r="C2226" t="n">
        <v>0</v>
      </c>
      <c r="D2226" t="n">
        <v>2662</v>
      </c>
      <c r="E2226" t="s">
        <v>2231</v>
      </c>
      <c r="F2226" t="s"/>
      <c r="G2226" t="s"/>
      <c r="H2226" t="s"/>
      <c r="I2226" t="s"/>
      <c r="J2226" t="n">
        <v>0.509</v>
      </c>
      <c r="K2226" t="n">
        <v>0.144</v>
      </c>
      <c r="L2226" t="n">
        <v>0.602</v>
      </c>
      <c r="M2226" t="n">
        <v>0.254</v>
      </c>
    </row>
    <row r="2227" spans="1:13">
      <c r="A2227" s="1">
        <f>HYPERLINK("http://www.twitter.com/NathanBLawrence/status/798559716624330752", "798559716624330752")</f>
        <v/>
      </c>
      <c r="B2227" s="2" t="n">
        <v>42689.6764699074</v>
      </c>
      <c r="C2227" t="n">
        <v>0</v>
      </c>
      <c r="D2227" t="n">
        <v>2700</v>
      </c>
      <c r="E2227" t="s">
        <v>2232</v>
      </c>
      <c r="F2227" t="s"/>
      <c r="G2227" t="s"/>
      <c r="H2227" t="s"/>
      <c r="I2227" t="s"/>
      <c r="J2227" t="n">
        <v>0.8091</v>
      </c>
      <c r="K2227" t="n">
        <v>0</v>
      </c>
      <c r="L2227" t="n">
        <v>0.758</v>
      </c>
      <c r="M2227" t="n">
        <v>0.242</v>
      </c>
    </row>
    <row r="2228" spans="1:13">
      <c r="A2228" s="1">
        <f>HYPERLINK("http://www.twitter.com/NathanBLawrence/status/798321794679787520", "798321794679787520")</f>
        <v/>
      </c>
      <c r="B2228" s="2" t="n">
        <v>42689.01993055556</v>
      </c>
      <c r="C2228" t="n">
        <v>0</v>
      </c>
      <c r="D2228" t="n">
        <v>338</v>
      </c>
      <c r="E2228" t="s">
        <v>2233</v>
      </c>
      <c r="F2228" t="s"/>
      <c r="G2228" t="s"/>
      <c r="H2228" t="s"/>
      <c r="I2228" t="s"/>
      <c r="J2228" t="n">
        <v>-0.6908</v>
      </c>
      <c r="K2228" t="n">
        <v>0.217</v>
      </c>
      <c r="L2228" t="n">
        <v>0.783</v>
      </c>
      <c r="M2228" t="n">
        <v>0</v>
      </c>
    </row>
    <row r="2229" spans="1:13">
      <c r="A2229" s="1">
        <f>HYPERLINK("http://www.twitter.com/NathanBLawrence/status/798319527670882305", "798319527670882305")</f>
        <v/>
      </c>
      <c r="B2229" s="2" t="n">
        <v>42689.01368055555</v>
      </c>
      <c r="C2229" t="n">
        <v>0</v>
      </c>
      <c r="D2229" t="n">
        <v>8140</v>
      </c>
      <c r="E2229" t="s">
        <v>2234</v>
      </c>
      <c r="F2229">
        <f>HYPERLINK("http://pbs.twimg.com/media/CxQr8y9XgAEq3yT.jpg", "http://pbs.twimg.com/media/CxQr8y9XgAEq3yT.jpg")</f>
        <v/>
      </c>
      <c r="G2229" t="s"/>
      <c r="H2229" t="s"/>
      <c r="I2229" t="s"/>
      <c r="J2229" t="n">
        <v>0.7027</v>
      </c>
      <c r="K2229" t="n">
        <v>0</v>
      </c>
      <c r="L2229" t="n">
        <v>0.729</v>
      </c>
      <c r="M2229" t="n">
        <v>0.271</v>
      </c>
    </row>
    <row r="2230" spans="1:13">
      <c r="A2230" s="1">
        <f>HYPERLINK("http://www.twitter.com/NathanBLawrence/status/798306945287524352", "798306945287524352")</f>
        <v/>
      </c>
      <c r="B2230" s="2" t="n">
        <v>42688.97895833333</v>
      </c>
      <c r="C2230" t="n">
        <v>0</v>
      </c>
      <c r="D2230" t="n">
        <v>208</v>
      </c>
      <c r="E2230" t="s">
        <v>2235</v>
      </c>
      <c r="F2230" t="s"/>
      <c r="G2230" t="s"/>
      <c r="H2230" t="s"/>
      <c r="I2230" t="s"/>
      <c r="J2230" t="n">
        <v>-0.5994</v>
      </c>
      <c r="K2230" t="n">
        <v>0.157</v>
      </c>
      <c r="L2230" t="n">
        <v>0.843</v>
      </c>
      <c r="M2230" t="n">
        <v>0</v>
      </c>
    </row>
    <row r="2231" spans="1:13">
      <c r="A2231" s="1">
        <f>HYPERLINK("http://www.twitter.com/NathanBLawrence/status/798306397289123840", "798306397289123840")</f>
        <v/>
      </c>
      <c r="B2231" s="2" t="n">
        <v>42688.97744212963</v>
      </c>
      <c r="C2231" t="n">
        <v>0</v>
      </c>
      <c r="D2231" t="n">
        <v>489</v>
      </c>
      <c r="E2231" t="s">
        <v>2236</v>
      </c>
      <c r="F2231" t="s"/>
      <c r="G2231" t="s"/>
      <c r="H2231" t="s"/>
      <c r="I2231" t="s"/>
      <c r="J2231" t="n">
        <v>-0.9001</v>
      </c>
      <c r="K2231" t="n">
        <v>0.434</v>
      </c>
      <c r="L2231" t="n">
        <v>0.423</v>
      </c>
      <c r="M2231" t="n">
        <v>0.143</v>
      </c>
    </row>
    <row r="2232" spans="1:13">
      <c r="A2232" s="1">
        <f>HYPERLINK("http://www.twitter.com/NathanBLawrence/status/798305893968384001", "798305893968384001")</f>
        <v/>
      </c>
      <c r="B2232" s="2" t="n">
        <v>42688.97605324074</v>
      </c>
      <c r="C2232" t="n">
        <v>0</v>
      </c>
      <c r="D2232" t="n">
        <v>378</v>
      </c>
      <c r="E2232" t="s">
        <v>2237</v>
      </c>
      <c r="F2232" t="s"/>
      <c r="G2232" t="s"/>
      <c r="H2232" t="s"/>
      <c r="I2232" t="s"/>
      <c r="J2232" t="n">
        <v>-0.6597</v>
      </c>
      <c r="K2232" t="n">
        <v>0.213</v>
      </c>
      <c r="L2232" t="n">
        <v>0.787</v>
      </c>
      <c r="M2232" t="n">
        <v>0</v>
      </c>
    </row>
    <row r="2233" spans="1:13">
      <c r="A2233" s="1">
        <f>HYPERLINK("http://www.twitter.com/NathanBLawrence/status/798301889343422465", "798301889343422465")</f>
        <v/>
      </c>
      <c r="B2233" s="2" t="n">
        <v>42688.965</v>
      </c>
      <c r="C2233" t="n">
        <v>0</v>
      </c>
      <c r="D2233" t="n">
        <v>246</v>
      </c>
      <c r="E2233" t="s">
        <v>2238</v>
      </c>
      <c r="F2233" t="s"/>
      <c r="G2233" t="s"/>
      <c r="H2233" t="s"/>
      <c r="I2233" t="s"/>
      <c r="J2233" t="n">
        <v>-0.6792</v>
      </c>
      <c r="K2233" t="n">
        <v>0.237</v>
      </c>
      <c r="L2233" t="n">
        <v>0.763</v>
      </c>
      <c r="M2233" t="n">
        <v>0</v>
      </c>
    </row>
    <row r="2234" spans="1:13">
      <c r="A2234" s="1">
        <f>HYPERLINK("http://www.twitter.com/NathanBLawrence/status/798280565128626180", "798280565128626180")</f>
        <v/>
      </c>
      <c r="B2234" s="2" t="n">
        <v>42688.90615740741</v>
      </c>
      <c r="C2234" t="n">
        <v>0</v>
      </c>
      <c r="D2234" t="n">
        <v>529</v>
      </c>
      <c r="E2234" t="s">
        <v>2239</v>
      </c>
      <c r="F2234" t="s"/>
      <c r="G2234" t="s"/>
      <c r="H2234" t="s"/>
      <c r="I2234" t="s"/>
      <c r="J2234" t="n">
        <v>-0.2263</v>
      </c>
      <c r="K2234" t="n">
        <v>0.199</v>
      </c>
      <c r="L2234" t="n">
        <v>0.662</v>
      </c>
      <c r="M2234" t="n">
        <v>0.139</v>
      </c>
    </row>
    <row r="2235" spans="1:13">
      <c r="A2235" s="1">
        <f>HYPERLINK("http://www.twitter.com/NathanBLawrence/status/798280250027364353", "798280250027364353")</f>
        <v/>
      </c>
      <c r="B2235" s="2" t="n">
        <v>42688.90528935185</v>
      </c>
      <c r="C2235" t="n">
        <v>0</v>
      </c>
      <c r="D2235" t="n">
        <v>78</v>
      </c>
      <c r="E2235" t="s">
        <v>2240</v>
      </c>
      <c r="F2235">
        <f>HYPERLINK("https://video.twimg.com/ext_tw_video/798265272616546304/pu/vid/640x360/RfA7XBLMUiRcz3ft.mp4", "https://video.twimg.com/ext_tw_video/798265272616546304/pu/vid/640x360/RfA7XBLMUiRcz3ft.mp4")</f>
        <v/>
      </c>
      <c r="G2235" t="s"/>
      <c r="H2235" t="s"/>
      <c r="I2235" t="s"/>
      <c r="J2235" t="n">
        <v>-0.68</v>
      </c>
      <c r="K2235" t="n">
        <v>0.289</v>
      </c>
      <c r="L2235" t="n">
        <v>0.612</v>
      </c>
      <c r="M2235" t="n">
        <v>0.099</v>
      </c>
    </row>
    <row r="2236" spans="1:13">
      <c r="A2236" s="1">
        <f>HYPERLINK("http://www.twitter.com/NathanBLawrence/status/798280102458978304", "798280102458978304")</f>
        <v/>
      </c>
      <c r="B2236" s="2" t="n">
        <v>42688.90488425926</v>
      </c>
      <c r="C2236" t="n">
        <v>0</v>
      </c>
      <c r="D2236" t="n">
        <v>1</v>
      </c>
      <c r="E2236" t="s">
        <v>2241</v>
      </c>
      <c r="F2236" t="s"/>
      <c r="G2236" t="s"/>
      <c r="H2236" t="s"/>
      <c r="I2236" t="s"/>
      <c r="J2236" t="n">
        <v>-0.7883</v>
      </c>
      <c r="K2236" t="n">
        <v>0.38</v>
      </c>
      <c r="L2236" t="n">
        <v>0.507</v>
      </c>
      <c r="M2236" t="n">
        <v>0.113</v>
      </c>
    </row>
    <row r="2237" spans="1:13">
      <c r="A2237" s="1">
        <f>HYPERLINK("http://www.twitter.com/NathanBLawrence/status/798258153091497984", "798258153091497984")</f>
        <v/>
      </c>
      <c r="B2237" s="2" t="n">
        <v>42688.84431712963</v>
      </c>
      <c r="C2237" t="n">
        <v>0</v>
      </c>
      <c r="D2237" t="n">
        <v>283</v>
      </c>
      <c r="E2237" t="s">
        <v>2242</v>
      </c>
      <c r="F2237">
        <f>HYPERLINK("http://pbs.twimg.com/media/CxPsRaYWEAEKwvb.jpg", "http://pbs.twimg.com/media/CxPsRaYWEAEKwvb.jpg")</f>
        <v/>
      </c>
      <c r="G2237" t="s"/>
      <c r="H2237" t="s"/>
      <c r="I2237" t="s"/>
      <c r="J2237" t="n">
        <v>-0.7845</v>
      </c>
      <c r="K2237" t="n">
        <v>0.331</v>
      </c>
      <c r="L2237" t="n">
        <v>0.669</v>
      </c>
      <c r="M2237" t="n">
        <v>0</v>
      </c>
    </row>
    <row r="2238" spans="1:13">
      <c r="A2238" s="1">
        <f>HYPERLINK("http://www.twitter.com/NathanBLawrence/status/798258000893005825", "798258000893005825")</f>
        <v/>
      </c>
      <c r="B2238" s="2" t="n">
        <v>42688.84388888889</v>
      </c>
      <c r="C2238" t="n">
        <v>0</v>
      </c>
      <c r="D2238" t="n">
        <v>42</v>
      </c>
      <c r="E2238" t="s">
        <v>2243</v>
      </c>
      <c r="F2238">
        <f>HYPERLINK("http://pbs.twimg.com/media/CxPaixdUQAEfdkR.jpg", "http://pbs.twimg.com/media/CxPaixdUQAEfdkR.jpg")</f>
        <v/>
      </c>
      <c r="G2238" t="s"/>
      <c r="H2238" t="s"/>
      <c r="I2238" t="s"/>
      <c r="J2238" t="n">
        <v>0</v>
      </c>
      <c r="K2238" t="n">
        <v>0</v>
      </c>
      <c r="L2238" t="n">
        <v>1</v>
      </c>
      <c r="M2238" t="n">
        <v>0</v>
      </c>
    </row>
    <row r="2239" spans="1:13">
      <c r="A2239" s="1">
        <f>HYPERLINK("http://www.twitter.com/NathanBLawrence/status/798252013427523584", "798252013427523584")</f>
        <v/>
      </c>
      <c r="B2239" s="2" t="n">
        <v>42688.82737268518</v>
      </c>
      <c r="C2239" t="n">
        <v>0</v>
      </c>
      <c r="D2239" t="n">
        <v>18</v>
      </c>
      <c r="E2239" t="s">
        <v>2244</v>
      </c>
      <c r="F2239" t="s"/>
      <c r="G2239" t="s"/>
      <c r="H2239" t="s"/>
      <c r="I2239" t="s"/>
      <c r="J2239" t="n">
        <v>-0.3865</v>
      </c>
      <c r="K2239" t="n">
        <v>0.134</v>
      </c>
      <c r="L2239" t="n">
        <v>0.866</v>
      </c>
      <c r="M2239" t="n">
        <v>0</v>
      </c>
    </row>
    <row r="2240" spans="1:13">
      <c r="A2240" s="1">
        <f>HYPERLINK("http://www.twitter.com/NathanBLawrence/status/798249792375812097", "798249792375812097")</f>
        <v/>
      </c>
      <c r="B2240" s="2" t="n">
        <v>42688.82123842592</v>
      </c>
      <c r="C2240" t="n">
        <v>0</v>
      </c>
      <c r="D2240" t="n">
        <v>118</v>
      </c>
      <c r="E2240" t="s">
        <v>2245</v>
      </c>
      <c r="F2240" t="s"/>
      <c r="G2240" t="s"/>
      <c r="H2240" t="s"/>
      <c r="I2240" t="s"/>
      <c r="J2240" t="n">
        <v>0</v>
      </c>
      <c r="K2240" t="n">
        <v>0</v>
      </c>
      <c r="L2240" t="n">
        <v>1</v>
      </c>
      <c r="M2240" t="n">
        <v>0</v>
      </c>
    </row>
    <row r="2241" spans="1:13">
      <c r="A2241" s="1">
        <f>HYPERLINK("http://www.twitter.com/NathanBLawrence/status/798249053922480128", "798249053922480128")</f>
        <v/>
      </c>
      <c r="B2241" s="2" t="n">
        <v>42688.81920138889</v>
      </c>
      <c r="C2241" t="n">
        <v>0</v>
      </c>
      <c r="D2241" t="n">
        <v>7807</v>
      </c>
      <c r="E2241" t="s">
        <v>2246</v>
      </c>
      <c r="F2241" t="s"/>
      <c r="G2241" t="s"/>
      <c r="H2241" t="s"/>
      <c r="I2241" t="s"/>
      <c r="J2241" t="n">
        <v>0.5574</v>
      </c>
      <c r="K2241" t="n">
        <v>0</v>
      </c>
      <c r="L2241" t="n">
        <v>0.777</v>
      </c>
      <c r="M2241" t="n">
        <v>0.223</v>
      </c>
    </row>
    <row r="2242" spans="1:13">
      <c r="A2242" s="1">
        <f>HYPERLINK("http://www.twitter.com/NathanBLawrence/status/798247614395326466", "798247614395326466")</f>
        <v/>
      </c>
      <c r="B2242" s="2" t="n">
        <v>42688.81523148148</v>
      </c>
      <c r="C2242" t="n">
        <v>0</v>
      </c>
      <c r="D2242" t="n">
        <v>65</v>
      </c>
      <c r="E2242" t="s">
        <v>2247</v>
      </c>
      <c r="F2242" t="s"/>
      <c r="G2242" t="s"/>
      <c r="H2242" t="s"/>
      <c r="I2242" t="s"/>
      <c r="J2242" t="n">
        <v>0.4263</v>
      </c>
      <c r="K2242" t="n">
        <v>0</v>
      </c>
      <c r="L2242" t="n">
        <v>0.864</v>
      </c>
      <c r="M2242" t="n">
        <v>0.136</v>
      </c>
    </row>
    <row r="2243" spans="1:13">
      <c r="A2243" s="1">
        <f>HYPERLINK("http://www.twitter.com/NathanBLawrence/status/798247214719987712", "798247214719987712")</f>
        <v/>
      </c>
      <c r="B2243" s="2" t="n">
        <v>42688.81413194445</v>
      </c>
      <c r="C2243" t="n">
        <v>0</v>
      </c>
      <c r="D2243" t="n">
        <v>78</v>
      </c>
      <c r="E2243" t="s">
        <v>2248</v>
      </c>
      <c r="F2243" t="s"/>
      <c r="G2243" t="s"/>
      <c r="H2243" t="s"/>
      <c r="I2243" t="s"/>
      <c r="J2243" t="n">
        <v>-0.5294</v>
      </c>
      <c r="K2243" t="n">
        <v>0.234</v>
      </c>
      <c r="L2243" t="n">
        <v>0.657</v>
      </c>
      <c r="M2243" t="n">
        <v>0.109</v>
      </c>
    </row>
    <row r="2244" spans="1:13">
      <c r="A2244" s="1">
        <f>HYPERLINK("http://www.twitter.com/NathanBLawrence/status/798236077916127232", "798236077916127232")</f>
        <v/>
      </c>
      <c r="B2244" s="2" t="n">
        <v>42688.78340277778</v>
      </c>
      <c r="C2244" t="n">
        <v>0</v>
      </c>
      <c r="D2244" t="n">
        <v>262</v>
      </c>
      <c r="E2244" t="s">
        <v>2249</v>
      </c>
      <c r="F2244">
        <f>HYPERLINK("http://pbs.twimg.com/media/CxPNKmrWQAAD6k2.jpg", "http://pbs.twimg.com/media/CxPNKmrWQAAD6k2.jpg")</f>
        <v/>
      </c>
      <c r="G2244" t="s"/>
      <c r="H2244" t="s"/>
      <c r="I2244" t="s"/>
      <c r="J2244" t="n">
        <v>0</v>
      </c>
      <c r="K2244" t="n">
        <v>0</v>
      </c>
      <c r="L2244" t="n">
        <v>1</v>
      </c>
      <c r="M2244" t="n">
        <v>0</v>
      </c>
    </row>
    <row r="2245" spans="1:13">
      <c r="A2245" s="1">
        <f>HYPERLINK("http://www.twitter.com/NathanBLawrence/status/798236077907738624", "798236077907738624")</f>
        <v/>
      </c>
      <c r="B2245" s="2" t="n">
        <v>42688.78340277778</v>
      </c>
      <c r="C2245" t="n">
        <v>0</v>
      </c>
      <c r="D2245" t="n">
        <v>204</v>
      </c>
      <c r="E2245" t="s">
        <v>2250</v>
      </c>
      <c r="F2245">
        <f>HYPERLINK("http://pbs.twimg.com/media/CxIsB7WW8AAXDaw.jpg", "http://pbs.twimg.com/media/CxIsB7WW8AAXDaw.jpg")</f>
        <v/>
      </c>
      <c r="G2245" t="s"/>
      <c r="H2245" t="s"/>
      <c r="I2245" t="s"/>
      <c r="J2245" t="n">
        <v>0.128</v>
      </c>
      <c r="K2245" t="n">
        <v>0</v>
      </c>
      <c r="L2245" t="n">
        <v>0.889</v>
      </c>
      <c r="M2245" t="n">
        <v>0.111</v>
      </c>
    </row>
    <row r="2246" spans="1:13">
      <c r="A2246" s="1">
        <f>HYPERLINK("http://www.twitter.com/NathanBLawrence/status/798235531821875201", "798235531821875201")</f>
        <v/>
      </c>
      <c r="B2246" s="2" t="n">
        <v>42688.78188657408</v>
      </c>
      <c r="C2246" t="n">
        <v>0</v>
      </c>
      <c r="D2246" t="n">
        <v>344</v>
      </c>
      <c r="E2246" t="s">
        <v>2251</v>
      </c>
      <c r="F2246">
        <f>HYPERLINK("http://pbs.twimg.com/media/CxFqZ4iXUAAwwxE.jpg", "http://pbs.twimg.com/media/CxFqZ4iXUAAwwxE.jpg")</f>
        <v/>
      </c>
      <c r="G2246" t="s"/>
      <c r="H2246" t="s"/>
      <c r="I2246" t="s"/>
      <c r="J2246" t="n">
        <v>0.6884</v>
      </c>
      <c r="K2246" t="n">
        <v>0</v>
      </c>
      <c r="L2246" t="n">
        <v>0.74</v>
      </c>
      <c r="M2246" t="n">
        <v>0.26</v>
      </c>
    </row>
    <row r="2247" spans="1:13">
      <c r="A2247" s="1">
        <f>HYPERLINK("http://www.twitter.com/NathanBLawrence/status/798227578469355521", "798227578469355521")</f>
        <v/>
      </c>
      <c r="B2247" s="2" t="n">
        <v>42688.75994212963</v>
      </c>
      <c r="C2247" t="n">
        <v>0</v>
      </c>
      <c r="D2247" t="n">
        <v>6420</v>
      </c>
      <c r="E2247" t="s">
        <v>2252</v>
      </c>
      <c r="F2247" t="s"/>
      <c r="G2247" t="s"/>
      <c r="H2247" t="s"/>
      <c r="I2247" t="s"/>
      <c r="J2247" t="n">
        <v>-0.4939</v>
      </c>
      <c r="K2247" t="n">
        <v>0.161</v>
      </c>
      <c r="L2247" t="n">
        <v>0.766</v>
      </c>
      <c r="M2247" t="n">
        <v>0.073</v>
      </c>
    </row>
    <row r="2248" spans="1:13">
      <c r="A2248" s="1">
        <f>HYPERLINK("http://www.twitter.com/NathanBLawrence/status/797997029876076544", "797997029876076544")</f>
        <v/>
      </c>
      <c r="B2248" s="2" t="n">
        <v>42688.12375</v>
      </c>
      <c r="C2248" t="n">
        <v>0</v>
      </c>
      <c r="D2248" t="n">
        <v>470</v>
      </c>
      <c r="E2248" t="s">
        <v>2253</v>
      </c>
      <c r="F2248">
        <f>HYPERLINK("http://pbs.twimg.com/media/CxHwpGmUoAAIzp7.jpg", "http://pbs.twimg.com/media/CxHwpGmUoAAIzp7.jpg")</f>
        <v/>
      </c>
      <c r="G2248" t="s"/>
      <c r="H2248" t="s"/>
      <c r="I2248" t="s"/>
      <c r="J2248" t="n">
        <v>-0.6476</v>
      </c>
      <c r="K2248" t="n">
        <v>0.469</v>
      </c>
      <c r="L2248" t="n">
        <v>0.531</v>
      </c>
      <c r="M2248" t="n">
        <v>0</v>
      </c>
    </row>
    <row r="2249" spans="1:13">
      <c r="A2249" s="1">
        <f>HYPERLINK("http://www.twitter.com/NathanBLawrence/status/797990036113195009", "797990036113195009")</f>
        <v/>
      </c>
      <c r="B2249" s="2" t="n">
        <v>42688.10445601852</v>
      </c>
      <c r="C2249" t="n">
        <v>0</v>
      </c>
      <c r="D2249" t="n">
        <v>579</v>
      </c>
      <c r="E2249" t="s">
        <v>2254</v>
      </c>
      <c r="F2249" t="s"/>
      <c r="G2249" t="s"/>
      <c r="H2249" t="s"/>
      <c r="I2249" t="s"/>
      <c r="J2249" t="n">
        <v>0</v>
      </c>
      <c r="K2249" t="n">
        <v>0</v>
      </c>
      <c r="L2249" t="n">
        <v>1</v>
      </c>
      <c r="M2249" t="n">
        <v>0</v>
      </c>
    </row>
    <row r="2250" spans="1:13">
      <c r="A2250" s="1">
        <f>HYPERLINK("http://www.twitter.com/NathanBLawrence/status/797989729631342592", "797989729631342592")</f>
        <v/>
      </c>
      <c r="B2250" s="2" t="n">
        <v>42688.10361111111</v>
      </c>
      <c r="C2250" t="n">
        <v>0</v>
      </c>
      <c r="D2250" t="n">
        <v>1010</v>
      </c>
      <c r="E2250" t="s">
        <v>2255</v>
      </c>
      <c r="F2250" t="s"/>
      <c r="G2250" t="s"/>
      <c r="H2250" t="s"/>
      <c r="I2250" t="s"/>
      <c r="J2250" t="n">
        <v>-0.6908</v>
      </c>
      <c r="K2250" t="n">
        <v>0.199</v>
      </c>
      <c r="L2250" t="n">
        <v>0.801</v>
      </c>
      <c r="M2250" t="n">
        <v>0</v>
      </c>
    </row>
    <row r="2251" spans="1:13">
      <c r="A2251" s="1">
        <f>HYPERLINK("http://www.twitter.com/NathanBLawrence/status/797989555903336448", "797989555903336448")</f>
        <v/>
      </c>
      <c r="B2251" s="2" t="n">
        <v>42688.103125</v>
      </c>
      <c r="C2251" t="n">
        <v>0</v>
      </c>
      <c r="D2251" t="n">
        <v>388</v>
      </c>
      <c r="E2251" t="s">
        <v>2256</v>
      </c>
      <c r="F2251" t="s"/>
      <c r="G2251" t="s"/>
      <c r="H2251" t="s"/>
      <c r="I2251" t="s"/>
      <c r="J2251" t="n">
        <v>0.1779</v>
      </c>
      <c r="K2251" t="n">
        <v>0</v>
      </c>
      <c r="L2251" t="n">
        <v>0.892</v>
      </c>
      <c r="M2251" t="n">
        <v>0.108</v>
      </c>
    </row>
    <row r="2252" spans="1:13">
      <c r="A2252" s="1">
        <f>HYPERLINK("http://www.twitter.com/NathanBLawrence/status/797874993119961088", "797874993119961088")</f>
        <v/>
      </c>
      <c r="B2252" s="2" t="n">
        <v>42687.78699074074</v>
      </c>
      <c r="C2252" t="n">
        <v>0</v>
      </c>
      <c r="D2252" t="n">
        <v>27392</v>
      </c>
      <c r="E2252" t="s">
        <v>2257</v>
      </c>
      <c r="F2252" t="s"/>
      <c r="G2252" t="s"/>
      <c r="H2252" t="s"/>
      <c r="I2252" t="s"/>
      <c r="J2252" t="n">
        <v>-0.5719</v>
      </c>
      <c r="K2252" t="n">
        <v>0.163</v>
      </c>
      <c r="L2252" t="n">
        <v>0.837</v>
      </c>
      <c r="M2252" t="n">
        <v>0</v>
      </c>
    </row>
    <row r="2253" spans="1:13">
      <c r="A2253" s="1">
        <f>HYPERLINK("http://www.twitter.com/NathanBLawrence/status/797824732892692480", "797824732892692480")</f>
        <v/>
      </c>
      <c r="B2253" s="2" t="n">
        <v>42687.64829861111</v>
      </c>
      <c r="C2253" t="n">
        <v>0</v>
      </c>
      <c r="D2253" t="n">
        <v>1089</v>
      </c>
      <c r="E2253" t="s">
        <v>2258</v>
      </c>
      <c r="F2253" t="s"/>
      <c r="G2253" t="s"/>
      <c r="H2253" t="s"/>
      <c r="I2253" t="s"/>
      <c r="J2253" t="n">
        <v>-0.2023</v>
      </c>
      <c r="K2253" t="n">
        <v>0.095</v>
      </c>
      <c r="L2253" t="n">
        <v>0.85</v>
      </c>
      <c r="M2253" t="n">
        <v>0.055</v>
      </c>
    </row>
    <row r="2254" spans="1:13">
      <c r="A2254" s="1">
        <f>HYPERLINK("http://www.twitter.com/NathanBLawrence/status/797819966179438593", "797819966179438593")</f>
        <v/>
      </c>
      <c r="B2254" s="2" t="n">
        <v>42687.63515046296</v>
      </c>
      <c r="C2254" t="n">
        <v>0</v>
      </c>
      <c r="D2254" t="n">
        <v>331</v>
      </c>
      <c r="E2254" t="s">
        <v>2259</v>
      </c>
      <c r="F2254" t="s"/>
      <c r="G2254" t="s"/>
      <c r="H2254" t="s"/>
      <c r="I2254" t="s"/>
      <c r="J2254" t="n">
        <v>-0.0258</v>
      </c>
      <c r="K2254" t="n">
        <v>0.117</v>
      </c>
      <c r="L2254" t="n">
        <v>0.769</v>
      </c>
      <c r="M2254" t="n">
        <v>0.113</v>
      </c>
    </row>
    <row r="2255" spans="1:13">
      <c r="A2255" s="1">
        <f>HYPERLINK("http://www.twitter.com/NathanBLawrence/status/797789070076289025", "797789070076289025")</f>
        <v/>
      </c>
      <c r="B2255" s="2" t="n">
        <v>42687.54989583333</v>
      </c>
      <c r="C2255" t="n">
        <v>0</v>
      </c>
      <c r="D2255" t="n">
        <v>151</v>
      </c>
      <c r="E2255" t="s">
        <v>2260</v>
      </c>
      <c r="F2255">
        <f>HYPERLINK("http://pbs.twimg.com/media/CxG0ohmVIAAJRkj.jpg", "http://pbs.twimg.com/media/CxG0ohmVIAAJRkj.jpg")</f>
        <v/>
      </c>
      <c r="G2255" t="s"/>
      <c r="H2255" t="s"/>
      <c r="I2255" t="s"/>
      <c r="J2255" t="n">
        <v>-0.1531</v>
      </c>
      <c r="K2255" t="n">
        <v>0.08599999999999999</v>
      </c>
      <c r="L2255" t="n">
        <v>0.914</v>
      </c>
      <c r="M2255" t="n">
        <v>0</v>
      </c>
    </row>
    <row r="2256" spans="1:13">
      <c r="A2256" s="1">
        <f>HYPERLINK("http://www.twitter.com/NathanBLawrence/status/797788970168029184", "797788970168029184")</f>
        <v/>
      </c>
      <c r="B2256" s="2" t="n">
        <v>42687.54961805556</v>
      </c>
      <c r="C2256" t="n">
        <v>0</v>
      </c>
      <c r="D2256" t="n">
        <v>472</v>
      </c>
      <c r="E2256" t="s">
        <v>2261</v>
      </c>
      <c r="F2256">
        <f>HYPERLINK("http://pbs.twimg.com/media/CxG2IjdUsAAi9nB.jpg", "http://pbs.twimg.com/media/CxG2IjdUsAAi9nB.jpg")</f>
        <v/>
      </c>
      <c r="G2256">
        <f>HYPERLINK("http://pbs.twimg.com/media/CxG2IjkUsAAX3kT.jpg", "http://pbs.twimg.com/media/CxG2IjkUsAAX3kT.jpg")</f>
        <v/>
      </c>
      <c r="H2256">
        <f>HYPERLINK("http://pbs.twimg.com/media/CxG2IjhVIAEWnl_.jpg", "http://pbs.twimg.com/media/CxG2IjhVIAEWnl_.jpg")</f>
        <v/>
      </c>
      <c r="I2256" t="s"/>
      <c r="J2256" t="n">
        <v>0.8391999999999999</v>
      </c>
      <c r="K2256" t="n">
        <v>0</v>
      </c>
      <c r="L2256" t="n">
        <v>0.681</v>
      </c>
      <c r="M2256" t="n">
        <v>0.319</v>
      </c>
    </row>
    <row r="2257" spans="1:13">
      <c r="A2257" s="1">
        <f>HYPERLINK("http://www.twitter.com/NathanBLawrence/status/797788382390796288", "797788382390796288")</f>
        <v/>
      </c>
      <c r="B2257" s="2" t="n">
        <v>42687.54799768519</v>
      </c>
      <c r="C2257" t="n">
        <v>0</v>
      </c>
      <c r="D2257" t="n">
        <v>597</v>
      </c>
      <c r="E2257" t="s">
        <v>2262</v>
      </c>
      <c r="F2257" t="s"/>
      <c r="G2257" t="s"/>
      <c r="H2257" t="s"/>
      <c r="I2257" t="s"/>
      <c r="J2257" t="n">
        <v>-0.7297</v>
      </c>
      <c r="K2257" t="n">
        <v>0.232</v>
      </c>
      <c r="L2257" t="n">
        <v>0.768</v>
      </c>
      <c r="M2257" t="n">
        <v>0</v>
      </c>
    </row>
    <row r="2258" spans="1:13">
      <c r="A2258" s="1">
        <f>HYPERLINK("http://www.twitter.com/NathanBLawrence/status/797788336769404928", "797788336769404928")</f>
        <v/>
      </c>
      <c r="B2258" s="2" t="n">
        <v>42687.54787037037</v>
      </c>
      <c r="C2258" t="n">
        <v>0</v>
      </c>
      <c r="D2258" t="n">
        <v>151</v>
      </c>
      <c r="E2258" t="s">
        <v>2263</v>
      </c>
      <c r="F2258" t="s"/>
      <c r="G2258" t="s"/>
      <c r="H2258" t="s"/>
      <c r="I2258" t="s"/>
      <c r="J2258" t="n">
        <v>-0.296</v>
      </c>
      <c r="K2258" t="n">
        <v>0.135</v>
      </c>
      <c r="L2258" t="n">
        <v>0.779</v>
      </c>
      <c r="M2258" t="n">
        <v>0.08599999999999999</v>
      </c>
    </row>
    <row r="2259" spans="1:13">
      <c r="A2259" s="1">
        <f>HYPERLINK("http://www.twitter.com/NathanBLawrence/status/797788288564293633", "797788288564293633")</f>
        <v/>
      </c>
      <c r="B2259" s="2" t="n">
        <v>42687.54773148148</v>
      </c>
      <c r="C2259" t="n">
        <v>0</v>
      </c>
      <c r="D2259" t="n">
        <v>4605</v>
      </c>
      <c r="E2259" t="s">
        <v>2264</v>
      </c>
      <c r="F2259">
        <f>HYPERLINK("http://pbs.twimg.com/media/Cw_fhw6XEAAaqJP.jpg", "http://pbs.twimg.com/media/Cw_fhw6XEAAaqJP.jpg")</f>
        <v/>
      </c>
      <c r="G2259" t="s"/>
      <c r="H2259" t="s"/>
      <c r="I2259" t="s"/>
      <c r="J2259" t="n">
        <v>0.4648</v>
      </c>
      <c r="K2259" t="n">
        <v>0.118</v>
      </c>
      <c r="L2259" t="n">
        <v>0.655</v>
      </c>
      <c r="M2259" t="n">
        <v>0.228</v>
      </c>
    </row>
    <row r="2260" spans="1:13">
      <c r="A2260" s="1">
        <f>HYPERLINK("http://www.twitter.com/NathanBLawrence/status/797787497522757632", "797787497522757632")</f>
        <v/>
      </c>
      <c r="B2260" s="2" t="n">
        <v>42687.54555555555</v>
      </c>
      <c r="C2260" t="n">
        <v>0</v>
      </c>
      <c r="D2260" t="n">
        <v>122</v>
      </c>
      <c r="E2260" t="s">
        <v>2265</v>
      </c>
      <c r="F2260">
        <f>HYPERLINK("http://pbs.twimg.com/media/CxJK3pxWIAALvVd.jpg", "http://pbs.twimg.com/media/CxJK3pxWIAALvVd.jpg")</f>
        <v/>
      </c>
      <c r="G2260" t="s"/>
      <c r="H2260" t="s"/>
      <c r="I2260" t="s"/>
      <c r="J2260" t="n">
        <v>-0.5266999999999999</v>
      </c>
      <c r="K2260" t="n">
        <v>0.286</v>
      </c>
      <c r="L2260" t="n">
        <v>0.714</v>
      </c>
      <c r="M2260" t="n">
        <v>0</v>
      </c>
    </row>
    <row r="2261" spans="1:13">
      <c r="A2261" s="1">
        <f>HYPERLINK("http://www.twitter.com/NathanBLawrence/status/797786739620376576", "797786739620376576")</f>
        <v/>
      </c>
      <c r="B2261" s="2" t="n">
        <v>42687.54346064815</v>
      </c>
      <c r="C2261" t="n">
        <v>0</v>
      </c>
      <c r="D2261" t="n">
        <v>3</v>
      </c>
      <c r="E2261" t="s">
        <v>2266</v>
      </c>
      <c r="F2261" t="s"/>
      <c r="G2261" t="s"/>
      <c r="H2261" t="s"/>
      <c r="I2261" t="s"/>
      <c r="J2261" t="n">
        <v>0</v>
      </c>
      <c r="K2261" t="n">
        <v>0</v>
      </c>
      <c r="L2261" t="n">
        <v>1</v>
      </c>
      <c r="M2261" t="n">
        <v>0</v>
      </c>
    </row>
    <row r="2262" spans="1:13">
      <c r="A2262" s="1">
        <f>HYPERLINK("http://www.twitter.com/NathanBLawrence/status/797784686500216833", "797784686500216833")</f>
        <v/>
      </c>
      <c r="B2262" s="2" t="n">
        <v>42687.53780092593</v>
      </c>
      <c r="C2262" t="n">
        <v>0</v>
      </c>
      <c r="D2262" t="n">
        <v>874</v>
      </c>
      <c r="E2262" t="s">
        <v>2267</v>
      </c>
      <c r="F2262" t="s"/>
      <c r="G2262" t="s"/>
      <c r="H2262" t="s"/>
      <c r="I2262" t="s"/>
      <c r="J2262" t="n">
        <v>0.07539999999999999</v>
      </c>
      <c r="K2262" t="n">
        <v>0.112</v>
      </c>
      <c r="L2262" t="n">
        <v>0.763</v>
      </c>
      <c r="M2262" t="n">
        <v>0.125</v>
      </c>
    </row>
    <row r="2263" spans="1:13">
      <c r="A2263" s="1">
        <f>HYPERLINK("http://www.twitter.com/NathanBLawrence/status/797669969815359488", "797669969815359488")</f>
        <v/>
      </c>
      <c r="B2263" s="2" t="n">
        <v>42687.22123842593</v>
      </c>
      <c r="C2263" t="n">
        <v>0</v>
      </c>
      <c r="D2263" t="n">
        <v>18</v>
      </c>
      <c r="E2263" t="s">
        <v>2268</v>
      </c>
      <c r="F2263" t="s"/>
      <c r="G2263" t="s"/>
      <c r="H2263" t="s"/>
      <c r="I2263" t="s"/>
      <c r="J2263" t="n">
        <v>0</v>
      </c>
      <c r="K2263" t="n">
        <v>0</v>
      </c>
      <c r="L2263" t="n">
        <v>1</v>
      </c>
      <c r="M2263" t="n">
        <v>0</v>
      </c>
    </row>
    <row r="2264" spans="1:13">
      <c r="A2264" s="1">
        <f>HYPERLINK("http://www.twitter.com/NathanBLawrence/status/797669093021257729", "797669093021257729")</f>
        <v/>
      </c>
      <c r="B2264" s="2" t="n">
        <v>42687.21881944445</v>
      </c>
      <c r="C2264" t="n">
        <v>0</v>
      </c>
      <c r="D2264" t="n">
        <v>318</v>
      </c>
      <c r="E2264" t="s">
        <v>2269</v>
      </c>
      <c r="F2264">
        <f>HYPERLINK("http://pbs.twimg.com/media/CxHYSEvWgAAgrOf.jpg", "http://pbs.twimg.com/media/CxHYSEvWgAAgrOf.jpg")</f>
        <v/>
      </c>
      <c r="G2264" t="s"/>
      <c r="H2264" t="s"/>
      <c r="I2264" t="s"/>
      <c r="J2264" t="n">
        <v>0.3612</v>
      </c>
      <c r="K2264" t="n">
        <v>0</v>
      </c>
      <c r="L2264" t="n">
        <v>0.762</v>
      </c>
      <c r="M2264" t="n">
        <v>0.238</v>
      </c>
    </row>
    <row r="2265" spans="1:13">
      <c r="A2265" s="1">
        <f>HYPERLINK("http://www.twitter.com/NathanBLawrence/status/797645510953893888", "797645510953893888")</f>
        <v/>
      </c>
      <c r="B2265" s="2" t="n">
        <v>42687.15375</v>
      </c>
      <c r="C2265" t="n">
        <v>0</v>
      </c>
      <c r="D2265" t="n">
        <v>298</v>
      </c>
      <c r="E2265" t="s">
        <v>2270</v>
      </c>
      <c r="F2265" t="s"/>
      <c r="G2265" t="s"/>
      <c r="H2265" t="s"/>
      <c r="I2265" t="s"/>
      <c r="J2265" t="n">
        <v>0</v>
      </c>
      <c r="K2265" t="n">
        <v>0</v>
      </c>
      <c r="L2265" t="n">
        <v>1</v>
      </c>
      <c r="M2265" t="n">
        <v>0</v>
      </c>
    </row>
    <row r="2266" spans="1:13">
      <c r="A2266" s="1">
        <f>HYPERLINK("http://www.twitter.com/NathanBLawrence/status/797645381605670912", "797645381605670912")</f>
        <v/>
      </c>
      <c r="B2266" s="2" t="n">
        <v>42687.1533912037</v>
      </c>
      <c r="C2266" t="n">
        <v>0</v>
      </c>
      <c r="D2266" t="n">
        <v>1431</v>
      </c>
      <c r="E2266" t="s">
        <v>2271</v>
      </c>
      <c r="F2266">
        <f>HYPERLINK("http://pbs.twimg.com/media/CxAlSKbUQAEmUzT.jpg", "http://pbs.twimg.com/media/CxAlSKbUQAEmUzT.jpg")</f>
        <v/>
      </c>
      <c r="G2266" t="s"/>
      <c r="H2266" t="s"/>
      <c r="I2266" t="s"/>
      <c r="J2266" t="n">
        <v>-0.7712</v>
      </c>
      <c r="K2266" t="n">
        <v>0.358</v>
      </c>
      <c r="L2266" t="n">
        <v>0.642</v>
      </c>
      <c r="M2266" t="n">
        <v>0</v>
      </c>
    </row>
    <row r="2267" spans="1:13">
      <c r="A2267" s="1">
        <f>HYPERLINK("http://www.twitter.com/NathanBLawrence/status/797645286529257472", "797645286529257472")</f>
        <v/>
      </c>
      <c r="B2267" s="2" t="n">
        <v>42687.153125</v>
      </c>
      <c r="C2267" t="n">
        <v>0</v>
      </c>
      <c r="D2267" t="n">
        <v>21684</v>
      </c>
      <c r="E2267" t="s">
        <v>2272</v>
      </c>
      <c r="F2267">
        <f>HYPERLINK("http://pbs.twimg.com/media/Cw82FHJUcAAgcYY.jpg", "http://pbs.twimg.com/media/Cw82FHJUcAAgcYY.jpg")</f>
        <v/>
      </c>
      <c r="G2267" t="s"/>
      <c r="H2267" t="s"/>
      <c r="I2267" t="s"/>
      <c r="J2267" t="n">
        <v>0</v>
      </c>
      <c r="K2267" t="n">
        <v>0</v>
      </c>
      <c r="L2267" t="n">
        <v>1</v>
      </c>
      <c r="M2267" t="n">
        <v>0</v>
      </c>
    </row>
    <row r="2268" spans="1:13">
      <c r="A2268" s="1">
        <f>HYPERLINK("http://www.twitter.com/NathanBLawrence/status/797618036710735872", "797618036710735872")</f>
        <v/>
      </c>
      <c r="B2268" s="2" t="n">
        <v>42687.07792824074</v>
      </c>
      <c r="C2268" t="n">
        <v>0</v>
      </c>
      <c r="D2268" t="n">
        <v>2376</v>
      </c>
      <c r="E2268" t="s">
        <v>2273</v>
      </c>
      <c r="F2268" t="s"/>
      <c r="G2268" t="s"/>
      <c r="H2268" t="s"/>
      <c r="I2268" t="s"/>
      <c r="J2268" t="n">
        <v>0.3818</v>
      </c>
      <c r="K2268" t="n">
        <v>0.111</v>
      </c>
      <c r="L2268" t="n">
        <v>0.675</v>
      </c>
      <c r="M2268" t="n">
        <v>0.214</v>
      </c>
    </row>
    <row r="2269" spans="1:13">
      <c r="A2269" s="1">
        <f>HYPERLINK("http://www.twitter.com/NathanBLawrence/status/797617994239279104", "797617994239279104")</f>
        <v/>
      </c>
      <c r="B2269" s="2" t="n">
        <v>42687.0778125</v>
      </c>
      <c r="C2269" t="n">
        <v>0</v>
      </c>
      <c r="D2269" t="n">
        <v>5788</v>
      </c>
      <c r="E2269" t="s">
        <v>2274</v>
      </c>
      <c r="F2269" t="s"/>
      <c r="G2269" t="s"/>
      <c r="H2269" t="s"/>
      <c r="I2269" t="s"/>
      <c r="J2269" t="n">
        <v>0.6369</v>
      </c>
      <c r="K2269" t="n">
        <v>0</v>
      </c>
      <c r="L2269" t="n">
        <v>0.819</v>
      </c>
      <c r="M2269" t="n">
        <v>0.181</v>
      </c>
    </row>
    <row r="2270" spans="1:13">
      <c r="A2270" s="1">
        <f>HYPERLINK("http://www.twitter.com/NathanBLawrence/status/797592759871868928", "797592759871868928")</f>
        <v/>
      </c>
      <c r="B2270" s="2" t="n">
        <v>42687.00818287037</v>
      </c>
      <c r="C2270" t="n">
        <v>0</v>
      </c>
      <c r="D2270" t="n">
        <v>2961</v>
      </c>
      <c r="E2270" t="s">
        <v>2275</v>
      </c>
      <c r="F2270">
        <f>HYPERLINK("http://pbs.twimg.com/media/Cw_5lklXAAAnmvn.jpg", "http://pbs.twimg.com/media/Cw_5lklXAAAnmvn.jpg")</f>
        <v/>
      </c>
      <c r="G2270" t="s"/>
      <c r="H2270" t="s"/>
      <c r="I2270" t="s"/>
      <c r="J2270" t="n">
        <v>-0.6908</v>
      </c>
      <c r="K2270" t="n">
        <v>0.292</v>
      </c>
      <c r="L2270" t="n">
        <v>0.61</v>
      </c>
      <c r="M2270" t="n">
        <v>0.098</v>
      </c>
    </row>
    <row r="2271" spans="1:13">
      <c r="A2271" s="1">
        <f>HYPERLINK("http://www.twitter.com/NathanBLawrence/status/797592490228482048", "797592490228482048")</f>
        <v/>
      </c>
      <c r="B2271" s="2" t="n">
        <v>42687.00743055555</v>
      </c>
      <c r="C2271" t="n">
        <v>0</v>
      </c>
      <c r="D2271" t="n">
        <v>1195</v>
      </c>
      <c r="E2271" t="s">
        <v>2276</v>
      </c>
      <c r="F2271">
        <f>HYPERLINK("http://pbs.twimg.com/media/Cw_4TmzWIAA6re7.jpg", "http://pbs.twimg.com/media/Cw_4TmzWIAA6re7.jpg")</f>
        <v/>
      </c>
      <c r="G2271" t="s"/>
      <c r="H2271" t="s"/>
      <c r="I2271" t="s"/>
      <c r="J2271" t="n">
        <v>-0.296</v>
      </c>
      <c r="K2271" t="n">
        <v>0.239</v>
      </c>
      <c r="L2271" t="n">
        <v>0.761</v>
      </c>
      <c r="M2271" t="n">
        <v>0</v>
      </c>
    </row>
    <row r="2272" spans="1:13">
      <c r="A2272" s="1">
        <f>HYPERLINK("http://www.twitter.com/NathanBLawrence/status/797540444293001216", "797540444293001216")</f>
        <v/>
      </c>
      <c r="B2272" s="2" t="n">
        <v>42686.86381944444</v>
      </c>
      <c r="C2272" t="n">
        <v>0</v>
      </c>
      <c r="D2272" t="n">
        <v>9803</v>
      </c>
      <c r="E2272" t="s">
        <v>2277</v>
      </c>
      <c r="F2272" t="s"/>
      <c r="G2272" t="s"/>
      <c r="H2272" t="s"/>
      <c r="I2272" t="s"/>
      <c r="J2272" t="n">
        <v>-0.3624</v>
      </c>
      <c r="K2272" t="n">
        <v>0.197</v>
      </c>
      <c r="L2272" t="n">
        <v>0.6919999999999999</v>
      </c>
      <c r="M2272" t="n">
        <v>0.111</v>
      </c>
    </row>
    <row r="2273" spans="1:13">
      <c r="A2273" s="1">
        <f>HYPERLINK("http://www.twitter.com/NathanBLawrence/status/797526529832062977", "797526529832062977")</f>
        <v/>
      </c>
      <c r="B2273" s="2" t="n">
        <v>42686.82541666667</v>
      </c>
      <c r="C2273" t="n">
        <v>0</v>
      </c>
      <c r="D2273" t="n">
        <v>3</v>
      </c>
      <c r="E2273" t="s">
        <v>2278</v>
      </c>
      <c r="F2273" t="s"/>
      <c r="G2273" t="s"/>
      <c r="H2273" t="s"/>
      <c r="I2273" t="s"/>
      <c r="J2273" t="n">
        <v>-0.6705</v>
      </c>
      <c r="K2273" t="n">
        <v>0.193</v>
      </c>
      <c r="L2273" t="n">
        <v>0.8070000000000001</v>
      </c>
      <c r="M2273" t="n">
        <v>0</v>
      </c>
    </row>
    <row r="2274" spans="1:13">
      <c r="A2274" s="1">
        <f>HYPERLINK("http://www.twitter.com/NathanBLawrence/status/797524386823700480", "797524386823700480")</f>
        <v/>
      </c>
      <c r="B2274" s="2" t="n">
        <v>42686.81950231481</v>
      </c>
      <c r="C2274" t="n">
        <v>0</v>
      </c>
      <c r="D2274" t="n">
        <v>2534</v>
      </c>
      <c r="E2274" t="s">
        <v>2279</v>
      </c>
      <c r="F2274" t="s"/>
      <c r="G2274" t="s"/>
      <c r="H2274" t="s"/>
      <c r="I2274" t="s"/>
      <c r="J2274" t="n">
        <v>0.2023</v>
      </c>
      <c r="K2274" t="n">
        <v>0</v>
      </c>
      <c r="L2274" t="n">
        <v>0.859</v>
      </c>
      <c r="M2274" t="n">
        <v>0.141</v>
      </c>
    </row>
    <row r="2275" spans="1:13">
      <c r="A2275" s="1">
        <f>HYPERLINK("http://www.twitter.com/NathanBLawrence/status/797522996936187904", "797522996936187904")</f>
        <v/>
      </c>
      <c r="B2275" s="2" t="n">
        <v>42686.8156712963</v>
      </c>
      <c r="C2275" t="n">
        <v>0</v>
      </c>
      <c r="D2275" t="n">
        <v>10919</v>
      </c>
      <c r="E2275" t="s">
        <v>2280</v>
      </c>
      <c r="F2275" t="s"/>
      <c r="G2275" t="s"/>
      <c r="H2275" t="s"/>
      <c r="I2275" t="s"/>
      <c r="J2275" t="n">
        <v>0.5266999999999999</v>
      </c>
      <c r="K2275" t="n">
        <v>0</v>
      </c>
      <c r="L2275" t="n">
        <v>0.841</v>
      </c>
      <c r="M2275" t="n">
        <v>0.159</v>
      </c>
    </row>
    <row r="2276" spans="1:13">
      <c r="A2276" s="1">
        <f>HYPERLINK("http://www.twitter.com/NathanBLawrence/status/797508501471952896", "797508501471952896")</f>
        <v/>
      </c>
      <c r="B2276" s="2" t="n">
        <v>42686.77567129629</v>
      </c>
      <c r="C2276" t="n">
        <v>0</v>
      </c>
      <c r="D2276" t="n">
        <v>94</v>
      </c>
      <c r="E2276" t="s">
        <v>2281</v>
      </c>
      <c r="F2276" t="s"/>
      <c r="G2276" t="s"/>
      <c r="H2276" t="s"/>
      <c r="I2276" t="s"/>
      <c r="J2276" t="n">
        <v>0</v>
      </c>
      <c r="K2276" t="n">
        <v>0</v>
      </c>
      <c r="L2276" t="n">
        <v>1</v>
      </c>
      <c r="M2276" t="n">
        <v>0</v>
      </c>
    </row>
    <row r="2277" spans="1:13">
      <c r="A2277" s="1">
        <f>HYPERLINK("http://www.twitter.com/NathanBLawrence/status/797501608787640324", "797501608787640324")</f>
        <v/>
      </c>
      <c r="B2277" s="2" t="n">
        <v>42686.75665509259</v>
      </c>
      <c r="C2277" t="n">
        <v>0</v>
      </c>
      <c r="D2277" t="n">
        <v>789</v>
      </c>
      <c r="E2277" t="s">
        <v>2282</v>
      </c>
      <c r="F2277" t="s"/>
      <c r="G2277" t="s"/>
      <c r="H2277" t="s"/>
      <c r="I2277" t="s"/>
      <c r="J2277" t="n">
        <v>-0.8494</v>
      </c>
      <c r="K2277" t="n">
        <v>0.37</v>
      </c>
      <c r="L2277" t="n">
        <v>0.63</v>
      </c>
      <c r="M2277" t="n">
        <v>0</v>
      </c>
    </row>
    <row r="2278" spans="1:13">
      <c r="A2278" s="1">
        <f>HYPERLINK("http://www.twitter.com/NathanBLawrence/status/797486812667191296", "797486812667191296")</f>
        <v/>
      </c>
      <c r="B2278" s="2" t="n">
        <v>42686.71582175926</v>
      </c>
      <c r="C2278" t="n">
        <v>0</v>
      </c>
      <c r="D2278" t="n">
        <v>733</v>
      </c>
      <c r="E2278" t="s">
        <v>2283</v>
      </c>
      <c r="F2278" t="s"/>
      <c r="G2278" t="s"/>
      <c r="H2278" t="s"/>
      <c r="I2278" t="s"/>
      <c r="J2278" t="n">
        <v>-0.6124000000000001</v>
      </c>
      <c r="K2278" t="n">
        <v>0.182</v>
      </c>
      <c r="L2278" t="n">
        <v>0.8179999999999999</v>
      </c>
      <c r="M2278" t="n">
        <v>0</v>
      </c>
    </row>
    <row r="2279" spans="1:13">
      <c r="A2279" s="1">
        <f>HYPERLINK("http://www.twitter.com/NathanBLawrence/status/797484449164300289", "797484449164300289")</f>
        <v/>
      </c>
      <c r="B2279" s="2" t="n">
        <v>42686.70929398148</v>
      </c>
      <c r="C2279" t="n">
        <v>0</v>
      </c>
      <c r="D2279" t="n">
        <v>191</v>
      </c>
      <c r="E2279" t="s">
        <v>2284</v>
      </c>
      <c r="F2279">
        <f>HYPERLINK("http://pbs.twimg.com/media/CxE7mqEUQAA7UDL.jpg", "http://pbs.twimg.com/media/CxE7mqEUQAA7UDL.jpg")</f>
        <v/>
      </c>
      <c r="G2279" t="s"/>
      <c r="H2279" t="s"/>
      <c r="I2279" t="s"/>
      <c r="J2279" t="n">
        <v>-0.6588000000000001</v>
      </c>
      <c r="K2279" t="n">
        <v>0.285</v>
      </c>
      <c r="L2279" t="n">
        <v>0.715</v>
      </c>
      <c r="M2279" t="n">
        <v>0</v>
      </c>
    </row>
    <row r="2280" spans="1:13">
      <c r="A2280" s="1">
        <f>HYPERLINK("http://www.twitter.com/NathanBLawrence/status/797476591546888193", "797476591546888193")</f>
        <v/>
      </c>
      <c r="B2280" s="2" t="n">
        <v>42686.68761574074</v>
      </c>
      <c r="C2280" t="n">
        <v>0</v>
      </c>
      <c r="D2280" t="n">
        <v>1214</v>
      </c>
      <c r="E2280" t="s">
        <v>2285</v>
      </c>
      <c r="F2280" t="s"/>
      <c r="G2280" t="s"/>
      <c r="H2280" t="s"/>
      <c r="I2280" t="s"/>
      <c r="J2280" t="n">
        <v>-0.669</v>
      </c>
      <c r="K2280" t="n">
        <v>0.251</v>
      </c>
      <c r="L2280" t="n">
        <v>0.677</v>
      </c>
      <c r="M2280" t="n">
        <v>0.07199999999999999</v>
      </c>
    </row>
    <row r="2281" spans="1:13">
      <c r="A2281" s="1">
        <f>HYPERLINK("http://www.twitter.com/NathanBLawrence/status/797470959217295360", "797470959217295360")</f>
        <v/>
      </c>
      <c r="B2281" s="2" t="n">
        <v>42686.67207175926</v>
      </c>
      <c r="C2281" t="n">
        <v>0</v>
      </c>
      <c r="D2281" t="n">
        <v>230</v>
      </c>
      <c r="E2281" t="s">
        <v>2286</v>
      </c>
      <c r="F2281" t="s"/>
      <c r="G2281" t="s"/>
      <c r="H2281" t="s"/>
      <c r="I2281" t="s"/>
      <c r="J2281" t="n">
        <v>-0.4215</v>
      </c>
      <c r="K2281" t="n">
        <v>0.141</v>
      </c>
      <c r="L2281" t="n">
        <v>0.859</v>
      </c>
      <c r="M2281" t="n">
        <v>0</v>
      </c>
    </row>
    <row r="2282" spans="1:13">
      <c r="A2282" s="1">
        <f>HYPERLINK("http://www.twitter.com/NathanBLawrence/status/797470868855287808", "797470868855287808")</f>
        <v/>
      </c>
      <c r="B2282" s="2" t="n">
        <v>42686.6718287037</v>
      </c>
      <c r="C2282" t="n">
        <v>0</v>
      </c>
      <c r="D2282" t="n">
        <v>8670</v>
      </c>
      <c r="E2282" t="s">
        <v>2287</v>
      </c>
      <c r="F2282" t="s"/>
      <c r="G2282" t="s"/>
      <c r="H2282" t="s"/>
      <c r="I2282" t="s"/>
      <c r="J2282" t="n">
        <v>-0.7579</v>
      </c>
      <c r="K2282" t="n">
        <v>0.228</v>
      </c>
      <c r="L2282" t="n">
        <v>0.772</v>
      </c>
      <c r="M2282" t="n">
        <v>0</v>
      </c>
    </row>
    <row r="2283" spans="1:13">
      <c r="A2283" s="1">
        <f>HYPERLINK("http://www.twitter.com/NathanBLawrence/status/797331763588722688", "797331763588722688")</f>
        <v/>
      </c>
      <c r="B2283" s="2" t="n">
        <v>42686.28796296296</v>
      </c>
      <c r="C2283" t="n">
        <v>0</v>
      </c>
      <c r="D2283" t="n">
        <v>11722</v>
      </c>
      <c r="E2283" t="s">
        <v>2288</v>
      </c>
      <c r="F2283" t="s"/>
      <c r="G2283" t="s"/>
      <c r="H2283" t="s"/>
      <c r="I2283" t="s"/>
      <c r="J2283" t="n">
        <v>0</v>
      </c>
      <c r="K2283" t="n">
        <v>0</v>
      </c>
      <c r="L2283" t="n">
        <v>1</v>
      </c>
      <c r="M2283" t="n">
        <v>0</v>
      </c>
    </row>
    <row r="2284" spans="1:13">
      <c r="A2284" s="1">
        <f>HYPERLINK("http://www.twitter.com/NathanBLawrence/status/797311989555097600", "797311989555097600")</f>
        <v/>
      </c>
      <c r="B2284" s="2" t="n">
        <v>42686.23340277778</v>
      </c>
      <c r="C2284" t="n">
        <v>0</v>
      </c>
      <c r="D2284" t="n">
        <v>2516</v>
      </c>
      <c r="E2284" t="s">
        <v>2289</v>
      </c>
      <c r="F2284">
        <f>HYPERLINK("http://pbs.twimg.com/media/Cw7gnugUoAAnFlZ.jpg", "http://pbs.twimg.com/media/Cw7gnugUoAAnFlZ.jpg")</f>
        <v/>
      </c>
      <c r="G2284" t="s"/>
      <c r="H2284" t="s"/>
      <c r="I2284" t="s"/>
      <c r="J2284" t="n">
        <v>0.3352</v>
      </c>
      <c r="K2284" t="n">
        <v>0.08799999999999999</v>
      </c>
      <c r="L2284" t="n">
        <v>0.723</v>
      </c>
      <c r="M2284" t="n">
        <v>0.188</v>
      </c>
    </row>
    <row r="2285" spans="1:13">
      <c r="A2285" s="1">
        <f>HYPERLINK("http://www.twitter.com/NathanBLawrence/status/797266163893960704", "797266163893960704")</f>
        <v/>
      </c>
      <c r="B2285" s="2" t="n">
        <v>42686.10694444444</v>
      </c>
      <c r="C2285" t="n">
        <v>0</v>
      </c>
      <c r="D2285" t="n">
        <v>3093</v>
      </c>
      <c r="E2285" t="s">
        <v>2290</v>
      </c>
      <c r="F2285">
        <f>HYPERLINK("http://pbs.twimg.com/media/Cw8Yd33WEAAVKVz.jpg", "http://pbs.twimg.com/media/Cw8Yd33WEAAVKVz.jpg")</f>
        <v/>
      </c>
      <c r="G2285" t="s"/>
      <c r="H2285" t="s"/>
      <c r="I2285" t="s"/>
      <c r="J2285" t="n">
        <v>0.8175</v>
      </c>
      <c r="K2285" t="n">
        <v>0.064</v>
      </c>
      <c r="L2285" t="n">
        <v>0.65</v>
      </c>
      <c r="M2285" t="n">
        <v>0.286</v>
      </c>
    </row>
    <row r="2286" spans="1:13">
      <c r="A2286" s="1">
        <f>HYPERLINK("http://www.twitter.com/NathanBLawrence/status/797257629156380672", "797257629156380672")</f>
        <v/>
      </c>
      <c r="B2286" s="2" t="n">
        <v>42686.08339120371</v>
      </c>
      <c r="C2286" t="n">
        <v>0</v>
      </c>
      <c r="D2286" t="n">
        <v>4</v>
      </c>
      <c r="E2286" t="s">
        <v>2291</v>
      </c>
      <c r="F2286" t="s"/>
      <c r="G2286" t="s"/>
      <c r="H2286" t="s"/>
      <c r="I2286" t="s"/>
      <c r="J2286" t="n">
        <v>-0.2023</v>
      </c>
      <c r="K2286" t="n">
        <v>0.159</v>
      </c>
      <c r="L2286" t="n">
        <v>0.676</v>
      </c>
      <c r="M2286" t="n">
        <v>0.166</v>
      </c>
    </row>
    <row r="2287" spans="1:13">
      <c r="A2287" s="1">
        <f>HYPERLINK("http://www.twitter.com/NathanBLawrence/status/797229750464942081", "797229750464942081")</f>
        <v/>
      </c>
      <c r="B2287" s="2" t="n">
        <v>42686.00645833334</v>
      </c>
      <c r="C2287" t="n">
        <v>0</v>
      </c>
      <c r="D2287" t="n">
        <v>1124</v>
      </c>
      <c r="E2287" t="s">
        <v>2292</v>
      </c>
      <c r="F2287" t="s"/>
      <c r="G2287" t="s"/>
      <c r="H2287" t="s"/>
      <c r="I2287" t="s"/>
      <c r="J2287" t="n">
        <v>0</v>
      </c>
      <c r="K2287" t="n">
        <v>0</v>
      </c>
      <c r="L2287" t="n">
        <v>1</v>
      </c>
      <c r="M2287" t="n">
        <v>0</v>
      </c>
    </row>
    <row r="2288" spans="1:13">
      <c r="A2288" s="1">
        <f>HYPERLINK("http://www.twitter.com/NathanBLawrence/status/797226044977795073", "797226044977795073")</f>
        <v/>
      </c>
      <c r="B2288" s="2" t="n">
        <v>42685.99623842593</v>
      </c>
      <c r="C2288" t="n">
        <v>0</v>
      </c>
      <c r="D2288" t="n">
        <v>1</v>
      </c>
      <c r="E2288" t="s">
        <v>2293</v>
      </c>
      <c r="F2288" t="s"/>
      <c r="G2288" t="s"/>
      <c r="H2288" t="s"/>
      <c r="I2288" t="s"/>
      <c r="J2288" t="n">
        <v>0.4404</v>
      </c>
      <c r="K2288" t="n">
        <v>0</v>
      </c>
      <c r="L2288" t="n">
        <v>0.838</v>
      </c>
      <c r="M2288" t="n">
        <v>0.162</v>
      </c>
    </row>
    <row r="2289" spans="1:13">
      <c r="A2289" s="1">
        <f>HYPERLINK("http://www.twitter.com/NathanBLawrence/status/797225766631116800", "797225766631116800")</f>
        <v/>
      </c>
      <c r="B2289" s="2" t="n">
        <v>42685.99547453703</v>
      </c>
      <c r="C2289" t="n">
        <v>0</v>
      </c>
      <c r="D2289" t="n">
        <v>3</v>
      </c>
      <c r="E2289" t="s">
        <v>2294</v>
      </c>
      <c r="F2289" t="s"/>
      <c r="G2289" t="s"/>
      <c r="H2289" t="s"/>
      <c r="I2289" t="s"/>
      <c r="J2289" t="n">
        <v>0</v>
      </c>
      <c r="K2289" t="n">
        <v>0</v>
      </c>
      <c r="L2289" t="n">
        <v>1</v>
      </c>
      <c r="M2289" t="n">
        <v>0</v>
      </c>
    </row>
    <row r="2290" spans="1:13">
      <c r="A2290" s="1">
        <f>HYPERLINK("http://www.twitter.com/NathanBLawrence/status/797193430757687296", "797193430757687296")</f>
        <v/>
      </c>
      <c r="B2290" s="2" t="n">
        <v>42685.90623842592</v>
      </c>
      <c r="C2290" t="n">
        <v>0</v>
      </c>
      <c r="D2290" t="n">
        <v>335</v>
      </c>
      <c r="E2290" t="s">
        <v>2295</v>
      </c>
      <c r="F2290" t="s"/>
      <c r="G2290" t="s"/>
      <c r="H2290" t="s"/>
      <c r="I2290" t="s"/>
      <c r="J2290" t="n">
        <v>0</v>
      </c>
      <c r="K2290" t="n">
        <v>0</v>
      </c>
      <c r="L2290" t="n">
        <v>1</v>
      </c>
      <c r="M2290" t="n">
        <v>0</v>
      </c>
    </row>
    <row r="2291" spans="1:13">
      <c r="A2291" s="1">
        <f>HYPERLINK("http://www.twitter.com/NathanBLawrence/status/797184395283206145", "797184395283206145")</f>
        <v/>
      </c>
      <c r="B2291" s="2" t="n">
        <v>42685.88130787037</v>
      </c>
      <c r="C2291" t="n">
        <v>0</v>
      </c>
      <c r="D2291" t="n">
        <v>425</v>
      </c>
      <c r="E2291" t="s">
        <v>2296</v>
      </c>
      <c r="F2291" t="s"/>
      <c r="G2291" t="s"/>
      <c r="H2291" t="s"/>
      <c r="I2291" t="s"/>
      <c r="J2291" t="n">
        <v>0</v>
      </c>
      <c r="K2291" t="n">
        <v>0</v>
      </c>
      <c r="L2291" t="n">
        <v>1</v>
      </c>
      <c r="M2291" t="n">
        <v>0</v>
      </c>
    </row>
    <row r="2292" spans="1:13">
      <c r="A2292" s="1">
        <f>HYPERLINK("http://www.twitter.com/NathanBLawrence/status/797177673348943872", "797177673348943872")</f>
        <v/>
      </c>
      <c r="B2292" s="2" t="n">
        <v>42685.86275462963</v>
      </c>
      <c r="C2292" t="n">
        <v>0</v>
      </c>
      <c r="D2292" t="n">
        <v>2409</v>
      </c>
      <c r="E2292" t="s">
        <v>2297</v>
      </c>
      <c r="F2292">
        <f>HYPERLINK("http://pbs.twimg.com/media/Cw_vJxWVEAAhyj1.jpg", "http://pbs.twimg.com/media/Cw_vJxWVEAAhyj1.jpg")</f>
        <v/>
      </c>
      <c r="G2292" t="s"/>
      <c r="H2292" t="s"/>
      <c r="I2292" t="s"/>
      <c r="J2292" t="n">
        <v>0.4588</v>
      </c>
      <c r="K2292" t="n">
        <v>0</v>
      </c>
      <c r="L2292" t="n">
        <v>0.826</v>
      </c>
      <c r="M2292" t="n">
        <v>0.174</v>
      </c>
    </row>
    <row r="2293" spans="1:13">
      <c r="A2293" s="1">
        <f>HYPERLINK("http://www.twitter.com/NathanBLawrence/status/797177064529022976", "797177064529022976")</f>
        <v/>
      </c>
      <c r="B2293" s="2" t="n">
        <v>42685.86107638889</v>
      </c>
      <c r="C2293" t="n">
        <v>0</v>
      </c>
      <c r="D2293" t="n">
        <v>304</v>
      </c>
      <c r="E2293" t="s">
        <v>2298</v>
      </c>
      <c r="F2293" t="s"/>
      <c r="G2293" t="s"/>
      <c r="H2293" t="s"/>
      <c r="I2293" t="s"/>
      <c r="J2293" t="n">
        <v>0.6204</v>
      </c>
      <c r="K2293" t="n">
        <v>0</v>
      </c>
      <c r="L2293" t="n">
        <v>0.86</v>
      </c>
      <c r="M2293" t="n">
        <v>0.14</v>
      </c>
    </row>
    <row r="2294" spans="1:13">
      <c r="A2294" s="1">
        <f>HYPERLINK("http://www.twitter.com/NathanBLawrence/status/797171678673510400", "797171678673510400")</f>
        <v/>
      </c>
      <c r="B2294" s="2" t="n">
        <v>42685.84621527778</v>
      </c>
      <c r="C2294" t="n">
        <v>0</v>
      </c>
      <c r="D2294" t="n">
        <v>34</v>
      </c>
      <c r="E2294" t="s">
        <v>2299</v>
      </c>
      <c r="F2294" t="s"/>
      <c r="G2294" t="s"/>
      <c r="H2294" t="s"/>
      <c r="I2294" t="s"/>
      <c r="J2294" t="n">
        <v>0</v>
      </c>
      <c r="K2294" t="n">
        <v>0</v>
      </c>
      <c r="L2294" t="n">
        <v>1</v>
      </c>
      <c r="M2294" t="n">
        <v>0</v>
      </c>
    </row>
    <row r="2295" spans="1:13">
      <c r="A2295" s="1">
        <f>HYPERLINK("http://www.twitter.com/NathanBLawrence/status/797170923870846976", "797170923870846976")</f>
        <v/>
      </c>
      <c r="B2295" s="2" t="n">
        <v>42685.84413194445</v>
      </c>
      <c r="C2295" t="n">
        <v>0</v>
      </c>
      <c r="D2295" t="n">
        <v>3799</v>
      </c>
      <c r="E2295" t="s">
        <v>2300</v>
      </c>
      <c r="F2295" t="s"/>
      <c r="G2295" t="s"/>
      <c r="H2295" t="s"/>
      <c r="I2295" t="s"/>
      <c r="J2295" t="n">
        <v>0.3818</v>
      </c>
      <c r="K2295" t="n">
        <v>0</v>
      </c>
      <c r="L2295" t="n">
        <v>0.885</v>
      </c>
      <c r="M2295" t="n">
        <v>0.115</v>
      </c>
    </row>
    <row r="2296" spans="1:13">
      <c r="A2296" s="1">
        <f>HYPERLINK("http://www.twitter.com/NathanBLawrence/status/797165933366218753", "797165933366218753")</f>
        <v/>
      </c>
      <c r="B2296" s="2" t="n">
        <v>42685.83035879629</v>
      </c>
      <c r="C2296" t="n">
        <v>0</v>
      </c>
      <c r="D2296" t="n">
        <v>523</v>
      </c>
      <c r="E2296" t="s">
        <v>2301</v>
      </c>
      <c r="F2296">
        <f>HYPERLINK("http://pbs.twimg.com/media/CxAaE7_W8AErbEx.jpg", "http://pbs.twimg.com/media/CxAaE7_W8AErbEx.jpg")</f>
        <v/>
      </c>
      <c r="G2296" t="s"/>
      <c r="H2296" t="s"/>
      <c r="I2296" t="s"/>
      <c r="J2296" t="n">
        <v>0</v>
      </c>
      <c r="K2296" t="n">
        <v>0</v>
      </c>
      <c r="L2296" t="n">
        <v>1</v>
      </c>
      <c r="M2296" t="n">
        <v>0</v>
      </c>
    </row>
    <row r="2297" spans="1:13">
      <c r="A2297" s="1">
        <f>HYPERLINK("http://www.twitter.com/NathanBLawrence/status/797163579908784128", "797163579908784128")</f>
        <v/>
      </c>
      <c r="B2297" s="2" t="n">
        <v>42685.82386574074</v>
      </c>
      <c r="C2297" t="n">
        <v>0</v>
      </c>
      <c r="D2297" t="n">
        <v>193</v>
      </c>
      <c r="E2297" t="s">
        <v>2302</v>
      </c>
      <c r="F2297" t="s"/>
      <c r="G2297" t="s"/>
      <c r="H2297" t="s"/>
      <c r="I2297" t="s"/>
      <c r="J2297" t="n">
        <v>0</v>
      </c>
      <c r="K2297" t="n">
        <v>0</v>
      </c>
      <c r="L2297" t="n">
        <v>1</v>
      </c>
      <c r="M2297" t="n">
        <v>0</v>
      </c>
    </row>
    <row r="2298" spans="1:13">
      <c r="A2298" s="1">
        <f>HYPERLINK("http://www.twitter.com/NathanBLawrence/status/797161974824112128", "797161974824112128")</f>
        <v/>
      </c>
      <c r="B2298" s="2" t="n">
        <v>42685.81944444445</v>
      </c>
      <c r="C2298" t="n">
        <v>0</v>
      </c>
      <c r="D2298" t="n">
        <v>5</v>
      </c>
      <c r="E2298" t="s">
        <v>2303</v>
      </c>
      <c r="F2298">
        <f>HYPERLINK("http://pbs.twimg.com/media/CxAVMn3XAAAOxbn.jpg", "http://pbs.twimg.com/media/CxAVMn3XAAAOxbn.jpg")</f>
        <v/>
      </c>
      <c r="G2298" t="s"/>
      <c r="H2298" t="s"/>
      <c r="I2298" t="s"/>
      <c r="J2298" t="n">
        <v>0</v>
      </c>
      <c r="K2298" t="n">
        <v>0</v>
      </c>
      <c r="L2298" t="n">
        <v>1</v>
      </c>
      <c r="M2298" t="n">
        <v>0</v>
      </c>
    </row>
    <row r="2299" spans="1:13">
      <c r="A2299" s="1">
        <f>HYPERLINK("http://www.twitter.com/NathanBLawrence/status/797155290961604608", "797155290961604608")</f>
        <v/>
      </c>
      <c r="B2299" s="2" t="n">
        <v>42685.80099537037</v>
      </c>
      <c r="C2299" t="n">
        <v>0</v>
      </c>
      <c r="D2299" t="n">
        <v>0</v>
      </c>
      <c r="E2299" t="s">
        <v>2304</v>
      </c>
      <c r="F2299" t="s"/>
      <c r="G2299" t="s"/>
      <c r="H2299" t="s"/>
      <c r="I2299" t="s"/>
      <c r="J2299" t="n">
        <v>0</v>
      </c>
      <c r="K2299" t="n">
        <v>0</v>
      </c>
      <c r="L2299" t="n">
        <v>1</v>
      </c>
      <c r="M2299" t="n">
        <v>0</v>
      </c>
    </row>
    <row r="2300" spans="1:13">
      <c r="A2300" s="1">
        <f>HYPERLINK("http://www.twitter.com/NathanBLawrence/status/797155139907964929", "797155139907964929")</f>
        <v/>
      </c>
      <c r="B2300" s="2" t="n">
        <v>42685.8005787037</v>
      </c>
      <c r="C2300" t="n">
        <v>0</v>
      </c>
      <c r="D2300" t="n">
        <v>177</v>
      </c>
      <c r="E2300" t="s">
        <v>2305</v>
      </c>
      <c r="F2300" t="s"/>
      <c r="G2300" t="s"/>
      <c r="H2300" t="s"/>
      <c r="I2300" t="s"/>
      <c r="J2300" t="n">
        <v>-0.8658</v>
      </c>
      <c r="K2300" t="n">
        <v>0.373</v>
      </c>
      <c r="L2300" t="n">
        <v>0.627</v>
      </c>
      <c r="M2300" t="n">
        <v>0</v>
      </c>
    </row>
    <row r="2301" spans="1:13">
      <c r="A2301" s="1">
        <f>HYPERLINK("http://www.twitter.com/NathanBLawrence/status/797155055036153856", "797155055036153856")</f>
        <v/>
      </c>
      <c r="B2301" s="2" t="n">
        <v>42685.80034722222</v>
      </c>
      <c r="C2301" t="n">
        <v>0</v>
      </c>
      <c r="D2301" t="n">
        <v>12</v>
      </c>
      <c r="E2301" t="s">
        <v>2306</v>
      </c>
      <c r="F2301" t="s"/>
      <c r="G2301" t="s"/>
      <c r="H2301" t="s"/>
      <c r="I2301" t="s"/>
      <c r="J2301" t="n">
        <v>-0.5423</v>
      </c>
      <c r="K2301" t="n">
        <v>0.249</v>
      </c>
      <c r="L2301" t="n">
        <v>0.632</v>
      </c>
      <c r="M2301" t="n">
        <v>0.119</v>
      </c>
    </row>
    <row r="2302" spans="1:13">
      <c r="A2302" s="1">
        <f>HYPERLINK("http://www.twitter.com/NathanBLawrence/status/797144504709087232", "797144504709087232")</f>
        <v/>
      </c>
      <c r="B2302" s="2" t="n">
        <v>42685.77122685185</v>
      </c>
      <c r="C2302" t="n">
        <v>0</v>
      </c>
      <c r="D2302" t="n">
        <v>3292</v>
      </c>
      <c r="E2302" t="s">
        <v>2307</v>
      </c>
      <c r="F2302" t="s"/>
      <c r="G2302" t="s"/>
      <c r="H2302" t="s"/>
      <c r="I2302" t="s"/>
      <c r="J2302" t="n">
        <v>-0.4404</v>
      </c>
      <c r="K2302" t="n">
        <v>0.235</v>
      </c>
      <c r="L2302" t="n">
        <v>0.648</v>
      </c>
      <c r="M2302" t="n">
        <v>0.117</v>
      </c>
    </row>
    <row r="2303" spans="1:13">
      <c r="A2303" s="1">
        <f>HYPERLINK("http://www.twitter.com/NathanBLawrence/status/797144318096080896", "797144318096080896")</f>
        <v/>
      </c>
      <c r="B2303" s="2" t="n">
        <v>42685.77071759259</v>
      </c>
      <c r="C2303" t="n">
        <v>0</v>
      </c>
      <c r="D2303" t="n">
        <v>432</v>
      </c>
      <c r="E2303" t="s">
        <v>2308</v>
      </c>
      <c r="F2303">
        <f>HYPERLINK("http://pbs.twimg.com/media/Cw8vU_jXgAANz_v.jpg", "http://pbs.twimg.com/media/Cw8vU_jXgAANz_v.jpg")</f>
        <v/>
      </c>
      <c r="G2303">
        <f>HYPERLINK("http://pbs.twimg.com/media/Cw8vU_kWEAAhUdl.jpg", "http://pbs.twimg.com/media/Cw8vU_kWEAAhUdl.jpg")</f>
        <v/>
      </c>
      <c r="H2303">
        <f>HYPERLINK("http://pbs.twimg.com/media/Cw8vU_kWEAEIZEV.jpg", "http://pbs.twimg.com/media/Cw8vU_kWEAEIZEV.jpg")</f>
        <v/>
      </c>
      <c r="I2303">
        <f>HYPERLINK("http://pbs.twimg.com/media/Cw8vU_iWIAA1j2d.jpg", "http://pbs.twimg.com/media/Cw8vU_iWIAA1j2d.jpg")</f>
        <v/>
      </c>
      <c r="J2303" t="n">
        <v>0</v>
      </c>
      <c r="K2303" t="n">
        <v>0</v>
      </c>
      <c r="L2303" t="n">
        <v>1</v>
      </c>
      <c r="M2303" t="n">
        <v>0</v>
      </c>
    </row>
    <row r="2304" spans="1:13">
      <c r="A2304" s="1">
        <f>HYPERLINK("http://www.twitter.com/NathanBLawrence/status/796906166739668992", "796906166739668992")</f>
        <v/>
      </c>
      <c r="B2304" s="2" t="n">
        <v>42685.11354166667</v>
      </c>
      <c r="C2304" t="n">
        <v>0</v>
      </c>
      <c r="D2304" t="n">
        <v>1734</v>
      </c>
      <c r="E2304" t="s">
        <v>2309</v>
      </c>
      <c r="F2304">
        <f>HYPERLINK("http://pbs.twimg.com/media/Cw8CF37VIAAb4EB.jpg", "http://pbs.twimg.com/media/Cw8CF37VIAAb4EB.jpg")</f>
        <v/>
      </c>
      <c r="G2304" t="s"/>
      <c r="H2304" t="s"/>
      <c r="I2304" t="s"/>
      <c r="J2304" t="n">
        <v>-0.5423</v>
      </c>
      <c r="K2304" t="n">
        <v>0.137</v>
      </c>
      <c r="L2304" t="n">
        <v>0.863</v>
      </c>
      <c r="M2304" t="n">
        <v>0</v>
      </c>
    </row>
    <row r="2305" spans="1:13">
      <c r="A2305" s="1">
        <f>HYPERLINK("http://www.twitter.com/NathanBLawrence/status/796898760320290816", "796898760320290816")</f>
        <v/>
      </c>
      <c r="B2305" s="2" t="n">
        <v>42685.09310185185</v>
      </c>
      <c r="C2305" t="n">
        <v>0</v>
      </c>
      <c r="D2305" t="n">
        <v>5406</v>
      </c>
      <c r="E2305" t="s">
        <v>2310</v>
      </c>
      <c r="F2305" t="s"/>
      <c r="G2305" t="s"/>
      <c r="H2305" t="s"/>
      <c r="I2305" t="s"/>
      <c r="J2305" t="n">
        <v>-0.8107</v>
      </c>
      <c r="K2305" t="n">
        <v>0.306</v>
      </c>
      <c r="L2305" t="n">
        <v>0.694</v>
      </c>
      <c r="M2305" t="n">
        <v>0</v>
      </c>
    </row>
    <row r="2306" spans="1:13">
      <c r="A2306" s="1">
        <f>HYPERLINK("http://www.twitter.com/NathanBLawrence/status/796871929982488577", "796871929982488577")</f>
        <v/>
      </c>
      <c r="B2306" s="2" t="n">
        <v>42685.0190625</v>
      </c>
      <c r="C2306" t="n">
        <v>0</v>
      </c>
      <c r="D2306" t="n">
        <v>3703</v>
      </c>
      <c r="E2306" t="s">
        <v>2311</v>
      </c>
      <c r="F2306">
        <f>HYPERLINK("http://pbs.twimg.com/media/Cw36CUPUAAEUD4c.jpg", "http://pbs.twimg.com/media/Cw36CUPUAAEUD4c.jpg")</f>
        <v/>
      </c>
      <c r="G2306" t="s"/>
      <c r="H2306" t="s"/>
      <c r="I2306" t="s"/>
      <c r="J2306" t="n">
        <v>-0.4939</v>
      </c>
      <c r="K2306" t="n">
        <v>0.138</v>
      </c>
      <c r="L2306" t="n">
        <v>0.862</v>
      </c>
      <c r="M2306" t="n">
        <v>0</v>
      </c>
    </row>
    <row r="2307" spans="1:13">
      <c r="A2307" s="1">
        <f>HYPERLINK("http://www.twitter.com/NathanBLawrence/status/796852819584319488", "796852819584319488")</f>
        <v/>
      </c>
      <c r="B2307" s="2" t="n">
        <v>42684.96633101852</v>
      </c>
      <c r="C2307" t="n">
        <v>0</v>
      </c>
      <c r="D2307" t="n">
        <v>1845</v>
      </c>
      <c r="E2307" t="s">
        <v>2312</v>
      </c>
      <c r="F2307" t="s"/>
      <c r="G2307" t="s"/>
      <c r="H2307" t="s"/>
      <c r="I2307" t="s"/>
      <c r="J2307" t="n">
        <v>-0.8016</v>
      </c>
      <c r="K2307" t="n">
        <v>0.353</v>
      </c>
      <c r="L2307" t="n">
        <v>0.647</v>
      </c>
      <c r="M2307" t="n">
        <v>0</v>
      </c>
    </row>
    <row r="2308" spans="1:13">
      <c r="A2308" s="1">
        <f>HYPERLINK("http://www.twitter.com/NathanBLawrence/status/796812012613410816", "796812012613410816")</f>
        <v/>
      </c>
      <c r="B2308" s="2" t="n">
        <v>42684.85372685185</v>
      </c>
      <c r="C2308" t="n">
        <v>0</v>
      </c>
      <c r="D2308" t="n">
        <v>646</v>
      </c>
      <c r="E2308" t="s">
        <v>2313</v>
      </c>
      <c r="F2308" t="s"/>
      <c r="G2308" t="s"/>
      <c r="H2308" t="s"/>
      <c r="I2308" t="s"/>
      <c r="J2308" t="n">
        <v>0.4404</v>
      </c>
      <c r="K2308" t="n">
        <v>0.077</v>
      </c>
      <c r="L2308" t="n">
        <v>0.729</v>
      </c>
      <c r="M2308" t="n">
        <v>0.194</v>
      </c>
    </row>
    <row r="2309" spans="1:13">
      <c r="A2309" s="1">
        <f>HYPERLINK("http://www.twitter.com/NathanBLawrence/status/796811118152925184", "796811118152925184")</f>
        <v/>
      </c>
      <c r="B2309" s="2" t="n">
        <v>42684.85126157408</v>
      </c>
      <c r="C2309" t="n">
        <v>0</v>
      </c>
      <c r="D2309" t="n">
        <v>2445</v>
      </c>
      <c r="E2309" t="s">
        <v>2314</v>
      </c>
      <c r="F2309" t="s"/>
      <c r="G2309" t="s"/>
      <c r="H2309" t="s"/>
      <c r="I2309" t="s"/>
      <c r="J2309" t="n">
        <v>-0.7184</v>
      </c>
      <c r="K2309" t="n">
        <v>0.214</v>
      </c>
      <c r="L2309" t="n">
        <v>0.786</v>
      </c>
      <c r="M2309" t="n">
        <v>0</v>
      </c>
    </row>
    <row r="2310" spans="1:13">
      <c r="A2310" s="1">
        <f>HYPERLINK("http://www.twitter.com/NathanBLawrence/status/796802714101575680", "796802714101575680")</f>
        <v/>
      </c>
      <c r="B2310" s="2" t="n">
        <v>42684.82806712963</v>
      </c>
      <c r="C2310" t="n">
        <v>0</v>
      </c>
      <c r="D2310" t="n">
        <v>185</v>
      </c>
      <c r="E2310" t="s">
        <v>2315</v>
      </c>
      <c r="F2310" t="s"/>
      <c r="G2310" t="s"/>
      <c r="H2310" t="s"/>
      <c r="I2310" t="s"/>
      <c r="J2310" t="n">
        <v>-0.2523</v>
      </c>
      <c r="K2310" t="n">
        <v>0.202</v>
      </c>
      <c r="L2310" t="n">
        <v>0.6879999999999999</v>
      </c>
      <c r="M2310" t="n">
        <v>0.11</v>
      </c>
    </row>
    <row r="2311" spans="1:13">
      <c r="A2311" s="1">
        <f>HYPERLINK("http://www.twitter.com/NathanBLawrence/status/796800410292027392", "796800410292027392")</f>
        <v/>
      </c>
      <c r="B2311" s="2" t="n">
        <v>42684.82171296296</v>
      </c>
      <c r="C2311" t="n">
        <v>0</v>
      </c>
      <c r="D2311" t="n">
        <v>2741</v>
      </c>
      <c r="E2311" t="s">
        <v>2316</v>
      </c>
      <c r="F2311" t="s"/>
      <c r="G2311" t="s"/>
      <c r="H2311" t="s"/>
      <c r="I2311" t="s"/>
      <c r="J2311" t="n">
        <v>0</v>
      </c>
      <c r="K2311" t="n">
        <v>0</v>
      </c>
      <c r="L2311" t="n">
        <v>1</v>
      </c>
      <c r="M2311" t="n">
        <v>0</v>
      </c>
    </row>
    <row r="2312" spans="1:13">
      <c r="A2312" s="1">
        <f>HYPERLINK("http://www.twitter.com/NathanBLawrence/status/796789973001367552", "796789973001367552")</f>
        <v/>
      </c>
      <c r="B2312" s="2" t="n">
        <v>42684.7929050926</v>
      </c>
      <c r="C2312" t="n">
        <v>1</v>
      </c>
      <c r="D2312" t="n">
        <v>0</v>
      </c>
      <c r="E2312" t="s">
        <v>2317</v>
      </c>
      <c r="F2312" t="s"/>
      <c r="G2312" t="s"/>
      <c r="H2312" t="s"/>
      <c r="I2312" t="s"/>
      <c r="J2312" t="n">
        <v>0.6115</v>
      </c>
      <c r="K2312" t="n">
        <v>0</v>
      </c>
      <c r="L2312" t="n">
        <v>0.429</v>
      </c>
      <c r="M2312" t="n">
        <v>0.571</v>
      </c>
    </row>
    <row r="2313" spans="1:13">
      <c r="A2313" s="1">
        <f>HYPERLINK("http://www.twitter.com/NathanBLawrence/status/796760846160592896", "796760846160592896")</f>
        <v/>
      </c>
      <c r="B2313" s="2" t="n">
        <v>42684.71253472222</v>
      </c>
      <c r="C2313" t="n">
        <v>0</v>
      </c>
      <c r="D2313" t="n">
        <v>3233</v>
      </c>
      <c r="E2313" t="s">
        <v>2318</v>
      </c>
      <c r="F2313" t="s"/>
      <c r="G2313" t="s"/>
      <c r="H2313" t="s"/>
      <c r="I2313" t="s"/>
      <c r="J2313" t="n">
        <v>0.25</v>
      </c>
      <c r="K2313" t="n">
        <v>0.098</v>
      </c>
      <c r="L2313" t="n">
        <v>0.759</v>
      </c>
      <c r="M2313" t="n">
        <v>0.143</v>
      </c>
    </row>
    <row r="2314" spans="1:13">
      <c r="A2314" s="1">
        <f>HYPERLINK("http://www.twitter.com/NathanBLawrence/status/796760781522079744", "796760781522079744")</f>
        <v/>
      </c>
      <c r="B2314" s="2" t="n">
        <v>42684.71236111111</v>
      </c>
      <c r="C2314" t="n">
        <v>0</v>
      </c>
      <c r="D2314" t="n">
        <v>6025</v>
      </c>
      <c r="E2314" t="s">
        <v>2319</v>
      </c>
      <c r="F2314" t="s"/>
      <c r="G2314" t="s"/>
      <c r="H2314" t="s"/>
      <c r="I2314" t="s"/>
      <c r="J2314" t="n">
        <v>-0.2584</v>
      </c>
      <c r="K2314" t="n">
        <v>0.097</v>
      </c>
      <c r="L2314" t="n">
        <v>0.903</v>
      </c>
      <c r="M2314" t="n">
        <v>0</v>
      </c>
    </row>
    <row r="2315" spans="1:13">
      <c r="A2315" s="1">
        <f>HYPERLINK("http://www.twitter.com/NathanBLawrence/status/796759378577813504", "796759378577813504")</f>
        <v/>
      </c>
      <c r="B2315" s="2" t="n">
        <v>42684.7084837963</v>
      </c>
      <c r="C2315" t="n">
        <v>0</v>
      </c>
      <c r="D2315" t="n">
        <v>2106</v>
      </c>
      <c r="E2315" t="s">
        <v>2320</v>
      </c>
      <c r="F2315" t="s"/>
      <c r="G2315" t="s"/>
      <c r="H2315" t="s"/>
      <c r="I2315" t="s"/>
      <c r="J2315" t="n">
        <v>0.4019</v>
      </c>
      <c r="K2315" t="n">
        <v>0</v>
      </c>
      <c r="L2315" t="n">
        <v>0.8159999999999999</v>
      </c>
      <c r="M2315" t="n">
        <v>0.184</v>
      </c>
    </row>
    <row r="2316" spans="1:13">
      <c r="A2316" s="1">
        <f>HYPERLINK("http://www.twitter.com/NathanBLawrence/status/796758034978586624", "796758034978586624")</f>
        <v/>
      </c>
      <c r="B2316" s="2" t="n">
        <v>42684.70478009259</v>
      </c>
      <c r="C2316" t="n">
        <v>0</v>
      </c>
      <c r="D2316" t="n">
        <v>643</v>
      </c>
      <c r="E2316" t="s">
        <v>2321</v>
      </c>
      <c r="F2316" t="s"/>
      <c r="G2316" t="s"/>
      <c r="H2316" t="s"/>
      <c r="I2316" t="s"/>
      <c r="J2316" t="n">
        <v>0.4019</v>
      </c>
      <c r="K2316" t="n">
        <v>0</v>
      </c>
      <c r="L2316" t="n">
        <v>0.87</v>
      </c>
      <c r="M2316" t="n">
        <v>0.13</v>
      </c>
    </row>
    <row r="2317" spans="1:13">
      <c r="A2317" s="1">
        <f>HYPERLINK("http://www.twitter.com/NathanBLawrence/status/796757419284135936", "796757419284135936")</f>
        <v/>
      </c>
      <c r="B2317" s="2" t="n">
        <v>42684.7030787037</v>
      </c>
      <c r="C2317" t="n">
        <v>0</v>
      </c>
      <c r="D2317" t="n">
        <v>203</v>
      </c>
      <c r="E2317" t="s">
        <v>2322</v>
      </c>
      <c r="F2317" t="s"/>
      <c r="G2317" t="s"/>
      <c r="H2317" t="s"/>
      <c r="I2317" t="s"/>
      <c r="J2317" t="n">
        <v>0</v>
      </c>
      <c r="K2317" t="n">
        <v>0</v>
      </c>
      <c r="L2317" t="n">
        <v>1</v>
      </c>
      <c r="M2317" t="n">
        <v>0</v>
      </c>
    </row>
    <row r="2318" spans="1:13">
      <c r="A2318" s="1">
        <f>HYPERLINK("http://www.twitter.com/NathanBLawrence/status/796703446636367873", "796703446636367873")</f>
        <v/>
      </c>
      <c r="B2318" s="2" t="n">
        <v>42684.55414351852</v>
      </c>
      <c r="C2318" t="n">
        <v>0</v>
      </c>
      <c r="D2318" t="n">
        <v>34</v>
      </c>
      <c r="E2318" t="s">
        <v>2323</v>
      </c>
      <c r="F2318">
        <f>HYPERLINK("http://pbs.twimg.com/media/CwqqeX8XAAAH4lj.jpg", "http://pbs.twimg.com/media/CwqqeX8XAAAH4lj.jpg")</f>
        <v/>
      </c>
      <c r="G2318" t="s"/>
      <c r="H2318" t="s"/>
      <c r="I2318" t="s"/>
      <c r="J2318" t="n">
        <v>0.3612</v>
      </c>
      <c r="K2318" t="n">
        <v>0</v>
      </c>
      <c r="L2318" t="n">
        <v>0.844</v>
      </c>
      <c r="M2318" t="n">
        <v>0.156</v>
      </c>
    </row>
    <row r="2319" spans="1:13">
      <c r="A2319" s="1">
        <f>HYPERLINK("http://www.twitter.com/NathanBLawrence/status/796697915561570304", "796697915561570304")</f>
        <v/>
      </c>
      <c r="B2319" s="2" t="n">
        <v>42684.53887731482</v>
      </c>
      <c r="C2319" t="n">
        <v>0</v>
      </c>
      <c r="D2319" t="n">
        <v>709</v>
      </c>
      <c r="E2319" t="s">
        <v>2324</v>
      </c>
      <c r="F2319" t="s"/>
      <c r="G2319" t="s"/>
      <c r="H2319" t="s"/>
      <c r="I2319" t="s"/>
      <c r="J2319" t="n">
        <v>0</v>
      </c>
      <c r="K2319" t="n">
        <v>0</v>
      </c>
      <c r="L2319" t="n">
        <v>1</v>
      </c>
      <c r="M2319" t="n">
        <v>0</v>
      </c>
    </row>
    <row r="2320" spans="1:13">
      <c r="A2320" s="1">
        <f>HYPERLINK("http://www.twitter.com/NathanBLawrence/status/796697084346953729", "796697084346953729")</f>
        <v/>
      </c>
      <c r="B2320" s="2" t="n">
        <v>42684.53658564815</v>
      </c>
      <c r="C2320" t="n">
        <v>0</v>
      </c>
      <c r="D2320" t="n">
        <v>2399</v>
      </c>
      <c r="E2320" t="s">
        <v>2325</v>
      </c>
      <c r="F2320" t="s"/>
      <c r="G2320" t="s"/>
      <c r="H2320" t="s"/>
      <c r="I2320" t="s"/>
      <c r="J2320" t="n">
        <v>0.1645</v>
      </c>
      <c r="K2320" t="n">
        <v>0.112</v>
      </c>
      <c r="L2320" t="n">
        <v>0.747</v>
      </c>
      <c r="M2320" t="n">
        <v>0.141</v>
      </c>
    </row>
    <row r="2321" spans="1:13">
      <c r="A2321" s="1">
        <f>HYPERLINK("http://www.twitter.com/NathanBLawrence/status/796566232686268421", "796566232686268421")</f>
        <v/>
      </c>
      <c r="B2321" s="2" t="n">
        <v>42684.17550925926</v>
      </c>
      <c r="C2321" t="n">
        <v>0</v>
      </c>
      <c r="D2321" t="n">
        <v>631</v>
      </c>
      <c r="E2321" t="s">
        <v>2326</v>
      </c>
      <c r="F2321">
        <f>HYPERLINK("http://pbs.twimg.com/media/Cw300C4UoAA-ET0.jpg", "http://pbs.twimg.com/media/Cw300C4UoAA-ET0.jpg")</f>
        <v/>
      </c>
      <c r="G2321" t="s"/>
      <c r="H2321" t="s"/>
      <c r="I2321" t="s"/>
      <c r="J2321" t="n">
        <v>-0.4215</v>
      </c>
      <c r="K2321" t="n">
        <v>0.167</v>
      </c>
      <c r="L2321" t="n">
        <v>0.833</v>
      </c>
      <c r="M2321" t="n">
        <v>0</v>
      </c>
    </row>
    <row r="2322" spans="1:13">
      <c r="A2322" s="1">
        <f>HYPERLINK("http://www.twitter.com/NathanBLawrence/status/796561805132918784", "796561805132918784")</f>
        <v/>
      </c>
      <c r="B2322" s="2" t="n">
        <v>42684.16328703704</v>
      </c>
      <c r="C2322" t="n">
        <v>0</v>
      </c>
      <c r="D2322" t="n">
        <v>2178</v>
      </c>
      <c r="E2322" t="s">
        <v>2327</v>
      </c>
      <c r="F2322" t="s"/>
      <c r="G2322" t="s"/>
      <c r="H2322" t="s"/>
      <c r="I2322" t="s"/>
      <c r="J2322" t="n">
        <v>0</v>
      </c>
      <c r="K2322" t="n">
        <v>0</v>
      </c>
      <c r="L2322" t="n">
        <v>1</v>
      </c>
      <c r="M2322" t="n">
        <v>0</v>
      </c>
    </row>
    <row r="2323" spans="1:13">
      <c r="A2323" s="1">
        <f>HYPERLINK("http://www.twitter.com/NathanBLawrence/status/796552372390596608", "796552372390596608")</f>
        <v/>
      </c>
      <c r="B2323" s="2" t="n">
        <v>42684.13725694444</v>
      </c>
      <c r="C2323" t="n">
        <v>0</v>
      </c>
      <c r="D2323" t="n">
        <v>3026</v>
      </c>
      <c r="E2323" t="s">
        <v>2328</v>
      </c>
      <c r="F2323">
        <f>HYPERLINK("http://pbs.twimg.com/media/Cw3JjLRXEAAE3IN.jpg", "http://pbs.twimg.com/media/Cw3JjLRXEAAE3IN.jpg")</f>
        <v/>
      </c>
      <c r="G2323" t="s"/>
      <c r="H2323" t="s"/>
      <c r="I2323" t="s"/>
      <c r="J2323" t="n">
        <v>-0.7906</v>
      </c>
      <c r="K2323" t="n">
        <v>0.5</v>
      </c>
      <c r="L2323" t="n">
        <v>0.5</v>
      </c>
      <c r="M2323" t="n">
        <v>0</v>
      </c>
    </row>
    <row r="2324" spans="1:13">
      <c r="A2324" s="1">
        <f>HYPERLINK("http://www.twitter.com/NathanBLawrence/status/796548492244242432", "796548492244242432")</f>
        <v/>
      </c>
      <c r="B2324" s="2" t="n">
        <v>42684.12655092592</v>
      </c>
      <c r="C2324" t="n">
        <v>0</v>
      </c>
      <c r="D2324" t="n">
        <v>3861</v>
      </c>
      <c r="E2324" t="s">
        <v>2329</v>
      </c>
      <c r="F2324">
        <f>HYPERLINK("http://pbs.twimg.com/media/Cw3KO0sXEAA9GxF.jpg", "http://pbs.twimg.com/media/Cw3KO0sXEAA9GxF.jpg")</f>
        <v/>
      </c>
      <c r="G2324" t="s"/>
      <c r="H2324" t="s"/>
      <c r="I2324" t="s"/>
      <c r="J2324" t="n">
        <v>0</v>
      </c>
      <c r="K2324" t="n">
        <v>0</v>
      </c>
      <c r="L2324" t="n">
        <v>1</v>
      </c>
      <c r="M2324" t="n">
        <v>0</v>
      </c>
    </row>
    <row r="2325" spans="1:13">
      <c r="A2325" s="1">
        <f>HYPERLINK("http://www.twitter.com/NathanBLawrence/status/796546014521991169", "796546014521991169")</f>
        <v/>
      </c>
      <c r="B2325" s="2" t="n">
        <v>42684.11971064815</v>
      </c>
      <c r="C2325" t="n">
        <v>0</v>
      </c>
      <c r="D2325" t="n">
        <v>1964</v>
      </c>
      <c r="E2325" t="s">
        <v>2330</v>
      </c>
      <c r="F2325" t="s"/>
      <c r="G2325" t="s"/>
      <c r="H2325" t="s"/>
      <c r="I2325" t="s"/>
      <c r="J2325" t="n">
        <v>0.4019</v>
      </c>
      <c r="K2325" t="n">
        <v>0</v>
      </c>
      <c r="L2325" t="n">
        <v>0.838</v>
      </c>
      <c r="M2325" t="n">
        <v>0.162</v>
      </c>
    </row>
    <row r="2326" spans="1:13">
      <c r="A2326" s="1">
        <f>HYPERLINK("http://www.twitter.com/NathanBLawrence/status/796472599056384000", "796472599056384000")</f>
        <v/>
      </c>
      <c r="B2326" s="2" t="n">
        <v>42683.91712962963</v>
      </c>
      <c r="C2326" t="n">
        <v>0</v>
      </c>
      <c r="D2326" t="n">
        <v>0</v>
      </c>
      <c r="E2326" t="s">
        <v>2331</v>
      </c>
      <c r="F2326" t="s"/>
      <c r="G2326" t="s"/>
      <c r="H2326" t="s"/>
      <c r="I2326" t="s"/>
      <c r="J2326" t="n">
        <v>0.4926</v>
      </c>
      <c r="K2326" t="n">
        <v>0</v>
      </c>
      <c r="L2326" t="n">
        <v>0.484</v>
      </c>
      <c r="M2326" t="n">
        <v>0.516</v>
      </c>
    </row>
    <row r="2327" spans="1:13">
      <c r="A2327" s="1">
        <f>HYPERLINK("http://www.twitter.com/NathanBLawrence/status/796471718592348164", "796471718592348164")</f>
        <v/>
      </c>
      <c r="B2327" s="2" t="n">
        <v>42683.91469907408</v>
      </c>
      <c r="C2327" t="n">
        <v>0</v>
      </c>
      <c r="D2327" t="n">
        <v>8260</v>
      </c>
      <c r="E2327" t="s">
        <v>2332</v>
      </c>
      <c r="F2327">
        <f>HYPERLINK("http://pbs.twimg.com/media/Cw2gtMBWIAEAnLh.jpg", "http://pbs.twimg.com/media/Cw2gtMBWIAEAnLh.jpg")</f>
        <v/>
      </c>
      <c r="G2327" t="s"/>
      <c r="H2327" t="s"/>
      <c r="I2327" t="s"/>
      <c r="J2327" t="n">
        <v>0</v>
      </c>
      <c r="K2327" t="n">
        <v>0</v>
      </c>
      <c r="L2327" t="n">
        <v>1</v>
      </c>
      <c r="M2327" t="n">
        <v>0</v>
      </c>
    </row>
    <row r="2328" spans="1:13">
      <c r="A2328" s="1">
        <f>HYPERLINK("http://www.twitter.com/NathanBLawrence/status/796466726418448384", "796466726418448384")</f>
        <v/>
      </c>
      <c r="B2328" s="2" t="n">
        <v>42683.90091435185</v>
      </c>
      <c r="C2328" t="n">
        <v>0</v>
      </c>
      <c r="D2328" t="n">
        <v>846</v>
      </c>
      <c r="E2328" t="s">
        <v>2333</v>
      </c>
      <c r="F2328" t="s"/>
      <c r="G2328" t="s"/>
      <c r="H2328" t="s"/>
      <c r="I2328" t="s"/>
      <c r="J2328" t="n">
        <v>0</v>
      </c>
      <c r="K2328" t="n">
        <v>0</v>
      </c>
      <c r="L2328" t="n">
        <v>1</v>
      </c>
      <c r="M2328" t="n">
        <v>0</v>
      </c>
    </row>
    <row r="2329" spans="1:13">
      <c r="A2329" s="1">
        <f>HYPERLINK("http://www.twitter.com/NathanBLawrence/status/796461576790437888", "796461576790437888")</f>
        <v/>
      </c>
      <c r="B2329" s="2" t="n">
        <v>42683.88671296297</v>
      </c>
      <c r="C2329" t="n">
        <v>0</v>
      </c>
      <c r="D2329" t="n">
        <v>14787</v>
      </c>
      <c r="E2329" t="s">
        <v>2334</v>
      </c>
      <c r="F2329" t="s"/>
      <c r="G2329" t="s"/>
      <c r="H2329" t="s"/>
      <c r="I2329" t="s"/>
      <c r="J2329" t="n">
        <v>0</v>
      </c>
      <c r="K2329" t="n">
        <v>0</v>
      </c>
      <c r="L2329" t="n">
        <v>1</v>
      </c>
      <c r="M2329" t="n">
        <v>0</v>
      </c>
    </row>
    <row r="2330" spans="1:13">
      <c r="A2330" s="1">
        <f>HYPERLINK("http://www.twitter.com/NathanBLawrence/status/796437585442832400", "796437585442832400")</f>
        <v/>
      </c>
      <c r="B2330" s="2" t="n">
        <v>42683.82050925926</v>
      </c>
      <c r="C2330" t="n">
        <v>0</v>
      </c>
      <c r="D2330" t="n">
        <v>6444</v>
      </c>
      <c r="E2330" t="s">
        <v>2335</v>
      </c>
      <c r="F2330" t="s"/>
      <c r="G2330" t="s"/>
      <c r="H2330" t="s"/>
      <c r="I2330" t="s"/>
      <c r="J2330" t="n">
        <v>0.2023</v>
      </c>
      <c r="K2330" t="n">
        <v>0.114</v>
      </c>
      <c r="L2330" t="n">
        <v>0.723</v>
      </c>
      <c r="M2330" t="n">
        <v>0.163</v>
      </c>
    </row>
    <row r="2331" spans="1:13">
      <c r="A2331" s="1">
        <f>HYPERLINK("http://www.twitter.com/NathanBLawrence/status/796421811453968384", "796421811453968384")</f>
        <v/>
      </c>
      <c r="B2331" s="2" t="n">
        <v>42683.77697916667</v>
      </c>
      <c r="C2331" t="n">
        <v>0</v>
      </c>
      <c r="D2331" t="n">
        <v>161</v>
      </c>
      <c r="E2331" t="s">
        <v>2336</v>
      </c>
      <c r="F2331" t="s"/>
      <c r="G2331" t="s"/>
      <c r="H2331" t="s"/>
      <c r="I2331" t="s"/>
      <c r="J2331" t="n">
        <v>0</v>
      </c>
      <c r="K2331" t="n">
        <v>0</v>
      </c>
      <c r="L2331" t="n">
        <v>1</v>
      </c>
      <c r="M2331" t="n">
        <v>0</v>
      </c>
    </row>
    <row r="2332" spans="1:13">
      <c r="A2332" s="1">
        <f>HYPERLINK("http://www.twitter.com/NathanBLawrence/status/796410546304286722", "796410546304286722")</f>
        <v/>
      </c>
      <c r="B2332" s="2" t="n">
        <v>42683.7458912037</v>
      </c>
      <c r="C2332" t="n">
        <v>0</v>
      </c>
      <c r="D2332" t="n">
        <v>2</v>
      </c>
      <c r="E2332" t="s">
        <v>2337</v>
      </c>
      <c r="F2332" t="s"/>
      <c r="G2332" t="s"/>
      <c r="H2332" t="s"/>
      <c r="I2332" t="s"/>
      <c r="J2332" t="n">
        <v>-0.4717</v>
      </c>
      <c r="K2332" t="n">
        <v>0.113</v>
      </c>
      <c r="L2332" t="n">
        <v>0.887</v>
      </c>
      <c r="M2332" t="n">
        <v>0</v>
      </c>
    </row>
    <row r="2333" spans="1:13">
      <c r="A2333" s="1">
        <f>HYPERLINK("http://www.twitter.com/NathanBLawrence/status/796407838046355460", "796407838046355460")</f>
        <v/>
      </c>
      <c r="B2333" s="2" t="n">
        <v>42683.73841435185</v>
      </c>
      <c r="C2333" t="n">
        <v>0</v>
      </c>
      <c r="D2333" t="n">
        <v>4</v>
      </c>
      <c r="E2333" t="s">
        <v>2338</v>
      </c>
      <c r="F2333" t="s"/>
      <c r="G2333" t="s"/>
      <c r="H2333" t="s"/>
      <c r="I2333" t="s"/>
      <c r="J2333" t="n">
        <v>-0.5187</v>
      </c>
      <c r="K2333" t="n">
        <v>0.233</v>
      </c>
      <c r="L2333" t="n">
        <v>0.61</v>
      </c>
      <c r="M2333" t="n">
        <v>0.157</v>
      </c>
    </row>
    <row r="2334" spans="1:13">
      <c r="A2334" s="1">
        <f>HYPERLINK("http://www.twitter.com/NathanBLawrence/status/796406386401935362", "796406386401935362")</f>
        <v/>
      </c>
      <c r="B2334" s="2" t="n">
        <v>42683.73440972222</v>
      </c>
      <c r="C2334" t="n">
        <v>0</v>
      </c>
      <c r="D2334" t="n">
        <v>294</v>
      </c>
      <c r="E2334" t="s">
        <v>2339</v>
      </c>
      <c r="F2334" t="s"/>
      <c r="G2334" t="s"/>
      <c r="H2334" t="s"/>
      <c r="I2334" t="s"/>
      <c r="J2334" t="n">
        <v>0</v>
      </c>
      <c r="K2334" t="n">
        <v>0</v>
      </c>
      <c r="L2334" t="n">
        <v>1</v>
      </c>
      <c r="M2334" t="n">
        <v>0</v>
      </c>
    </row>
    <row r="2335" spans="1:13">
      <c r="A2335" s="1">
        <f>HYPERLINK("http://www.twitter.com/NathanBLawrence/status/796401360191320065", "796401360191320065")</f>
        <v/>
      </c>
      <c r="B2335" s="2" t="n">
        <v>42683.72054398148</v>
      </c>
      <c r="C2335" t="n">
        <v>0</v>
      </c>
      <c r="D2335" t="n">
        <v>0</v>
      </c>
      <c r="E2335" t="s">
        <v>2340</v>
      </c>
      <c r="F2335" t="s"/>
      <c r="G2335" t="s"/>
      <c r="H2335" t="s"/>
      <c r="I2335" t="s"/>
      <c r="J2335" t="n">
        <v>-0.5255</v>
      </c>
      <c r="K2335" t="n">
        <v>0.195</v>
      </c>
      <c r="L2335" t="n">
        <v>0.805</v>
      </c>
      <c r="M2335" t="n">
        <v>0</v>
      </c>
    </row>
    <row r="2336" spans="1:13">
      <c r="A2336" s="1">
        <f>HYPERLINK("http://www.twitter.com/NathanBLawrence/status/796399991787028485", "796399991787028485")</f>
        <v/>
      </c>
      <c r="B2336" s="2" t="n">
        <v>42683.71677083334</v>
      </c>
      <c r="C2336" t="n">
        <v>0</v>
      </c>
      <c r="D2336" t="n">
        <v>3176</v>
      </c>
      <c r="E2336" t="s">
        <v>2341</v>
      </c>
      <c r="F2336" t="s"/>
      <c r="G2336" t="s"/>
      <c r="H2336" t="s"/>
      <c r="I2336" t="s"/>
      <c r="J2336" t="n">
        <v>-0.7246</v>
      </c>
      <c r="K2336" t="n">
        <v>0.202</v>
      </c>
      <c r="L2336" t="n">
        <v>0.798</v>
      </c>
      <c r="M2336" t="n">
        <v>0</v>
      </c>
    </row>
    <row r="2337" spans="1:13">
      <c r="A2337" s="1">
        <f>HYPERLINK("http://www.twitter.com/NathanBLawrence/status/796398957136060416", "796398957136060416")</f>
        <v/>
      </c>
      <c r="B2337" s="2" t="n">
        <v>42683.71391203703</v>
      </c>
      <c r="C2337" t="n">
        <v>0</v>
      </c>
      <c r="D2337" t="n">
        <v>4252</v>
      </c>
      <c r="E2337" t="s">
        <v>2342</v>
      </c>
      <c r="F2337" t="s"/>
      <c r="G2337" t="s"/>
      <c r="H2337" t="s"/>
      <c r="I2337" t="s"/>
      <c r="J2337" t="n">
        <v>0.0772</v>
      </c>
      <c r="K2337" t="n">
        <v>0</v>
      </c>
      <c r="L2337" t="n">
        <v>0.944</v>
      </c>
      <c r="M2337" t="n">
        <v>0.056</v>
      </c>
    </row>
    <row r="2338" spans="1:13">
      <c r="A2338" s="1">
        <f>HYPERLINK("http://www.twitter.com/NathanBLawrence/status/796398086587355136", "796398086587355136")</f>
        <v/>
      </c>
      <c r="B2338" s="2" t="n">
        <v>42683.71150462963</v>
      </c>
      <c r="C2338" t="n">
        <v>0</v>
      </c>
      <c r="D2338" t="n">
        <v>9921</v>
      </c>
      <c r="E2338" t="s">
        <v>2343</v>
      </c>
      <c r="F2338">
        <f>HYPERLINK("http://pbs.twimg.com/media/Cw1ftw7XUAYv5BH.jpg", "http://pbs.twimg.com/media/Cw1ftw7XUAYv5BH.jpg")</f>
        <v/>
      </c>
      <c r="G2338" t="s"/>
      <c r="H2338" t="s"/>
      <c r="I2338" t="s"/>
      <c r="J2338" t="n">
        <v>0</v>
      </c>
      <c r="K2338" t="n">
        <v>0</v>
      </c>
      <c r="L2338" t="n">
        <v>1</v>
      </c>
      <c r="M2338" t="n">
        <v>0</v>
      </c>
    </row>
    <row r="2339" spans="1:13">
      <c r="A2339" s="1">
        <f>HYPERLINK("http://www.twitter.com/NathanBLawrence/status/796392190033403904", "796392190033403904")</f>
        <v/>
      </c>
      <c r="B2339" s="2" t="n">
        <v>42683.69524305555</v>
      </c>
      <c r="C2339" t="n">
        <v>0</v>
      </c>
      <c r="D2339" t="n">
        <v>29</v>
      </c>
      <c r="E2339" t="s">
        <v>2344</v>
      </c>
      <c r="F2339" t="s"/>
      <c r="G2339" t="s"/>
      <c r="H2339" t="s"/>
      <c r="I2339" t="s"/>
      <c r="J2339" t="n">
        <v>0</v>
      </c>
      <c r="K2339" t="n">
        <v>0</v>
      </c>
      <c r="L2339" t="n">
        <v>1</v>
      </c>
      <c r="M2339" t="n">
        <v>0</v>
      </c>
    </row>
    <row r="2340" spans="1:13">
      <c r="A2340" s="1">
        <f>HYPERLINK("http://www.twitter.com/NathanBLawrence/status/796391118485286912", "796391118485286912")</f>
        <v/>
      </c>
      <c r="B2340" s="2" t="n">
        <v>42683.69228009259</v>
      </c>
      <c r="C2340" t="n">
        <v>0</v>
      </c>
      <c r="D2340" t="n">
        <v>207</v>
      </c>
      <c r="E2340" t="s">
        <v>2345</v>
      </c>
      <c r="F2340" t="s"/>
      <c r="G2340" t="s"/>
      <c r="H2340" t="s"/>
      <c r="I2340" t="s"/>
      <c r="J2340" t="n">
        <v>-0.0772</v>
      </c>
      <c r="K2340" t="n">
        <v>0.127</v>
      </c>
      <c r="L2340" t="n">
        <v>0.757</v>
      </c>
      <c r="M2340" t="n">
        <v>0.116</v>
      </c>
    </row>
    <row r="2341" spans="1:13">
      <c r="A2341" s="1">
        <f>HYPERLINK("http://www.twitter.com/NathanBLawrence/status/796379023974789120", "796379023974789120")</f>
        <v/>
      </c>
      <c r="B2341" s="2" t="n">
        <v>42683.65890046296</v>
      </c>
      <c r="C2341" t="n">
        <v>0</v>
      </c>
      <c r="D2341" t="n">
        <v>4187</v>
      </c>
      <c r="E2341" t="s">
        <v>2346</v>
      </c>
      <c r="F2341">
        <f>HYPERLINK("http://pbs.twimg.com/media/Cw1JQTUXcAANAjj.jpg", "http://pbs.twimg.com/media/Cw1JQTUXcAANAjj.jpg")</f>
        <v/>
      </c>
      <c r="G2341" t="s"/>
      <c r="H2341" t="s"/>
      <c r="I2341" t="s"/>
      <c r="J2341" t="n">
        <v>-0.1406</v>
      </c>
      <c r="K2341" t="n">
        <v>0.117</v>
      </c>
      <c r="L2341" t="n">
        <v>0.793</v>
      </c>
      <c r="M2341" t="n">
        <v>0.091</v>
      </c>
    </row>
    <row r="2342" spans="1:13">
      <c r="A2342" s="1">
        <f>HYPERLINK("http://www.twitter.com/NathanBLawrence/status/796378615105679360", "796378615105679360")</f>
        <v/>
      </c>
      <c r="B2342" s="2" t="n">
        <v>42683.65777777778</v>
      </c>
      <c r="C2342" t="n">
        <v>0</v>
      </c>
      <c r="D2342" t="n">
        <v>1025</v>
      </c>
      <c r="E2342" t="s">
        <v>2347</v>
      </c>
      <c r="F2342" t="s"/>
      <c r="G2342" t="s"/>
      <c r="H2342" t="s"/>
      <c r="I2342" t="s"/>
      <c r="J2342" t="n">
        <v>0</v>
      </c>
      <c r="K2342" t="n">
        <v>0.122</v>
      </c>
      <c r="L2342" t="n">
        <v>0.757</v>
      </c>
      <c r="M2342" t="n">
        <v>0.122</v>
      </c>
    </row>
    <row r="2343" spans="1:13">
      <c r="A2343" s="1">
        <f>HYPERLINK("http://www.twitter.com/NathanBLawrence/status/796374645381406720", "796374645381406720")</f>
        <v/>
      </c>
      <c r="B2343" s="2" t="n">
        <v>42683.64682870371</v>
      </c>
      <c r="C2343" t="n">
        <v>0</v>
      </c>
      <c r="D2343" t="n">
        <v>31</v>
      </c>
      <c r="E2343" t="s">
        <v>2348</v>
      </c>
      <c r="F2343" t="s"/>
      <c r="G2343" t="s"/>
      <c r="H2343" t="s"/>
      <c r="I2343" t="s"/>
      <c r="J2343" t="n">
        <v>-0.1531</v>
      </c>
      <c r="K2343" t="n">
        <v>0.138</v>
      </c>
      <c r="L2343" t="n">
        <v>0.862</v>
      </c>
      <c r="M2343" t="n">
        <v>0</v>
      </c>
    </row>
    <row r="2344" spans="1:13">
      <c r="A2344" s="1">
        <f>HYPERLINK("http://www.twitter.com/NathanBLawrence/status/796372825653264385", "796372825653264385")</f>
        <v/>
      </c>
      <c r="B2344" s="2" t="n">
        <v>42683.64180555556</v>
      </c>
      <c r="C2344" t="n">
        <v>0</v>
      </c>
      <c r="D2344" t="n">
        <v>13695</v>
      </c>
      <c r="E2344" t="s">
        <v>2349</v>
      </c>
      <c r="F2344" t="s"/>
      <c r="G2344" t="s"/>
      <c r="H2344" t="s"/>
      <c r="I2344" t="s"/>
      <c r="J2344" t="n">
        <v>-0.3818</v>
      </c>
      <c r="K2344" t="n">
        <v>0.115</v>
      </c>
      <c r="L2344" t="n">
        <v>0.885</v>
      </c>
      <c r="M2344" t="n">
        <v>0</v>
      </c>
    </row>
    <row r="2345" spans="1:13">
      <c r="A2345" s="1">
        <f>HYPERLINK("http://www.twitter.com/NathanBLawrence/status/796369186457010177", "796369186457010177")</f>
        <v/>
      </c>
      <c r="B2345" s="2" t="n">
        <v>42683.63175925926</v>
      </c>
      <c r="C2345" t="n">
        <v>0</v>
      </c>
      <c r="D2345" t="n">
        <v>5</v>
      </c>
      <c r="E2345" t="s">
        <v>2350</v>
      </c>
      <c r="F2345">
        <f>HYPERLINK("http://pbs.twimg.com/media/Cw05_r0UoAA2hta.jpg", "http://pbs.twimg.com/media/Cw05_r0UoAA2hta.jpg")</f>
        <v/>
      </c>
      <c r="G2345" t="s"/>
      <c r="H2345" t="s"/>
      <c r="I2345" t="s"/>
      <c r="J2345" t="n">
        <v>0.128</v>
      </c>
      <c r="K2345" t="n">
        <v>0.11</v>
      </c>
      <c r="L2345" t="n">
        <v>0.731</v>
      </c>
      <c r="M2345" t="n">
        <v>0.159</v>
      </c>
    </row>
    <row r="2346" spans="1:13">
      <c r="A2346" s="1">
        <f>HYPERLINK("http://www.twitter.com/NathanBLawrence/status/796368857942360064", "796368857942360064")</f>
        <v/>
      </c>
      <c r="B2346" s="2" t="n">
        <v>42683.63085648148</v>
      </c>
      <c r="C2346" t="n">
        <v>0</v>
      </c>
      <c r="D2346" t="n">
        <v>55</v>
      </c>
      <c r="E2346" t="s">
        <v>2351</v>
      </c>
      <c r="F2346" t="s"/>
      <c r="G2346" t="s"/>
      <c r="H2346" t="s"/>
      <c r="I2346" t="s"/>
      <c r="J2346" t="n">
        <v>0</v>
      </c>
      <c r="K2346" t="n">
        <v>0</v>
      </c>
      <c r="L2346" t="n">
        <v>1</v>
      </c>
      <c r="M2346" t="n">
        <v>0</v>
      </c>
    </row>
    <row r="2347" spans="1:13">
      <c r="A2347" s="1">
        <f>HYPERLINK("http://www.twitter.com/NathanBLawrence/status/796363527829278721", "796363527829278721")</f>
        <v/>
      </c>
      <c r="B2347" s="2" t="n">
        <v>42683.61614583333</v>
      </c>
      <c r="C2347" t="n">
        <v>0</v>
      </c>
      <c r="D2347" t="n">
        <v>2820</v>
      </c>
      <c r="E2347" t="s">
        <v>2352</v>
      </c>
      <c r="F2347">
        <f>HYPERLINK("http://pbs.twimg.com/media/Cw08rtQVEAA02l6.jpg", "http://pbs.twimg.com/media/Cw08rtQVEAA02l6.jpg")</f>
        <v/>
      </c>
      <c r="G2347" t="s"/>
      <c r="H2347" t="s"/>
      <c r="I2347" t="s"/>
      <c r="J2347" t="n">
        <v>0</v>
      </c>
      <c r="K2347" t="n">
        <v>0</v>
      </c>
      <c r="L2347" t="n">
        <v>1</v>
      </c>
      <c r="M2347" t="n">
        <v>0</v>
      </c>
    </row>
    <row r="2348" spans="1:13">
      <c r="A2348" s="1">
        <f>HYPERLINK("http://www.twitter.com/NathanBLawrence/status/796362791464697858", "796362791464697858")</f>
        <v/>
      </c>
      <c r="B2348" s="2" t="n">
        <v>42683.6141087963</v>
      </c>
      <c r="C2348" t="n">
        <v>0</v>
      </c>
      <c r="D2348" t="n">
        <v>43</v>
      </c>
      <c r="E2348" t="s">
        <v>2353</v>
      </c>
      <c r="F2348">
        <f>HYPERLINK("http://pbs.twimg.com/media/Cw06ZijXgAA2xaU.jpg", "http://pbs.twimg.com/media/Cw06ZijXgAA2xaU.jpg")</f>
        <v/>
      </c>
      <c r="G2348" t="s"/>
      <c r="H2348" t="s"/>
      <c r="I2348" t="s"/>
      <c r="J2348" t="n">
        <v>0</v>
      </c>
      <c r="K2348" t="n">
        <v>0</v>
      </c>
      <c r="L2348" t="n">
        <v>1</v>
      </c>
      <c r="M2348" t="n">
        <v>0</v>
      </c>
    </row>
    <row r="2349" spans="1:13">
      <c r="A2349" s="1">
        <f>HYPERLINK("http://www.twitter.com/NathanBLawrence/status/796362248356823040", "796362248356823040")</f>
        <v/>
      </c>
      <c r="B2349" s="2" t="n">
        <v>42683.61261574074</v>
      </c>
      <c r="C2349" t="n">
        <v>0</v>
      </c>
      <c r="D2349" t="n">
        <v>46</v>
      </c>
      <c r="E2349" t="s">
        <v>2354</v>
      </c>
      <c r="F2349">
        <f>HYPERLINK("http://pbs.twimg.com/media/Cw08qLtXAAAPfaM.jpg", "http://pbs.twimg.com/media/Cw08qLtXAAAPfaM.jpg")</f>
        <v/>
      </c>
      <c r="G2349" t="s"/>
      <c r="H2349" t="s"/>
      <c r="I2349" t="s"/>
      <c r="J2349" t="n">
        <v>0</v>
      </c>
      <c r="K2349" t="n">
        <v>0</v>
      </c>
      <c r="L2349" t="n">
        <v>1</v>
      </c>
      <c r="M2349" t="n">
        <v>0</v>
      </c>
    </row>
    <row r="2350" spans="1:13">
      <c r="A2350" s="1">
        <f>HYPERLINK("http://www.twitter.com/NathanBLawrence/status/796361610604511235", "796361610604511235")</f>
        <v/>
      </c>
      <c r="B2350" s="2" t="n">
        <v>42683.61085648148</v>
      </c>
      <c r="C2350" t="n">
        <v>0</v>
      </c>
      <c r="D2350" t="n">
        <v>1344</v>
      </c>
      <c r="E2350" t="s">
        <v>2355</v>
      </c>
      <c r="F2350" t="s"/>
      <c r="G2350" t="s"/>
      <c r="H2350" t="s"/>
      <c r="I2350" t="s"/>
      <c r="J2350" t="n">
        <v>0.0258</v>
      </c>
      <c r="K2350" t="n">
        <v>0</v>
      </c>
      <c r="L2350" t="n">
        <v>0.95</v>
      </c>
      <c r="M2350" t="n">
        <v>0.05</v>
      </c>
    </row>
    <row r="2351" spans="1:13">
      <c r="A2351" s="1">
        <f>HYPERLINK("http://www.twitter.com/NathanBLawrence/status/796360874214785024", "796360874214785024")</f>
        <v/>
      </c>
      <c r="B2351" s="2" t="n">
        <v>42683.60881944445</v>
      </c>
      <c r="C2351" t="n">
        <v>0</v>
      </c>
      <c r="D2351" t="n">
        <v>14300</v>
      </c>
      <c r="E2351" t="s">
        <v>2356</v>
      </c>
      <c r="F2351">
        <f>HYPERLINK("http://pbs.twimg.com/media/CXYlAtbUMAEqViJ.png", "http://pbs.twimg.com/media/CXYlAtbUMAEqViJ.png")</f>
        <v/>
      </c>
      <c r="G2351" t="s"/>
      <c r="H2351" t="s"/>
      <c r="I2351" t="s"/>
      <c r="J2351" t="n">
        <v>0.6633</v>
      </c>
      <c r="K2351" t="n">
        <v>0</v>
      </c>
      <c r="L2351" t="n">
        <v>0.793</v>
      </c>
      <c r="M2351" t="n">
        <v>0.207</v>
      </c>
    </row>
    <row r="2352" spans="1:13">
      <c r="A2352" s="1">
        <f>HYPERLINK("http://www.twitter.com/NathanBLawrence/status/796254667550457856", "796254667550457856")</f>
        <v/>
      </c>
      <c r="B2352" s="2" t="n">
        <v>42683.31575231482</v>
      </c>
      <c r="C2352" t="n">
        <v>0</v>
      </c>
      <c r="D2352" t="n">
        <v>121373</v>
      </c>
      <c r="E2352" t="s">
        <v>2357</v>
      </c>
      <c r="F2352">
        <f>HYPERLINK("http://pbs.twimg.com/media/Cwzcp5XXcAA3UZ8.png", "http://pbs.twimg.com/media/Cwzcp5XXcAA3UZ8.png")</f>
        <v/>
      </c>
      <c r="G2352" t="s"/>
      <c r="H2352" t="s"/>
      <c r="I2352" t="s"/>
      <c r="J2352" t="n">
        <v>0.4215</v>
      </c>
      <c r="K2352" t="n">
        <v>0</v>
      </c>
      <c r="L2352" t="n">
        <v>0.8110000000000001</v>
      </c>
      <c r="M2352" t="n">
        <v>0.189</v>
      </c>
    </row>
    <row r="2353" spans="1:13">
      <c r="A2353" s="1">
        <f>HYPERLINK("http://www.twitter.com/NathanBLawrence/status/796248860205129729", "796248860205129729")</f>
        <v/>
      </c>
      <c r="B2353" s="2" t="n">
        <v>42683.29972222223</v>
      </c>
      <c r="C2353" t="n">
        <v>0</v>
      </c>
      <c r="D2353" t="n">
        <v>33</v>
      </c>
      <c r="E2353" t="s">
        <v>2358</v>
      </c>
      <c r="F2353" t="s"/>
      <c r="G2353" t="s"/>
      <c r="H2353" t="s"/>
      <c r="I2353" t="s"/>
      <c r="J2353" t="n">
        <v>-0.6908</v>
      </c>
      <c r="K2353" t="n">
        <v>0.305</v>
      </c>
      <c r="L2353" t="n">
        <v>0.695</v>
      </c>
      <c r="M2353" t="n">
        <v>0</v>
      </c>
    </row>
    <row r="2354" spans="1:13">
      <c r="A2354" s="1">
        <f>HYPERLINK("http://www.twitter.com/NathanBLawrence/status/796248379986743296", "796248379986743296")</f>
        <v/>
      </c>
      <c r="B2354" s="2" t="n">
        <v>42683.29840277778</v>
      </c>
      <c r="C2354" t="n">
        <v>0</v>
      </c>
      <c r="D2354" t="n">
        <v>668</v>
      </c>
      <c r="E2354" t="s">
        <v>2359</v>
      </c>
      <c r="F2354">
        <f>HYPERLINK("http://pbs.twimg.com/media/CwzSm8FWEAEUxYs.jpg", "http://pbs.twimg.com/media/CwzSm8FWEAEUxYs.jpg")</f>
        <v/>
      </c>
      <c r="G2354" t="s"/>
      <c r="H2354" t="s"/>
      <c r="I2354" t="s"/>
      <c r="J2354" t="n">
        <v>0</v>
      </c>
      <c r="K2354" t="n">
        <v>0</v>
      </c>
      <c r="L2354" t="n">
        <v>1</v>
      </c>
      <c r="M2354" t="n">
        <v>0</v>
      </c>
    </row>
    <row r="2355" spans="1:13">
      <c r="A2355" s="1">
        <f>HYPERLINK("http://www.twitter.com/NathanBLawrence/status/796248336374333440", "796248336374333440")</f>
        <v/>
      </c>
      <c r="B2355" s="2" t="n">
        <v>42683.29827546296</v>
      </c>
      <c r="C2355" t="n">
        <v>0</v>
      </c>
      <c r="D2355" t="n">
        <v>1264</v>
      </c>
      <c r="E2355" t="s">
        <v>2360</v>
      </c>
      <c r="F2355" t="s"/>
      <c r="G2355" t="s"/>
      <c r="H2355" t="s"/>
      <c r="I2355" t="s"/>
      <c r="J2355" t="n">
        <v>0.3818</v>
      </c>
      <c r="K2355" t="n">
        <v>0</v>
      </c>
      <c r="L2355" t="n">
        <v>0.874</v>
      </c>
      <c r="M2355" t="n">
        <v>0.126</v>
      </c>
    </row>
    <row r="2356" spans="1:13">
      <c r="A2356" s="1">
        <f>HYPERLINK("http://www.twitter.com/NathanBLawrence/status/796245727882149888", "796245727882149888")</f>
        <v/>
      </c>
      <c r="B2356" s="2" t="n">
        <v>42683.29107638889</v>
      </c>
      <c r="C2356" t="n">
        <v>0</v>
      </c>
      <c r="D2356" t="n">
        <v>0</v>
      </c>
      <c r="E2356" t="s">
        <v>2361</v>
      </c>
      <c r="F2356" t="s"/>
      <c r="G2356" t="s"/>
      <c r="H2356" t="s"/>
      <c r="I2356" t="s"/>
      <c r="J2356" t="n">
        <v>0.4199</v>
      </c>
      <c r="K2356" t="n">
        <v>0</v>
      </c>
      <c r="L2356" t="n">
        <v>0.823</v>
      </c>
      <c r="M2356" t="n">
        <v>0.177</v>
      </c>
    </row>
    <row r="2357" spans="1:13">
      <c r="A2357" s="1">
        <f>HYPERLINK("http://www.twitter.com/NathanBLawrence/status/796245177195184128", "796245177195184128")</f>
        <v/>
      </c>
      <c r="B2357" s="2" t="n">
        <v>42683.28956018519</v>
      </c>
      <c r="C2357" t="n">
        <v>0</v>
      </c>
      <c r="D2357" t="n">
        <v>2225</v>
      </c>
      <c r="E2357" t="s">
        <v>2362</v>
      </c>
      <c r="F2357" t="s"/>
      <c r="G2357" t="s"/>
      <c r="H2357" t="s"/>
      <c r="I2357" t="s"/>
      <c r="J2357" t="n">
        <v>0.4767</v>
      </c>
      <c r="K2357" t="n">
        <v>0</v>
      </c>
      <c r="L2357" t="n">
        <v>0.837</v>
      </c>
      <c r="M2357" t="n">
        <v>0.163</v>
      </c>
    </row>
    <row r="2358" spans="1:13">
      <c r="A2358" s="1">
        <f>HYPERLINK("http://www.twitter.com/NathanBLawrence/status/796239375533309952", "796239375533309952")</f>
        <v/>
      </c>
      <c r="B2358" s="2" t="n">
        <v>42683.27355324074</v>
      </c>
      <c r="C2358" t="n">
        <v>0</v>
      </c>
      <c r="D2358" t="n">
        <v>2451</v>
      </c>
      <c r="E2358" t="s">
        <v>2363</v>
      </c>
      <c r="F2358" t="s"/>
      <c r="G2358" t="s"/>
      <c r="H2358" t="s"/>
      <c r="I2358" t="s"/>
      <c r="J2358" t="n">
        <v>-0.1531</v>
      </c>
      <c r="K2358" t="n">
        <v>0.129</v>
      </c>
      <c r="L2358" t="n">
        <v>0.786</v>
      </c>
      <c r="M2358" t="n">
        <v>0.08599999999999999</v>
      </c>
    </row>
    <row r="2359" spans="1:13">
      <c r="A2359" s="1">
        <f>HYPERLINK("http://www.twitter.com/NathanBLawrence/status/796226581408706560", "796226581408706560")</f>
        <v/>
      </c>
      <c r="B2359" s="2" t="n">
        <v>42683.23824074074</v>
      </c>
      <c r="C2359" t="n">
        <v>0</v>
      </c>
      <c r="D2359" t="n">
        <v>2421</v>
      </c>
      <c r="E2359" t="s">
        <v>2364</v>
      </c>
      <c r="F2359" t="s"/>
      <c r="G2359" t="s"/>
      <c r="H2359" t="s"/>
      <c r="I2359" t="s"/>
      <c r="J2359" t="n">
        <v>0.4404</v>
      </c>
      <c r="K2359" t="n">
        <v>0</v>
      </c>
      <c r="L2359" t="n">
        <v>0.879</v>
      </c>
      <c r="M2359" t="n">
        <v>0.121</v>
      </c>
    </row>
    <row r="2360" spans="1:13">
      <c r="A2360" s="1">
        <f>HYPERLINK("http://www.twitter.com/NathanBLawrence/status/796222994574151680", "796222994574151680")</f>
        <v/>
      </c>
      <c r="B2360" s="2" t="n">
        <v>42683.22834490741</v>
      </c>
      <c r="C2360" t="n">
        <v>0</v>
      </c>
      <c r="D2360" t="n">
        <v>21777</v>
      </c>
      <c r="E2360" t="s">
        <v>2365</v>
      </c>
      <c r="F2360">
        <f>HYPERLINK("http://pbs.twimg.com/media/Cwy_92NWEAAwyqe.jpg", "http://pbs.twimg.com/media/Cwy_92NWEAAwyqe.jpg")</f>
        <v/>
      </c>
      <c r="G2360" t="s"/>
      <c r="H2360" t="s"/>
      <c r="I2360" t="s"/>
      <c r="J2360" t="n">
        <v>0.0516</v>
      </c>
      <c r="K2360" t="n">
        <v>0.104</v>
      </c>
      <c r="L2360" t="n">
        <v>0.783</v>
      </c>
      <c r="M2360" t="n">
        <v>0.113</v>
      </c>
    </row>
    <row r="2361" spans="1:13">
      <c r="A2361" s="1">
        <f>HYPERLINK("http://www.twitter.com/NathanBLawrence/status/796222028219121664", "796222028219121664")</f>
        <v/>
      </c>
      <c r="B2361" s="2" t="n">
        <v>42683.22568287037</v>
      </c>
      <c r="C2361" t="n">
        <v>0</v>
      </c>
      <c r="D2361" t="n">
        <v>1083</v>
      </c>
      <c r="E2361" t="s">
        <v>2366</v>
      </c>
      <c r="F2361" t="s"/>
      <c r="G2361" t="s"/>
      <c r="H2361" t="s"/>
      <c r="I2361" t="s"/>
      <c r="J2361" t="n">
        <v>-0.2732</v>
      </c>
      <c r="K2361" t="n">
        <v>0.08699999999999999</v>
      </c>
      <c r="L2361" t="n">
        <v>0.913</v>
      </c>
      <c r="M2361" t="n">
        <v>0</v>
      </c>
    </row>
    <row r="2362" spans="1:13">
      <c r="A2362" s="1">
        <f>HYPERLINK("http://www.twitter.com/NathanBLawrence/status/796220340879900674", "796220340879900674")</f>
        <v/>
      </c>
      <c r="B2362" s="2" t="n">
        <v>42683.22101851852</v>
      </c>
      <c r="C2362" t="n">
        <v>0</v>
      </c>
      <c r="D2362" t="n">
        <v>0</v>
      </c>
      <c r="E2362" t="s">
        <v>2367</v>
      </c>
      <c r="F2362" t="s"/>
      <c r="G2362" t="s"/>
      <c r="H2362" t="s"/>
      <c r="I2362" t="s"/>
      <c r="J2362" t="n">
        <v>0</v>
      </c>
      <c r="K2362" t="n">
        <v>0</v>
      </c>
      <c r="L2362" t="n">
        <v>1</v>
      </c>
      <c r="M2362" t="n">
        <v>0</v>
      </c>
    </row>
    <row r="2363" spans="1:13">
      <c r="A2363" s="1">
        <f>HYPERLINK("http://www.twitter.com/NathanBLawrence/status/796218770746462208", "796218770746462208")</f>
        <v/>
      </c>
      <c r="B2363" s="2" t="n">
        <v>42683.21668981481</v>
      </c>
      <c r="C2363" t="n">
        <v>0</v>
      </c>
      <c r="D2363" t="n">
        <v>4873</v>
      </c>
      <c r="E2363" t="s">
        <v>2368</v>
      </c>
      <c r="F2363" t="s"/>
      <c r="G2363" t="s"/>
      <c r="H2363" t="s"/>
      <c r="I2363" t="s"/>
      <c r="J2363" t="n">
        <v>0</v>
      </c>
      <c r="K2363" t="n">
        <v>0</v>
      </c>
      <c r="L2363" t="n">
        <v>1</v>
      </c>
      <c r="M2363" t="n">
        <v>0</v>
      </c>
    </row>
    <row r="2364" spans="1:13">
      <c r="A2364" s="1">
        <f>HYPERLINK("http://www.twitter.com/NathanBLawrence/status/796218193710903297", "796218193710903297")</f>
        <v/>
      </c>
      <c r="B2364" s="2" t="n">
        <v>42683.21510416667</v>
      </c>
      <c r="C2364" t="n">
        <v>0</v>
      </c>
      <c r="D2364" t="n">
        <v>728</v>
      </c>
      <c r="E2364" t="s">
        <v>2369</v>
      </c>
      <c r="F2364">
        <f>HYPERLINK("http://pbs.twimg.com/media/Cwyhg7LVQAAyFgG.jpg", "http://pbs.twimg.com/media/Cwyhg7LVQAAyFgG.jpg")</f>
        <v/>
      </c>
      <c r="G2364" t="s"/>
      <c r="H2364" t="s"/>
      <c r="I2364" t="s"/>
      <c r="J2364" t="n">
        <v>0.8416</v>
      </c>
      <c r="K2364" t="n">
        <v>0</v>
      </c>
      <c r="L2364" t="n">
        <v>0.6909999999999999</v>
      </c>
      <c r="M2364" t="n">
        <v>0.309</v>
      </c>
    </row>
    <row r="2365" spans="1:13">
      <c r="A2365" s="1">
        <f>HYPERLINK("http://www.twitter.com/NathanBLawrence/status/796217781184319488", "796217781184319488")</f>
        <v/>
      </c>
      <c r="B2365" s="2" t="n">
        <v>42683.21395833333</v>
      </c>
      <c r="C2365" t="n">
        <v>0</v>
      </c>
      <c r="D2365" t="n">
        <v>588</v>
      </c>
      <c r="E2365" t="s">
        <v>2370</v>
      </c>
      <c r="F2365" t="s"/>
      <c r="G2365" t="s"/>
      <c r="H2365" t="s"/>
      <c r="I2365" t="s"/>
      <c r="J2365" t="n">
        <v>-0.6037</v>
      </c>
      <c r="K2365" t="n">
        <v>0.263</v>
      </c>
      <c r="L2365" t="n">
        <v>0.737</v>
      </c>
      <c r="M2365" t="n">
        <v>0</v>
      </c>
    </row>
    <row r="2366" spans="1:13">
      <c r="A2366" s="1">
        <f>HYPERLINK("http://www.twitter.com/NathanBLawrence/status/796217239066316800", "796217239066316800")</f>
        <v/>
      </c>
      <c r="B2366" s="2" t="n">
        <v>42683.21246527778</v>
      </c>
      <c r="C2366" t="n">
        <v>0</v>
      </c>
      <c r="D2366" t="n">
        <v>1519</v>
      </c>
      <c r="E2366" t="s">
        <v>2371</v>
      </c>
      <c r="F2366" t="s"/>
      <c r="G2366" t="s"/>
      <c r="H2366" t="s"/>
      <c r="I2366" t="s"/>
      <c r="J2366" t="n">
        <v>0</v>
      </c>
      <c r="K2366" t="n">
        <v>0</v>
      </c>
      <c r="L2366" t="n">
        <v>1</v>
      </c>
      <c r="M2366" t="n">
        <v>0</v>
      </c>
    </row>
    <row r="2367" spans="1:13">
      <c r="A2367" s="1">
        <f>HYPERLINK("http://www.twitter.com/NathanBLawrence/status/796217182761979904", "796217182761979904")</f>
        <v/>
      </c>
      <c r="B2367" s="2" t="n">
        <v>42683.21231481482</v>
      </c>
      <c r="C2367" t="n">
        <v>0</v>
      </c>
      <c r="D2367" t="n">
        <v>4036</v>
      </c>
      <c r="E2367" t="s">
        <v>2372</v>
      </c>
      <c r="F2367">
        <f>HYPERLINK("http://pbs.twimg.com/media/CwyyDL_WEAQUlOC.jpg", "http://pbs.twimg.com/media/CwyyDL_WEAQUlOC.jpg")</f>
        <v/>
      </c>
      <c r="G2367" t="s"/>
      <c r="H2367" t="s"/>
      <c r="I2367" t="s"/>
      <c r="J2367" t="n">
        <v>0.6514</v>
      </c>
      <c r="K2367" t="n">
        <v>0.146</v>
      </c>
      <c r="L2367" t="n">
        <v>0.531</v>
      </c>
      <c r="M2367" t="n">
        <v>0.323</v>
      </c>
    </row>
    <row r="2368" spans="1:13">
      <c r="A2368" s="1">
        <f>HYPERLINK("http://www.twitter.com/NathanBLawrence/status/796210624284000257", "796210624284000257")</f>
        <v/>
      </c>
      <c r="B2368" s="2" t="n">
        <v>42683.19421296296</v>
      </c>
      <c r="C2368" t="n">
        <v>0</v>
      </c>
      <c r="D2368" t="n">
        <v>367</v>
      </c>
      <c r="E2368" t="s">
        <v>2373</v>
      </c>
      <c r="F2368" t="s"/>
      <c r="G2368" t="s"/>
      <c r="H2368" t="s"/>
      <c r="I2368" t="s"/>
      <c r="J2368" t="n">
        <v>0.5719</v>
      </c>
      <c r="K2368" t="n">
        <v>0</v>
      </c>
      <c r="L2368" t="n">
        <v>0.791</v>
      </c>
      <c r="M2368" t="n">
        <v>0.209</v>
      </c>
    </row>
    <row r="2369" spans="1:13">
      <c r="A2369" s="1">
        <f>HYPERLINK("http://www.twitter.com/NathanBLawrence/status/796209794428313600", "796209794428313600")</f>
        <v/>
      </c>
      <c r="B2369" s="2" t="n">
        <v>42683.1919212963</v>
      </c>
      <c r="C2369" t="n">
        <v>0</v>
      </c>
      <c r="D2369" t="n">
        <v>9385</v>
      </c>
      <c r="E2369" t="s">
        <v>2374</v>
      </c>
      <c r="F2369">
        <f>HYPERLINK("http://pbs.twimg.com/media/Cwyz8EeUQAALZev.jpg", "http://pbs.twimg.com/media/Cwyz8EeUQAALZev.jpg")</f>
        <v/>
      </c>
      <c r="G2369" t="s"/>
      <c r="H2369" t="s"/>
      <c r="I2369" t="s"/>
      <c r="J2369" t="n">
        <v>0</v>
      </c>
      <c r="K2369" t="n">
        <v>0</v>
      </c>
      <c r="L2369" t="n">
        <v>1</v>
      </c>
      <c r="M2369" t="n">
        <v>0</v>
      </c>
    </row>
    <row r="2370" spans="1:13">
      <c r="A2370" s="1">
        <f>HYPERLINK("http://www.twitter.com/NathanBLawrence/status/796207347144200192", "796207347144200192")</f>
        <v/>
      </c>
      <c r="B2370" s="2" t="n">
        <v>42683.18517361111</v>
      </c>
      <c r="C2370" t="n">
        <v>0</v>
      </c>
      <c r="D2370" t="n">
        <v>19</v>
      </c>
      <c r="E2370" t="s">
        <v>2375</v>
      </c>
      <c r="F2370">
        <f>HYPERLINK("http://pbs.twimg.com/media/CwyxutOWIAIRprz.jpg", "http://pbs.twimg.com/media/CwyxutOWIAIRprz.jpg")</f>
        <v/>
      </c>
      <c r="G2370" t="s"/>
      <c r="H2370" t="s"/>
      <c r="I2370" t="s"/>
      <c r="J2370" t="n">
        <v>0</v>
      </c>
      <c r="K2370" t="n">
        <v>0</v>
      </c>
      <c r="L2370" t="n">
        <v>1</v>
      </c>
      <c r="M2370" t="n">
        <v>0</v>
      </c>
    </row>
    <row r="2371" spans="1:13">
      <c r="A2371" s="1">
        <f>HYPERLINK("http://www.twitter.com/NathanBLawrence/status/796206660431867904", "796206660431867904")</f>
        <v/>
      </c>
      <c r="B2371" s="2" t="n">
        <v>42683.18327546296</v>
      </c>
      <c r="C2371" t="n">
        <v>0</v>
      </c>
      <c r="D2371" t="n">
        <v>1973</v>
      </c>
      <c r="E2371" t="s">
        <v>2376</v>
      </c>
      <c r="F2371" t="s"/>
      <c r="G2371" t="s"/>
      <c r="H2371" t="s"/>
      <c r="I2371" t="s"/>
      <c r="J2371" t="n">
        <v>0.4926</v>
      </c>
      <c r="K2371" t="n">
        <v>0.089</v>
      </c>
      <c r="L2371" t="n">
        <v>0.737</v>
      </c>
      <c r="M2371" t="n">
        <v>0.174</v>
      </c>
    </row>
    <row r="2372" spans="1:13">
      <c r="A2372" s="1">
        <f>HYPERLINK("http://www.twitter.com/NathanBLawrence/status/796205986772029440", "796205986772029440")</f>
        <v/>
      </c>
      <c r="B2372" s="2" t="n">
        <v>42683.18141203704</v>
      </c>
      <c r="C2372" t="n">
        <v>0</v>
      </c>
      <c r="D2372" t="n">
        <v>6930</v>
      </c>
      <c r="E2372" t="s">
        <v>2377</v>
      </c>
      <c r="F2372" t="s"/>
      <c r="G2372" t="s"/>
      <c r="H2372" t="s"/>
      <c r="I2372" t="s"/>
      <c r="J2372" t="n">
        <v>-0.2755</v>
      </c>
      <c r="K2372" t="n">
        <v>0.1</v>
      </c>
      <c r="L2372" t="n">
        <v>0.9</v>
      </c>
      <c r="M2372" t="n">
        <v>0</v>
      </c>
    </row>
    <row r="2373" spans="1:13">
      <c r="A2373" s="1">
        <f>HYPERLINK("http://www.twitter.com/NathanBLawrence/status/796201535881543680", "796201535881543680")</f>
        <v/>
      </c>
      <c r="B2373" s="2" t="n">
        <v>42683.16913194444</v>
      </c>
      <c r="C2373" t="n">
        <v>0</v>
      </c>
      <c r="D2373" t="n">
        <v>6749</v>
      </c>
      <c r="E2373" t="s">
        <v>2378</v>
      </c>
      <c r="F2373" t="s"/>
      <c r="G2373" t="s"/>
      <c r="H2373" t="s"/>
      <c r="I2373" t="s"/>
      <c r="J2373" t="n">
        <v>0.5423</v>
      </c>
      <c r="K2373" t="n">
        <v>0</v>
      </c>
      <c r="L2373" t="n">
        <v>0.513</v>
      </c>
      <c r="M2373" t="n">
        <v>0.487</v>
      </c>
    </row>
    <row r="2374" spans="1:13">
      <c r="A2374" s="1">
        <f>HYPERLINK("http://www.twitter.com/NathanBLawrence/status/796194504839692288", "796194504839692288")</f>
        <v/>
      </c>
      <c r="B2374" s="2" t="n">
        <v>42683.14973379629</v>
      </c>
      <c r="C2374" t="n">
        <v>0</v>
      </c>
      <c r="D2374" t="n">
        <v>0</v>
      </c>
      <c r="E2374" t="s">
        <v>2379</v>
      </c>
      <c r="F2374" t="s"/>
      <c r="G2374" t="s"/>
      <c r="H2374" t="s"/>
      <c r="I2374" t="s"/>
      <c r="J2374" t="n">
        <v>0.508</v>
      </c>
      <c r="K2374" t="n">
        <v>0</v>
      </c>
      <c r="L2374" t="n">
        <v>0.733</v>
      </c>
      <c r="M2374" t="n">
        <v>0.267</v>
      </c>
    </row>
    <row r="2375" spans="1:13">
      <c r="A2375" s="1">
        <f>HYPERLINK("http://www.twitter.com/NathanBLawrence/status/796193222993334272", "796193222993334272")</f>
        <v/>
      </c>
      <c r="B2375" s="2" t="n">
        <v>42683.14619212963</v>
      </c>
      <c r="C2375" t="n">
        <v>0</v>
      </c>
      <c r="D2375" t="n">
        <v>1648</v>
      </c>
      <c r="E2375" t="s">
        <v>2380</v>
      </c>
      <c r="F2375" t="s"/>
      <c r="G2375" t="s"/>
      <c r="H2375" t="s"/>
      <c r="I2375" t="s"/>
      <c r="J2375" t="n">
        <v>0</v>
      </c>
      <c r="K2375" t="n">
        <v>0</v>
      </c>
      <c r="L2375" t="n">
        <v>1</v>
      </c>
      <c r="M2375" t="n">
        <v>0</v>
      </c>
    </row>
    <row r="2376" spans="1:13">
      <c r="A2376" s="1">
        <f>HYPERLINK("http://www.twitter.com/NathanBLawrence/status/796192660847521792", "796192660847521792")</f>
        <v/>
      </c>
      <c r="B2376" s="2" t="n">
        <v>42683.1446412037</v>
      </c>
      <c r="C2376" t="n">
        <v>0</v>
      </c>
      <c r="D2376" t="n">
        <v>94</v>
      </c>
      <c r="E2376" t="s">
        <v>2381</v>
      </c>
      <c r="F2376">
        <f>HYPERLINK("http://pbs.twimg.com/media/CwykSRzXUAANdHk.jpg", "http://pbs.twimg.com/media/CwykSRzXUAANdHk.jpg")</f>
        <v/>
      </c>
      <c r="G2376" t="s"/>
      <c r="H2376" t="s"/>
      <c r="I2376" t="s"/>
      <c r="J2376" t="n">
        <v>0.1027</v>
      </c>
      <c r="K2376" t="n">
        <v>0.174</v>
      </c>
      <c r="L2376" t="n">
        <v>0.632</v>
      </c>
      <c r="M2376" t="n">
        <v>0.195</v>
      </c>
    </row>
    <row r="2377" spans="1:13">
      <c r="A2377" s="1">
        <f>HYPERLINK("http://www.twitter.com/NathanBLawrence/status/796192246899109889", "796192246899109889")</f>
        <v/>
      </c>
      <c r="B2377" s="2" t="n">
        <v>42683.14349537037</v>
      </c>
      <c r="C2377" t="n">
        <v>0</v>
      </c>
      <c r="D2377" t="n">
        <v>273</v>
      </c>
      <c r="E2377" t="s">
        <v>2382</v>
      </c>
      <c r="F2377">
        <f>HYPERLINK("http://pbs.twimg.com/media/Cwyj3DSVQAArtjV.jpg", "http://pbs.twimg.com/media/Cwyj3DSVQAArtjV.jpg")</f>
        <v/>
      </c>
      <c r="G2377" t="s"/>
      <c r="H2377" t="s"/>
      <c r="I2377" t="s"/>
      <c r="J2377" t="n">
        <v>0.5859</v>
      </c>
      <c r="K2377" t="n">
        <v>0</v>
      </c>
      <c r="L2377" t="n">
        <v>0.833</v>
      </c>
      <c r="M2377" t="n">
        <v>0.167</v>
      </c>
    </row>
    <row r="2378" spans="1:13">
      <c r="A2378" s="1">
        <f>HYPERLINK("http://www.twitter.com/NathanBLawrence/status/796189100709728257", "796189100709728257")</f>
        <v/>
      </c>
      <c r="B2378" s="2" t="n">
        <v>42683.13481481482</v>
      </c>
      <c r="C2378" t="n">
        <v>1</v>
      </c>
      <c r="D2378" t="n">
        <v>0</v>
      </c>
      <c r="E2378" t="s">
        <v>2383</v>
      </c>
      <c r="F2378" t="s"/>
      <c r="G2378" t="s"/>
      <c r="H2378" t="s"/>
      <c r="I2378" t="s"/>
      <c r="J2378" t="n">
        <v>0</v>
      </c>
      <c r="K2378" t="n">
        <v>0</v>
      </c>
      <c r="L2378" t="n">
        <v>1</v>
      </c>
      <c r="M2378" t="n">
        <v>0</v>
      </c>
    </row>
    <row r="2379" spans="1:13">
      <c r="A2379" s="1">
        <f>HYPERLINK("http://www.twitter.com/NathanBLawrence/status/796183335085240321", "796183335085240321")</f>
        <v/>
      </c>
      <c r="B2379" s="2" t="n">
        <v>42683.11891203704</v>
      </c>
      <c r="C2379" t="n">
        <v>0</v>
      </c>
      <c r="D2379" t="n">
        <v>99</v>
      </c>
      <c r="E2379" t="s">
        <v>2384</v>
      </c>
      <c r="F2379" t="s"/>
      <c r="G2379" t="s"/>
      <c r="H2379" t="s"/>
      <c r="I2379" t="s"/>
      <c r="J2379" t="n">
        <v>0</v>
      </c>
      <c r="K2379" t="n">
        <v>0</v>
      </c>
      <c r="L2379" t="n">
        <v>1</v>
      </c>
      <c r="M2379" t="n">
        <v>0</v>
      </c>
    </row>
    <row r="2380" spans="1:13">
      <c r="A2380" s="1">
        <f>HYPERLINK("http://www.twitter.com/NathanBLawrence/status/796180667587526656", "796180667587526656")</f>
        <v/>
      </c>
      <c r="B2380" s="2" t="n">
        <v>42683.11155092593</v>
      </c>
      <c r="C2380" t="n">
        <v>0</v>
      </c>
      <c r="D2380" t="n">
        <v>1007</v>
      </c>
      <c r="E2380" t="s">
        <v>2385</v>
      </c>
      <c r="F2380" t="s"/>
      <c r="G2380" t="s"/>
      <c r="H2380" t="s"/>
      <c r="I2380" t="s"/>
      <c r="J2380" t="n">
        <v>0.5223</v>
      </c>
      <c r="K2380" t="n">
        <v>0.168</v>
      </c>
      <c r="L2380" t="n">
        <v>0.448</v>
      </c>
      <c r="M2380" t="n">
        <v>0.384</v>
      </c>
    </row>
    <row r="2381" spans="1:13">
      <c r="A2381" s="1">
        <f>HYPERLINK("http://www.twitter.com/NathanBLawrence/status/796170130447364097", "796170130447364097")</f>
        <v/>
      </c>
      <c r="B2381" s="2" t="n">
        <v>42683.08246527778</v>
      </c>
      <c r="C2381" t="n">
        <v>0</v>
      </c>
      <c r="D2381" t="n">
        <v>1860</v>
      </c>
      <c r="E2381" t="s">
        <v>2386</v>
      </c>
      <c r="F2381" t="s"/>
      <c r="G2381" t="s"/>
      <c r="H2381" t="s"/>
      <c r="I2381" t="s"/>
      <c r="J2381" t="n">
        <v>0.8531</v>
      </c>
      <c r="K2381" t="n">
        <v>0</v>
      </c>
      <c r="L2381" t="n">
        <v>0.545</v>
      </c>
      <c r="M2381" t="n">
        <v>0.455</v>
      </c>
    </row>
    <row r="2382" spans="1:13">
      <c r="A2382" s="1">
        <f>HYPERLINK("http://www.twitter.com/NathanBLawrence/status/796150967238529024", "796150967238529024")</f>
        <v/>
      </c>
      <c r="B2382" s="2" t="n">
        <v>42683.02959490741</v>
      </c>
      <c r="C2382" t="n">
        <v>0</v>
      </c>
      <c r="D2382" t="n">
        <v>3325</v>
      </c>
      <c r="E2382" t="s">
        <v>2387</v>
      </c>
      <c r="F2382" t="s"/>
      <c r="G2382" t="s"/>
      <c r="H2382" t="s"/>
      <c r="I2382" t="s"/>
      <c r="J2382" t="n">
        <v>0.5994</v>
      </c>
      <c r="K2382" t="n">
        <v>0.058</v>
      </c>
      <c r="L2382" t="n">
        <v>0.756</v>
      </c>
      <c r="M2382" t="n">
        <v>0.187</v>
      </c>
    </row>
    <row r="2383" spans="1:13">
      <c r="A2383" s="1">
        <f>HYPERLINK("http://www.twitter.com/NathanBLawrence/status/796145019262537728", "796145019262537728")</f>
        <v/>
      </c>
      <c r="B2383" s="2" t="n">
        <v>42683.0131712963</v>
      </c>
      <c r="C2383" t="n">
        <v>0</v>
      </c>
      <c r="D2383" t="n">
        <v>554</v>
      </c>
      <c r="E2383" t="s">
        <v>2388</v>
      </c>
      <c r="F2383" t="s"/>
      <c r="G2383" t="s"/>
      <c r="H2383" t="s"/>
      <c r="I2383" t="s"/>
      <c r="J2383" t="n">
        <v>0.6037</v>
      </c>
      <c r="K2383" t="n">
        <v>0</v>
      </c>
      <c r="L2383" t="n">
        <v>0.64</v>
      </c>
      <c r="M2383" t="n">
        <v>0.36</v>
      </c>
    </row>
    <row r="2384" spans="1:13">
      <c r="A2384" s="1">
        <f>HYPERLINK("http://www.twitter.com/NathanBLawrence/status/796144728366600192", "796144728366600192")</f>
        <v/>
      </c>
      <c r="B2384" s="2" t="n">
        <v>42683.01237268518</v>
      </c>
      <c r="C2384" t="n">
        <v>0</v>
      </c>
      <c r="D2384" t="n">
        <v>0</v>
      </c>
      <c r="E2384" t="s">
        <v>2389</v>
      </c>
      <c r="F2384" t="s"/>
      <c r="G2384" t="s"/>
      <c r="H2384" t="s"/>
      <c r="I2384" t="s"/>
      <c r="J2384" t="n">
        <v>0.7712</v>
      </c>
      <c r="K2384" t="n">
        <v>0</v>
      </c>
      <c r="L2384" t="n">
        <v>0.5649999999999999</v>
      </c>
      <c r="M2384" t="n">
        <v>0.435</v>
      </c>
    </row>
    <row r="2385" spans="1:13">
      <c r="A2385" s="1">
        <f>HYPERLINK("http://www.twitter.com/NathanBLawrence/status/796144514494857216", "796144514494857216")</f>
        <v/>
      </c>
      <c r="B2385" s="2" t="n">
        <v>42683.0117824074</v>
      </c>
      <c r="C2385" t="n">
        <v>0</v>
      </c>
      <c r="D2385" t="n">
        <v>4877</v>
      </c>
      <c r="E2385" t="s">
        <v>2390</v>
      </c>
      <c r="F2385" t="s"/>
      <c r="G2385" t="s"/>
      <c r="H2385" t="s"/>
      <c r="I2385" t="s"/>
      <c r="J2385" t="n">
        <v>-0.4588</v>
      </c>
      <c r="K2385" t="n">
        <v>0.25</v>
      </c>
      <c r="L2385" t="n">
        <v>0.75</v>
      </c>
      <c r="M2385" t="n">
        <v>0</v>
      </c>
    </row>
    <row r="2386" spans="1:13">
      <c r="A2386" s="1">
        <f>HYPERLINK("http://www.twitter.com/NathanBLawrence/status/796142059421896704", "796142059421896704")</f>
        <v/>
      </c>
      <c r="B2386" s="2" t="n">
        <v>42683.00501157407</v>
      </c>
      <c r="C2386" t="n">
        <v>0</v>
      </c>
      <c r="D2386" t="n">
        <v>228</v>
      </c>
      <c r="E2386" t="s">
        <v>2391</v>
      </c>
      <c r="F2386" t="s"/>
      <c r="G2386" t="s"/>
      <c r="H2386" t="s"/>
      <c r="I2386" t="s"/>
      <c r="J2386" t="n">
        <v>-0.5525</v>
      </c>
      <c r="K2386" t="n">
        <v>0.286</v>
      </c>
      <c r="L2386" t="n">
        <v>0.573</v>
      </c>
      <c r="M2386" t="n">
        <v>0.141</v>
      </c>
    </row>
    <row r="2387" spans="1:13">
      <c r="A2387" s="1">
        <f>HYPERLINK("http://www.twitter.com/NathanBLawrence/status/796140952259821568", "796140952259821568")</f>
        <v/>
      </c>
      <c r="B2387" s="2" t="n">
        <v>42683.00195601852</v>
      </c>
      <c r="C2387" t="n">
        <v>0</v>
      </c>
      <c r="D2387" t="n">
        <v>1217</v>
      </c>
      <c r="E2387" t="s">
        <v>2392</v>
      </c>
      <c r="F2387">
        <f>HYPERLINK("http://pbs.twimg.com/media/Cwx1hYxXgAA2gPc.png", "http://pbs.twimg.com/media/Cwx1hYxXgAA2gPc.png")</f>
        <v/>
      </c>
      <c r="G2387" t="s"/>
      <c r="H2387" t="s"/>
      <c r="I2387" t="s"/>
      <c r="J2387" t="n">
        <v>0.5719</v>
      </c>
      <c r="K2387" t="n">
        <v>0</v>
      </c>
      <c r="L2387" t="n">
        <v>0.802</v>
      </c>
      <c r="M2387" t="n">
        <v>0.198</v>
      </c>
    </row>
    <row r="2388" spans="1:13">
      <c r="A2388" s="1">
        <f>HYPERLINK("http://www.twitter.com/NathanBLawrence/status/796140934119428096", "796140934119428096")</f>
        <v/>
      </c>
      <c r="B2388" s="2" t="n">
        <v>42683.00189814815</v>
      </c>
      <c r="C2388" t="n">
        <v>0</v>
      </c>
      <c r="D2388" t="n">
        <v>1152</v>
      </c>
      <c r="E2388" t="s">
        <v>2393</v>
      </c>
      <c r="F2388">
        <f>HYPERLINK("http://pbs.twimg.com/media/Cwx1h02XcAA03o4.png", "http://pbs.twimg.com/media/Cwx1h02XcAA03o4.png")</f>
        <v/>
      </c>
      <c r="G2388" t="s"/>
      <c r="H2388" t="s"/>
      <c r="I2388" t="s"/>
      <c r="J2388" t="n">
        <v>0.5719</v>
      </c>
      <c r="K2388" t="n">
        <v>0</v>
      </c>
      <c r="L2388" t="n">
        <v>0.802</v>
      </c>
      <c r="M2388" t="n">
        <v>0.198</v>
      </c>
    </row>
    <row r="2389" spans="1:13">
      <c r="A2389" s="1">
        <f>HYPERLINK("http://www.twitter.com/NathanBLawrence/status/796140020465881088", "796140020465881088")</f>
        <v/>
      </c>
      <c r="B2389" s="2" t="n">
        <v>42682.99938657408</v>
      </c>
      <c r="C2389" t="n">
        <v>0</v>
      </c>
      <c r="D2389" t="n">
        <v>199</v>
      </c>
      <c r="E2389" t="s">
        <v>2394</v>
      </c>
      <c r="F2389">
        <f>HYPERLINK("http://pbs.twimg.com/media/Cwxzv5GWgAAKDaJ.jpg", "http://pbs.twimg.com/media/Cwxzv5GWgAAKDaJ.jpg")</f>
        <v/>
      </c>
      <c r="G2389" t="s"/>
      <c r="H2389" t="s"/>
      <c r="I2389" t="s"/>
      <c r="J2389" t="n">
        <v>0.3612</v>
      </c>
      <c r="K2389" t="n">
        <v>0</v>
      </c>
      <c r="L2389" t="n">
        <v>0.865</v>
      </c>
      <c r="M2389" t="n">
        <v>0.135</v>
      </c>
    </row>
    <row r="2390" spans="1:13">
      <c r="A2390" s="1">
        <f>HYPERLINK("http://www.twitter.com/NathanBLawrence/status/796129489818370049", "796129489818370049")</f>
        <v/>
      </c>
      <c r="B2390" s="2" t="n">
        <v>42682.97032407407</v>
      </c>
      <c r="C2390" t="n">
        <v>0</v>
      </c>
      <c r="D2390" t="n">
        <v>4672</v>
      </c>
      <c r="E2390" t="s">
        <v>2395</v>
      </c>
      <c r="F2390" t="s"/>
      <c r="G2390" t="s"/>
      <c r="H2390" t="s"/>
      <c r="I2390" t="s"/>
      <c r="J2390" t="n">
        <v>-0.2023</v>
      </c>
      <c r="K2390" t="n">
        <v>0.145</v>
      </c>
      <c r="L2390" t="n">
        <v>0.742</v>
      </c>
      <c r="M2390" t="n">
        <v>0.113</v>
      </c>
    </row>
    <row r="2391" spans="1:13">
      <c r="A2391" s="1">
        <f>HYPERLINK("http://www.twitter.com/NathanBLawrence/status/796129375737495553", "796129375737495553")</f>
        <v/>
      </c>
      <c r="B2391" s="2" t="n">
        <v>42682.97001157407</v>
      </c>
      <c r="C2391" t="n">
        <v>0</v>
      </c>
      <c r="D2391" t="n">
        <v>476</v>
      </c>
      <c r="E2391" t="s">
        <v>2396</v>
      </c>
      <c r="F2391" t="s"/>
      <c r="G2391" t="s"/>
      <c r="H2391" t="s"/>
      <c r="I2391" t="s"/>
      <c r="J2391" t="n">
        <v>-0.4019</v>
      </c>
      <c r="K2391" t="n">
        <v>0.13</v>
      </c>
      <c r="L2391" t="n">
        <v>0.87</v>
      </c>
      <c r="M2391" t="n">
        <v>0</v>
      </c>
    </row>
    <row r="2392" spans="1:13">
      <c r="A2392" s="1">
        <f>HYPERLINK("http://www.twitter.com/NathanBLawrence/status/796129354082357248", "796129354082357248")</f>
        <v/>
      </c>
      <c r="B2392" s="2" t="n">
        <v>42682.9699537037</v>
      </c>
      <c r="C2392" t="n">
        <v>0</v>
      </c>
      <c r="D2392" t="n">
        <v>833</v>
      </c>
      <c r="E2392" t="s">
        <v>2397</v>
      </c>
      <c r="F2392" t="s"/>
      <c r="G2392" t="s"/>
      <c r="H2392" t="s"/>
      <c r="I2392" t="s"/>
      <c r="J2392" t="n">
        <v>-0.7003</v>
      </c>
      <c r="K2392" t="n">
        <v>0.216</v>
      </c>
      <c r="L2392" t="n">
        <v>0.784</v>
      </c>
      <c r="M2392" t="n">
        <v>0</v>
      </c>
    </row>
    <row r="2393" spans="1:13">
      <c r="A2393" s="1">
        <f>HYPERLINK("http://www.twitter.com/NathanBLawrence/status/796128850069651456", "796128850069651456")</f>
        <v/>
      </c>
      <c r="B2393" s="2" t="n">
        <v>42682.96855324074</v>
      </c>
      <c r="C2393" t="n">
        <v>0</v>
      </c>
      <c r="D2393" t="n">
        <v>869</v>
      </c>
      <c r="E2393" t="s">
        <v>2398</v>
      </c>
      <c r="F2393" t="s"/>
      <c r="G2393" t="s"/>
      <c r="H2393" t="s"/>
      <c r="I2393" t="s"/>
      <c r="J2393" t="n">
        <v>0.128</v>
      </c>
      <c r="K2393" t="n">
        <v>0</v>
      </c>
      <c r="L2393" t="n">
        <v>0.923</v>
      </c>
      <c r="M2393" t="n">
        <v>0.077</v>
      </c>
    </row>
    <row r="2394" spans="1:13">
      <c r="A2394" s="1">
        <f>HYPERLINK("http://www.twitter.com/NathanBLawrence/status/796123192452673536", "796123192452673536")</f>
        <v/>
      </c>
      <c r="B2394" s="2" t="n">
        <v>42682.95293981482</v>
      </c>
      <c r="C2394" t="n">
        <v>0</v>
      </c>
      <c r="D2394" t="n">
        <v>2749</v>
      </c>
      <c r="E2394" t="s">
        <v>2399</v>
      </c>
      <c r="F2394" t="s"/>
      <c r="G2394" t="s"/>
      <c r="H2394" t="s"/>
      <c r="I2394" t="s"/>
      <c r="J2394" t="n">
        <v>-0.1111</v>
      </c>
      <c r="K2394" t="n">
        <v>0.155</v>
      </c>
      <c r="L2394" t="n">
        <v>0.707</v>
      </c>
      <c r="M2394" t="n">
        <v>0.137</v>
      </c>
    </row>
    <row r="2395" spans="1:13">
      <c r="A2395" s="1">
        <f>HYPERLINK("http://www.twitter.com/NathanBLawrence/status/796117452845355009", "796117452845355009")</f>
        <v/>
      </c>
      <c r="B2395" s="2" t="n">
        <v>42682.93710648148</v>
      </c>
      <c r="C2395" t="n">
        <v>0</v>
      </c>
      <c r="D2395" t="n">
        <v>599</v>
      </c>
      <c r="E2395" t="s">
        <v>2400</v>
      </c>
      <c r="F2395" t="s"/>
      <c r="G2395" t="s"/>
      <c r="H2395" t="s"/>
      <c r="I2395" t="s"/>
      <c r="J2395" t="n">
        <v>0</v>
      </c>
      <c r="K2395" t="n">
        <v>0</v>
      </c>
      <c r="L2395" t="n">
        <v>1</v>
      </c>
      <c r="M2395" t="n">
        <v>0</v>
      </c>
    </row>
    <row r="2396" spans="1:13">
      <c r="A2396" s="1">
        <f>HYPERLINK("http://www.twitter.com/NathanBLawrence/status/796102378328064001", "796102378328064001")</f>
        <v/>
      </c>
      <c r="B2396" s="2" t="n">
        <v>42682.89550925926</v>
      </c>
      <c r="C2396" t="n">
        <v>0</v>
      </c>
      <c r="D2396" t="n">
        <v>20056</v>
      </c>
      <c r="E2396" t="s">
        <v>2401</v>
      </c>
      <c r="F2396" t="s"/>
      <c r="G2396" t="s"/>
      <c r="H2396" t="s"/>
      <c r="I2396" t="s"/>
      <c r="J2396" t="n">
        <v>-0.4019</v>
      </c>
      <c r="K2396" t="n">
        <v>0.153</v>
      </c>
      <c r="L2396" t="n">
        <v>0.847</v>
      </c>
      <c r="M2396" t="n">
        <v>0</v>
      </c>
    </row>
    <row r="2397" spans="1:13">
      <c r="A2397" s="1">
        <f>HYPERLINK("http://www.twitter.com/NathanBLawrence/status/796098591567843329", "796098591567843329")</f>
        <v/>
      </c>
      <c r="B2397" s="2" t="n">
        <v>42682.88505787037</v>
      </c>
      <c r="C2397" t="n">
        <v>0</v>
      </c>
      <c r="D2397" t="n">
        <v>2190</v>
      </c>
      <c r="E2397" t="s">
        <v>2402</v>
      </c>
      <c r="F2397" t="s"/>
      <c r="G2397" t="s"/>
      <c r="H2397" t="s"/>
      <c r="I2397" t="s"/>
      <c r="J2397" t="n">
        <v>0.7281</v>
      </c>
      <c r="K2397" t="n">
        <v>0.106</v>
      </c>
      <c r="L2397" t="n">
        <v>0.606</v>
      </c>
      <c r="M2397" t="n">
        <v>0.288</v>
      </c>
    </row>
    <row r="2398" spans="1:13">
      <c r="A2398" s="1">
        <f>HYPERLINK("http://www.twitter.com/NathanBLawrence/status/796098552128737281", "796098552128737281")</f>
        <v/>
      </c>
      <c r="B2398" s="2" t="n">
        <v>42682.8849537037</v>
      </c>
      <c r="C2398" t="n">
        <v>0</v>
      </c>
      <c r="D2398" t="n">
        <v>1138</v>
      </c>
      <c r="E2398" t="s">
        <v>2403</v>
      </c>
      <c r="F2398" t="s"/>
      <c r="G2398" t="s"/>
      <c r="H2398" t="s"/>
      <c r="I2398" t="s"/>
      <c r="J2398" t="n">
        <v>0</v>
      </c>
      <c r="K2398" t="n">
        <v>0</v>
      </c>
      <c r="L2398" t="n">
        <v>1</v>
      </c>
      <c r="M2398" t="n">
        <v>0</v>
      </c>
    </row>
    <row r="2399" spans="1:13">
      <c r="A2399" s="1">
        <f>HYPERLINK("http://www.twitter.com/NathanBLawrence/status/796095925982785536", "796095925982785536")</f>
        <v/>
      </c>
      <c r="B2399" s="2" t="n">
        <v>42682.87770833333</v>
      </c>
      <c r="C2399" t="n">
        <v>0</v>
      </c>
      <c r="D2399" t="n">
        <v>2747</v>
      </c>
      <c r="E2399" t="s">
        <v>2404</v>
      </c>
      <c r="F2399">
        <f>HYPERLINK("http://pbs.twimg.com/media/Cwv0y9sUsAAWrbP.jpg", "http://pbs.twimg.com/media/Cwv0y9sUsAAWrbP.jpg")</f>
        <v/>
      </c>
      <c r="G2399" t="s"/>
      <c r="H2399" t="s"/>
      <c r="I2399" t="s"/>
      <c r="J2399" t="n">
        <v>-0.5859</v>
      </c>
      <c r="K2399" t="n">
        <v>0.194</v>
      </c>
      <c r="L2399" t="n">
        <v>0.806</v>
      </c>
      <c r="M2399" t="n">
        <v>0</v>
      </c>
    </row>
    <row r="2400" spans="1:13">
      <c r="A2400" s="1">
        <f>HYPERLINK("http://www.twitter.com/NathanBLawrence/status/796087205693362177", "796087205693362177")</f>
        <v/>
      </c>
      <c r="B2400" s="2" t="n">
        <v>42682.85364583333</v>
      </c>
      <c r="C2400" t="n">
        <v>0</v>
      </c>
      <c r="D2400" t="n">
        <v>88</v>
      </c>
      <c r="E2400" t="s">
        <v>2405</v>
      </c>
      <c r="F2400" t="s"/>
      <c r="G2400" t="s"/>
      <c r="H2400" t="s"/>
      <c r="I2400" t="s"/>
      <c r="J2400" t="n">
        <v>0.6249</v>
      </c>
      <c r="K2400" t="n">
        <v>0</v>
      </c>
      <c r="L2400" t="n">
        <v>0.796</v>
      </c>
      <c r="M2400" t="n">
        <v>0.204</v>
      </c>
    </row>
    <row r="2401" spans="1:13">
      <c r="A2401" s="1">
        <f>HYPERLINK("http://www.twitter.com/NathanBLawrence/status/796084664377217024", "796084664377217024")</f>
        <v/>
      </c>
      <c r="B2401" s="2" t="n">
        <v>42682.84663194444</v>
      </c>
      <c r="C2401" t="n">
        <v>0</v>
      </c>
      <c r="D2401" t="n">
        <v>635</v>
      </c>
      <c r="E2401" t="s">
        <v>2406</v>
      </c>
      <c r="F2401" t="s"/>
      <c r="G2401" t="s"/>
      <c r="H2401" t="s"/>
      <c r="I2401" t="s"/>
      <c r="J2401" t="n">
        <v>-0.5423</v>
      </c>
      <c r="K2401" t="n">
        <v>0.143</v>
      </c>
      <c r="L2401" t="n">
        <v>0.857</v>
      </c>
      <c r="M2401" t="n">
        <v>0</v>
      </c>
    </row>
    <row r="2402" spans="1:13">
      <c r="A2402" s="1">
        <f>HYPERLINK("http://www.twitter.com/NathanBLawrence/status/796084609234731012", "796084609234731012")</f>
        <v/>
      </c>
      <c r="B2402" s="2" t="n">
        <v>42682.84648148148</v>
      </c>
      <c r="C2402" t="n">
        <v>0</v>
      </c>
      <c r="D2402" t="n">
        <v>388</v>
      </c>
      <c r="E2402" t="s">
        <v>2407</v>
      </c>
      <c r="F2402" t="s"/>
      <c r="G2402" t="s"/>
      <c r="H2402" t="s"/>
      <c r="I2402" t="s"/>
      <c r="J2402" t="n">
        <v>0</v>
      </c>
      <c r="K2402" t="n">
        <v>0</v>
      </c>
      <c r="L2402" t="n">
        <v>1</v>
      </c>
      <c r="M2402" t="n">
        <v>0</v>
      </c>
    </row>
    <row r="2403" spans="1:13">
      <c r="A2403" s="1">
        <f>HYPERLINK("http://www.twitter.com/NathanBLawrence/status/796084581657092096", "796084581657092096")</f>
        <v/>
      </c>
      <c r="B2403" s="2" t="n">
        <v>42682.84640046296</v>
      </c>
      <c r="C2403" t="n">
        <v>0</v>
      </c>
      <c r="D2403" t="n">
        <v>3014</v>
      </c>
      <c r="E2403" t="s">
        <v>2408</v>
      </c>
      <c r="F2403" t="s"/>
      <c r="G2403" t="s"/>
      <c r="H2403" t="s"/>
      <c r="I2403" t="s"/>
      <c r="J2403" t="n">
        <v>0</v>
      </c>
      <c r="K2403" t="n">
        <v>0</v>
      </c>
      <c r="L2403" t="n">
        <v>1</v>
      </c>
      <c r="M2403" t="n">
        <v>0</v>
      </c>
    </row>
    <row r="2404" spans="1:13">
      <c r="A2404" s="1">
        <f>HYPERLINK("http://www.twitter.com/NathanBLawrence/status/796082279575678976", "796082279575678976")</f>
        <v/>
      </c>
      <c r="B2404" s="2" t="n">
        <v>42682.8400462963</v>
      </c>
      <c r="C2404" t="n">
        <v>0</v>
      </c>
      <c r="D2404" t="n">
        <v>123</v>
      </c>
      <c r="E2404" t="s">
        <v>2409</v>
      </c>
      <c r="F2404" t="s"/>
      <c r="G2404" t="s"/>
      <c r="H2404" t="s"/>
      <c r="I2404" t="s"/>
      <c r="J2404" t="n">
        <v>0</v>
      </c>
      <c r="K2404" t="n">
        <v>0</v>
      </c>
      <c r="L2404" t="n">
        <v>1</v>
      </c>
      <c r="M2404" t="n">
        <v>0</v>
      </c>
    </row>
    <row r="2405" spans="1:13">
      <c r="A2405" s="1">
        <f>HYPERLINK("http://www.twitter.com/NathanBLawrence/status/796073781986992128", "796073781986992128")</f>
        <v/>
      </c>
      <c r="B2405" s="2" t="n">
        <v>42682.81659722222</v>
      </c>
      <c r="C2405" t="n">
        <v>0</v>
      </c>
      <c r="D2405" t="n">
        <v>749</v>
      </c>
      <c r="E2405" t="s">
        <v>2410</v>
      </c>
      <c r="F2405" t="s"/>
      <c r="G2405" t="s"/>
      <c r="H2405" t="s"/>
      <c r="I2405" t="s"/>
      <c r="J2405" t="n">
        <v>0.5574</v>
      </c>
      <c r="K2405" t="n">
        <v>0</v>
      </c>
      <c r="L2405" t="n">
        <v>0.777</v>
      </c>
      <c r="M2405" t="n">
        <v>0.223</v>
      </c>
    </row>
    <row r="2406" spans="1:13">
      <c r="A2406" s="1">
        <f>HYPERLINK("http://www.twitter.com/NathanBLawrence/status/796066304318914560", "796066304318914560")</f>
        <v/>
      </c>
      <c r="B2406" s="2" t="n">
        <v>42682.79596064815</v>
      </c>
      <c r="C2406" t="n">
        <v>0</v>
      </c>
      <c r="D2406" t="n">
        <v>935</v>
      </c>
      <c r="E2406" t="s">
        <v>2411</v>
      </c>
      <c r="F2406" t="s"/>
      <c r="G2406" t="s"/>
      <c r="H2406" t="s"/>
      <c r="I2406" t="s"/>
      <c r="J2406" t="n">
        <v>-0.7003</v>
      </c>
      <c r="K2406" t="n">
        <v>0.367</v>
      </c>
      <c r="L2406" t="n">
        <v>0.633</v>
      </c>
      <c r="M2406" t="n">
        <v>0</v>
      </c>
    </row>
    <row r="2407" spans="1:13">
      <c r="A2407" s="1">
        <f>HYPERLINK("http://www.twitter.com/NathanBLawrence/status/796065568365412352", "796065568365412352")</f>
        <v/>
      </c>
      <c r="B2407" s="2" t="n">
        <v>42682.79393518518</v>
      </c>
      <c r="C2407" t="n">
        <v>0</v>
      </c>
      <c r="D2407" t="n">
        <v>621</v>
      </c>
      <c r="E2407" t="s">
        <v>2412</v>
      </c>
      <c r="F2407">
        <f>HYPERLINK("http://pbs.twimg.com/media/CwwPQs0W8AM4WJH.jpg", "http://pbs.twimg.com/media/CwwPQs0W8AM4WJH.jpg")</f>
        <v/>
      </c>
      <c r="G2407" t="s"/>
      <c r="H2407" t="s"/>
      <c r="I2407" t="s"/>
      <c r="J2407" t="n">
        <v>0</v>
      </c>
      <c r="K2407" t="n">
        <v>0</v>
      </c>
      <c r="L2407" t="n">
        <v>1</v>
      </c>
      <c r="M2407" t="n">
        <v>0</v>
      </c>
    </row>
    <row r="2408" spans="1:13">
      <c r="A2408" s="1">
        <f>HYPERLINK("http://www.twitter.com/NathanBLawrence/status/796065376748666884", "796065376748666884")</f>
        <v/>
      </c>
      <c r="B2408" s="2" t="n">
        <v>42682.79340277778</v>
      </c>
      <c r="C2408" t="n">
        <v>0</v>
      </c>
      <c r="D2408" t="n">
        <v>106</v>
      </c>
      <c r="E2408" t="s">
        <v>2413</v>
      </c>
      <c r="F2408">
        <f>HYPERLINK("http://pbs.twimg.com/media/CwwsrypUAAA2liB.jpg", "http://pbs.twimg.com/media/CwwsrypUAAA2liB.jpg")</f>
        <v/>
      </c>
      <c r="G2408" t="s"/>
      <c r="H2408" t="s"/>
      <c r="I2408" t="s"/>
      <c r="J2408" t="n">
        <v>0</v>
      </c>
      <c r="K2408" t="n">
        <v>0</v>
      </c>
      <c r="L2408" t="n">
        <v>1</v>
      </c>
      <c r="M2408" t="n">
        <v>0</v>
      </c>
    </row>
    <row r="2409" spans="1:13">
      <c r="A2409" s="1">
        <f>HYPERLINK("http://www.twitter.com/NathanBLawrence/status/796060533585801217", "796060533585801217")</f>
        <v/>
      </c>
      <c r="B2409" s="2" t="n">
        <v>42682.78003472222</v>
      </c>
      <c r="C2409" t="n">
        <v>0</v>
      </c>
      <c r="D2409" t="n">
        <v>2766</v>
      </c>
      <c r="E2409" t="s">
        <v>2414</v>
      </c>
      <c r="F2409" t="s"/>
      <c r="G2409" t="s"/>
      <c r="H2409" t="s"/>
      <c r="I2409" t="s"/>
      <c r="J2409" t="n">
        <v>-0.5266999999999999</v>
      </c>
      <c r="K2409" t="n">
        <v>0.167</v>
      </c>
      <c r="L2409" t="n">
        <v>0.833</v>
      </c>
      <c r="M2409" t="n">
        <v>0</v>
      </c>
    </row>
    <row r="2410" spans="1:13">
      <c r="A2410" s="1">
        <f>HYPERLINK("http://www.twitter.com/NathanBLawrence/status/796060279956185093", "796060279956185093")</f>
        <v/>
      </c>
      <c r="B2410" s="2" t="n">
        <v>42682.77934027778</v>
      </c>
      <c r="C2410" t="n">
        <v>0</v>
      </c>
      <c r="D2410" t="n">
        <v>1100</v>
      </c>
      <c r="E2410" t="s">
        <v>2415</v>
      </c>
      <c r="F2410" t="s"/>
      <c r="G2410" t="s"/>
      <c r="H2410" t="s"/>
      <c r="I2410" t="s"/>
      <c r="J2410" t="n">
        <v>0</v>
      </c>
      <c r="K2410" t="n">
        <v>0</v>
      </c>
      <c r="L2410" t="n">
        <v>1</v>
      </c>
      <c r="M2410" t="n">
        <v>0</v>
      </c>
    </row>
    <row r="2411" spans="1:13">
      <c r="A2411" s="1">
        <f>HYPERLINK("http://www.twitter.com/NathanBLawrence/status/796059979757273088", "796059979757273088")</f>
        <v/>
      </c>
      <c r="B2411" s="2" t="n">
        <v>42682.77850694444</v>
      </c>
      <c r="C2411" t="n">
        <v>0</v>
      </c>
      <c r="D2411" t="n">
        <v>616</v>
      </c>
      <c r="E2411" t="s">
        <v>2416</v>
      </c>
      <c r="F2411">
        <f>HYPERLINK("http://pbs.twimg.com/media/CwwodWlWgAAg0n_.jpg", "http://pbs.twimg.com/media/CwwodWlWgAAg0n_.jpg")</f>
        <v/>
      </c>
      <c r="G2411" t="s"/>
      <c r="H2411" t="s"/>
      <c r="I2411" t="s"/>
      <c r="J2411" t="n">
        <v>0</v>
      </c>
      <c r="K2411" t="n">
        <v>0</v>
      </c>
      <c r="L2411" t="n">
        <v>1</v>
      </c>
      <c r="M2411" t="n">
        <v>0</v>
      </c>
    </row>
    <row r="2412" spans="1:13">
      <c r="A2412" s="1">
        <f>HYPERLINK("http://www.twitter.com/NathanBLawrence/status/796059928247017472", "796059928247017472")</f>
        <v/>
      </c>
      <c r="B2412" s="2" t="n">
        <v>42682.77836805556</v>
      </c>
      <c r="C2412" t="n">
        <v>0</v>
      </c>
      <c r="D2412" t="n">
        <v>434</v>
      </c>
      <c r="E2412" t="s">
        <v>2417</v>
      </c>
      <c r="F2412" t="s"/>
      <c r="G2412" t="s"/>
      <c r="H2412" t="s"/>
      <c r="I2412" t="s"/>
      <c r="J2412" t="n">
        <v>0.4019</v>
      </c>
      <c r="K2412" t="n">
        <v>0</v>
      </c>
      <c r="L2412" t="n">
        <v>0.891</v>
      </c>
      <c r="M2412" t="n">
        <v>0.109</v>
      </c>
    </row>
    <row r="2413" spans="1:13">
      <c r="A2413" s="1">
        <f>HYPERLINK("http://www.twitter.com/NathanBLawrence/status/796059562612822016", "796059562612822016")</f>
        <v/>
      </c>
      <c r="B2413" s="2" t="n">
        <v>42682.77736111111</v>
      </c>
      <c r="C2413" t="n">
        <v>0</v>
      </c>
      <c r="D2413" t="n">
        <v>1148</v>
      </c>
      <c r="E2413" t="s">
        <v>2418</v>
      </c>
      <c r="F2413" t="s"/>
      <c r="G2413" t="s"/>
      <c r="H2413" t="s"/>
      <c r="I2413" t="s"/>
      <c r="J2413" t="n">
        <v>0</v>
      </c>
      <c r="K2413" t="n">
        <v>0</v>
      </c>
      <c r="L2413" t="n">
        <v>1</v>
      </c>
      <c r="M2413" t="n">
        <v>0</v>
      </c>
    </row>
    <row r="2414" spans="1:13">
      <c r="A2414" s="1">
        <f>HYPERLINK("http://www.twitter.com/NathanBLawrence/status/796057742867841024", "796057742867841024")</f>
        <v/>
      </c>
      <c r="B2414" s="2" t="n">
        <v>42682.77233796296</v>
      </c>
      <c r="C2414" t="n">
        <v>0</v>
      </c>
      <c r="D2414" t="n">
        <v>8455</v>
      </c>
      <c r="E2414" t="s">
        <v>2419</v>
      </c>
      <c r="F2414" t="s"/>
      <c r="G2414" t="s"/>
      <c r="H2414" t="s"/>
      <c r="I2414" t="s"/>
      <c r="J2414" t="n">
        <v>0.25</v>
      </c>
      <c r="K2414" t="n">
        <v>0</v>
      </c>
      <c r="L2414" t="n">
        <v>0.9</v>
      </c>
      <c r="M2414" t="n">
        <v>0.1</v>
      </c>
    </row>
    <row r="2415" spans="1:13">
      <c r="A2415" s="1">
        <f>HYPERLINK("http://www.twitter.com/NathanBLawrence/status/796055886405976065", "796055886405976065")</f>
        <v/>
      </c>
      <c r="B2415" s="2" t="n">
        <v>42682.76721064815</v>
      </c>
      <c r="C2415" t="n">
        <v>0</v>
      </c>
      <c r="D2415" t="n">
        <v>846</v>
      </c>
      <c r="E2415" t="s">
        <v>2420</v>
      </c>
      <c r="F2415" t="s"/>
      <c r="G2415" t="s"/>
      <c r="H2415" t="s"/>
      <c r="I2415" t="s"/>
      <c r="J2415" t="n">
        <v>0.8502999999999999</v>
      </c>
      <c r="K2415" t="n">
        <v>0</v>
      </c>
      <c r="L2415" t="n">
        <v>0.673</v>
      </c>
      <c r="M2415" t="n">
        <v>0.327</v>
      </c>
    </row>
    <row r="2416" spans="1:13">
      <c r="A2416" s="1">
        <f>HYPERLINK("http://www.twitter.com/NathanBLawrence/status/796053748216987648", "796053748216987648")</f>
        <v/>
      </c>
      <c r="B2416" s="2" t="n">
        <v>42682.76131944444</v>
      </c>
      <c r="C2416" t="n">
        <v>0</v>
      </c>
      <c r="D2416" t="n">
        <v>587</v>
      </c>
      <c r="E2416" t="s">
        <v>2421</v>
      </c>
      <c r="F2416">
        <f>HYPERLINK("http://pbs.twimg.com/media/CwtG6E4XAAAH7w7.jpg", "http://pbs.twimg.com/media/CwtG6E4XAAAH7w7.jpg")</f>
        <v/>
      </c>
      <c r="G2416" t="s"/>
      <c r="H2416" t="s"/>
      <c r="I2416" t="s"/>
      <c r="J2416" t="n">
        <v>0</v>
      </c>
      <c r="K2416" t="n">
        <v>0</v>
      </c>
      <c r="L2416" t="n">
        <v>1</v>
      </c>
      <c r="M2416" t="n">
        <v>0</v>
      </c>
    </row>
    <row r="2417" spans="1:13">
      <c r="A2417" s="1">
        <f>HYPERLINK("http://www.twitter.com/NathanBLawrence/status/796051918548242433", "796051918548242433")</f>
        <v/>
      </c>
      <c r="B2417" s="2" t="n">
        <v>42682.75626157408</v>
      </c>
      <c r="C2417" t="n">
        <v>0</v>
      </c>
      <c r="D2417" t="n">
        <v>1050</v>
      </c>
      <c r="E2417" t="s">
        <v>2422</v>
      </c>
      <c r="F2417" t="s"/>
      <c r="G2417" t="s"/>
      <c r="H2417" t="s"/>
      <c r="I2417" t="s"/>
      <c r="J2417" t="n">
        <v>-0.3818</v>
      </c>
      <c r="K2417" t="n">
        <v>0.157</v>
      </c>
      <c r="L2417" t="n">
        <v>0.843</v>
      </c>
      <c r="M2417" t="n">
        <v>0</v>
      </c>
    </row>
    <row r="2418" spans="1:13">
      <c r="A2418" s="1">
        <f>HYPERLINK("http://www.twitter.com/NathanBLawrence/status/796051861593800705", "796051861593800705")</f>
        <v/>
      </c>
      <c r="B2418" s="2" t="n">
        <v>42682.75611111111</v>
      </c>
      <c r="C2418" t="n">
        <v>0</v>
      </c>
      <c r="D2418" t="n">
        <v>2109</v>
      </c>
      <c r="E2418" t="s">
        <v>2423</v>
      </c>
      <c r="F2418" t="s"/>
      <c r="G2418" t="s"/>
      <c r="H2418" t="s"/>
      <c r="I2418" t="s"/>
      <c r="J2418" t="n">
        <v>0</v>
      </c>
      <c r="K2418" t="n">
        <v>0</v>
      </c>
      <c r="L2418" t="n">
        <v>1</v>
      </c>
      <c r="M2418" t="n">
        <v>0</v>
      </c>
    </row>
    <row r="2419" spans="1:13">
      <c r="A2419" s="1">
        <f>HYPERLINK("http://www.twitter.com/NathanBLawrence/status/796051431681884161", "796051431681884161")</f>
        <v/>
      </c>
      <c r="B2419" s="2" t="n">
        <v>42682.75491898148</v>
      </c>
      <c r="C2419" t="n">
        <v>0</v>
      </c>
      <c r="D2419" t="n">
        <v>12559</v>
      </c>
      <c r="E2419" t="s">
        <v>2424</v>
      </c>
      <c r="F2419">
        <f>HYPERLINK("https://video.twimg.com/ext_tw_video/796043796618379264/pu/vid/360x640/QuWP-GtZ9egTZvjc.mp4", "https://video.twimg.com/ext_tw_video/796043796618379264/pu/vid/360x640/QuWP-GtZ9egTZvjc.mp4")</f>
        <v/>
      </c>
      <c r="G2419" t="s"/>
      <c r="H2419" t="s"/>
      <c r="I2419" t="s"/>
      <c r="J2419" t="n">
        <v>-0.0258</v>
      </c>
      <c r="K2419" t="n">
        <v>0.184</v>
      </c>
      <c r="L2419" t="n">
        <v>0.594</v>
      </c>
      <c r="M2419" t="n">
        <v>0.222</v>
      </c>
    </row>
    <row r="2420" spans="1:13">
      <c r="A2420" s="1">
        <f>HYPERLINK("http://www.twitter.com/NathanBLawrence/status/796051034158366720", "796051034158366720")</f>
        <v/>
      </c>
      <c r="B2420" s="2" t="n">
        <v>42682.75383101852</v>
      </c>
      <c r="C2420" t="n">
        <v>0</v>
      </c>
      <c r="D2420" t="n">
        <v>22403</v>
      </c>
      <c r="E2420" t="s">
        <v>2425</v>
      </c>
      <c r="F2420">
        <f>HYPERLINK("https://video.twimg.com/ext_tw_video/796050095955386369/pu/vid/640x360/cOARc4Vf3jRvc6bR.mp4", "https://video.twimg.com/ext_tw_video/796050095955386369/pu/vid/640x360/cOARc4Vf3jRvc6bR.mp4")</f>
        <v/>
      </c>
      <c r="G2420" t="s"/>
      <c r="H2420" t="s"/>
      <c r="I2420" t="s"/>
      <c r="J2420" t="n">
        <v>0</v>
      </c>
      <c r="K2420" t="n">
        <v>0</v>
      </c>
      <c r="L2420" t="n">
        <v>1</v>
      </c>
      <c r="M2420" t="n">
        <v>0</v>
      </c>
    </row>
    <row r="2421" spans="1:13">
      <c r="A2421" s="1">
        <f>HYPERLINK("http://www.twitter.com/NathanBLawrence/status/796050562265608192", "796050562265608192")</f>
        <v/>
      </c>
      <c r="B2421" s="2" t="n">
        <v>42682.75252314815</v>
      </c>
      <c r="C2421" t="n">
        <v>0</v>
      </c>
      <c r="D2421" t="n">
        <v>1143</v>
      </c>
      <c r="E2421" t="s">
        <v>2426</v>
      </c>
      <c r="F2421">
        <f>HYPERLINK("http://pbs.twimg.com/media/CwwjmFpWEAA7ErH.jpg", "http://pbs.twimg.com/media/CwwjmFpWEAA7ErH.jpg")</f>
        <v/>
      </c>
      <c r="G2421" t="s"/>
      <c r="H2421" t="s"/>
      <c r="I2421" t="s"/>
      <c r="J2421" t="n">
        <v>0</v>
      </c>
      <c r="K2421" t="n">
        <v>0</v>
      </c>
      <c r="L2421" t="n">
        <v>1</v>
      </c>
      <c r="M2421" t="n">
        <v>0</v>
      </c>
    </row>
    <row r="2422" spans="1:13">
      <c r="A2422" s="1">
        <f>HYPERLINK("http://www.twitter.com/NathanBLawrence/status/796050341125099521", "796050341125099521")</f>
        <v/>
      </c>
      <c r="B2422" s="2" t="n">
        <v>42682.75190972222</v>
      </c>
      <c r="C2422" t="n">
        <v>0</v>
      </c>
      <c r="D2422" t="n">
        <v>550</v>
      </c>
      <c r="E2422" t="s">
        <v>2427</v>
      </c>
      <c r="F2422" t="s"/>
      <c r="G2422" t="s"/>
      <c r="H2422" t="s"/>
      <c r="I2422" t="s"/>
      <c r="J2422" t="n">
        <v>-0.5859</v>
      </c>
      <c r="K2422" t="n">
        <v>0.192</v>
      </c>
      <c r="L2422" t="n">
        <v>0.8080000000000001</v>
      </c>
      <c r="M2422" t="n">
        <v>0</v>
      </c>
    </row>
    <row r="2423" spans="1:13">
      <c r="A2423" s="1">
        <f>HYPERLINK("http://www.twitter.com/NathanBLawrence/status/796050038178938880", "796050038178938880")</f>
        <v/>
      </c>
      <c r="B2423" s="2" t="n">
        <v>42682.75107638889</v>
      </c>
      <c r="C2423" t="n">
        <v>2</v>
      </c>
      <c r="D2423" t="n">
        <v>0</v>
      </c>
      <c r="E2423" t="s">
        <v>2428</v>
      </c>
      <c r="F2423" t="s"/>
      <c r="G2423" t="s"/>
      <c r="H2423" t="s"/>
      <c r="I2423" t="s"/>
      <c r="J2423" t="n">
        <v>0</v>
      </c>
      <c r="K2423" t="n">
        <v>0</v>
      </c>
      <c r="L2423" t="n">
        <v>1</v>
      </c>
      <c r="M2423" t="n">
        <v>0</v>
      </c>
    </row>
    <row r="2424" spans="1:13">
      <c r="A2424" s="1">
        <f>HYPERLINK("http://www.twitter.com/NathanBLawrence/status/796046973237428229", "796046973237428229")</f>
        <v/>
      </c>
      <c r="B2424" s="2" t="n">
        <v>42682.74261574074</v>
      </c>
      <c r="C2424" t="n">
        <v>0</v>
      </c>
      <c r="D2424" t="n">
        <v>9460</v>
      </c>
      <c r="E2424" t="s">
        <v>2429</v>
      </c>
      <c r="F2424">
        <f>HYPERLINK("https://video.twimg.com/ext_tw_video/796042362921320448/pu/vid/1280x720/D0mVPomuCJOcvCP_.mp4", "https://video.twimg.com/ext_tw_video/796042362921320448/pu/vid/1280x720/D0mVPomuCJOcvCP_.mp4")</f>
        <v/>
      </c>
      <c r="G2424" t="s"/>
      <c r="H2424" t="s"/>
      <c r="I2424" t="s"/>
      <c r="J2424" t="n">
        <v>0</v>
      </c>
      <c r="K2424" t="n">
        <v>0</v>
      </c>
      <c r="L2424" t="n">
        <v>1</v>
      </c>
      <c r="M2424" t="n">
        <v>0</v>
      </c>
    </row>
    <row r="2425" spans="1:13">
      <c r="A2425" s="1">
        <f>HYPERLINK("http://www.twitter.com/NathanBLawrence/status/796046054462459904", "796046054462459904")</f>
        <v/>
      </c>
      <c r="B2425" s="2" t="n">
        <v>42682.74008101852</v>
      </c>
      <c r="C2425" t="n">
        <v>0</v>
      </c>
      <c r="D2425" t="n">
        <v>639</v>
      </c>
      <c r="E2425" t="s">
        <v>2430</v>
      </c>
      <c r="F2425">
        <f>HYPERLINK("https://video.twimg.com/amplify_video/796041897974214658/vid/1280x720/4aoP6954lUraLEpL.mp4", "https://video.twimg.com/amplify_video/796041897974214658/vid/1280x720/4aoP6954lUraLEpL.mp4")</f>
        <v/>
      </c>
      <c r="G2425" t="s"/>
      <c r="H2425" t="s"/>
      <c r="I2425" t="s"/>
      <c r="J2425" t="n">
        <v>0.1027</v>
      </c>
      <c r="K2425" t="n">
        <v>0.092</v>
      </c>
      <c r="L2425" t="n">
        <v>0.802</v>
      </c>
      <c r="M2425" t="n">
        <v>0.107</v>
      </c>
    </row>
    <row r="2426" spans="1:13">
      <c r="A2426" s="1">
        <f>HYPERLINK("http://www.twitter.com/NathanBLawrence/status/796043873558601728", "796043873558601728")</f>
        <v/>
      </c>
      <c r="B2426" s="2" t="n">
        <v>42682.7340625</v>
      </c>
      <c r="C2426" t="n">
        <v>0</v>
      </c>
      <c r="D2426" t="n">
        <v>11301</v>
      </c>
      <c r="E2426" t="s">
        <v>2431</v>
      </c>
      <c r="F2426" t="s"/>
      <c r="G2426" t="s"/>
      <c r="H2426" t="s"/>
      <c r="I2426" t="s"/>
      <c r="J2426" t="n">
        <v>0.4404</v>
      </c>
      <c r="K2426" t="n">
        <v>0</v>
      </c>
      <c r="L2426" t="n">
        <v>0.775</v>
      </c>
      <c r="M2426" t="n">
        <v>0.225</v>
      </c>
    </row>
    <row r="2427" spans="1:13">
      <c r="A2427" s="1">
        <f>HYPERLINK("http://www.twitter.com/NathanBLawrence/status/796041787005698048", "796041787005698048")</f>
        <v/>
      </c>
      <c r="B2427" s="2" t="n">
        <v>42682.72831018519</v>
      </c>
      <c r="C2427" t="n">
        <v>0</v>
      </c>
      <c r="D2427" t="n">
        <v>950</v>
      </c>
      <c r="E2427" t="s">
        <v>2432</v>
      </c>
      <c r="F2427" t="s"/>
      <c r="G2427" t="s"/>
      <c r="H2427" t="s"/>
      <c r="I2427" t="s"/>
      <c r="J2427" t="n">
        <v>-0.6239</v>
      </c>
      <c r="K2427" t="n">
        <v>0.226</v>
      </c>
      <c r="L2427" t="n">
        <v>0.774</v>
      </c>
      <c r="M2427" t="n">
        <v>0</v>
      </c>
    </row>
    <row r="2428" spans="1:13">
      <c r="A2428" s="1">
        <f>HYPERLINK("http://www.twitter.com/NathanBLawrence/status/796024603068002304", "796024603068002304")</f>
        <v/>
      </c>
      <c r="B2428" s="2" t="n">
        <v>42682.6808912037</v>
      </c>
      <c r="C2428" t="n">
        <v>0</v>
      </c>
      <c r="D2428" t="n">
        <v>16</v>
      </c>
      <c r="E2428" t="s">
        <v>2433</v>
      </c>
      <c r="F2428">
        <f>HYPERLINK("http://pbs.twimg.com/media/CwwGREFXAAADxJV.jpg", "http://pbs.twimg.com/media/CwwGREFXAAADxJV.jpg")</f>
        <v/>
      </c>
      <c r="G2428" t="s"/>
      <c r="H2428" t="s"/>
      <c r="I2428" t="s"/>
      <c r="J2428" t="n">
        <v>-0.1027</v>
      </c>
      <c r="K2428" t="n">
        <v>0.198</v>
      </c>
      <c r="L2428" t="n">
        <v>0.635</v>
      </c>
      <c r="M2428" t="n">
        <v>0.167</v>
      </c>
    </row>
    <row r="2429" spans="1:13">
      <c r="A2429" s="1">
        <f>HYPERLINK("http://www.twitter.com/NathanBLawrence/status/796024205154385921", "796024205154385921")</f>
        <v/>
      </c>
      <c r="B2429" s="2" t="n">
        <v>42682.67979166667</v>
      </c>
      <c r="C2429" t="n">
        <v>0</v>
      </c>
      <c r="D2429" t="n">
        <v>71</v>
      </c>
      <c r="E2429" t="s">
        <v>2434</v>
      </c>
      <c r="F2429">
        <f>HYPERLINK("http://pbs.twimg.com/media/CwwGLN-XcAAiAOt.jpg", "http://pbs.twimg.com/media/CwwGLN-XcAAiAOt.jpg")</f>
        <v/>
      </c>
      <c r="G2429">
        <f>HYPERLINK("http://pbs.twimg.com/media/CwwGNKtWIAE-r6r.jpg", "http://pbs.twimg.com/media/CwwGNKtWIAE-r6r.jpg")</f>
        <v/>
      </c>
      <c r="H2429">
        <f>HYPERLINK("http://pbs.twimg.com/media/CwwGPdlWgAA5spk.jpg", "http://pbs.twimg.com/media/CwwGPdlWgAA5spk.jpg")</f>
        <v/>
      </c>
      <c r="I2429">
        <f>HYPERLINK("http://pbs.twimg.com/media/CwwGR3eWIAAguaD.jpg", "http://pbs.twimg.com/media/CwwGR3eWIAAguaD.jpg")</f>
        <v/>
      </c>
      <c r="J2429" t="n">
        <v>0</v>
      </c>
      <c r="K2429" t="n">
        <v>0</v>
      </c>
      <c r="L2429" t="n">
        <v>1</v>
      </c>
      <c r="M2429" t="n">
        <v>0</v>
      </c>
    </row>
    <row r="2430" spans="1:13">
      <c r="A2430" s="1">
        <f>HYPERLINK("http://www.twitter.com/NathanBLawrence/status/796024093774643200", "796024093774643200")</f>
        <v/>
      </c>
      <c r="B2430" s="2" t="n">
        <v>42682.67949074074</v>
      </c>
      <c r="C2430" t="n">
        <v>0</v>
      </c>
      <c r="D2430" t="n">
        <v>90</v>
      </c>
      <c r="E2430" t="s">
        <v>2435</v>
      </c>
      <c r="F2430" t="s"/>
      <c r="G2430" t="s"/>
      <c r="H2430" t="s"/>
      <c r="I2430" t="s"/>
      <c r="J2430" t="n">
        <v>0.5994</v>
      </c>
      <c r="K2430" t="n">
        <v>0</v>
      </c>
      <c r="L2430" t="n">
        <v>0.741</v>
      </c>
      <c r="M2430" t="n">
        <v>0.259</v>
      </c>
    </row>
    <row r="2431" spans="1:13">
      <c r="A2431" s="1">
        <f>HYPERLINK("http://www.twitter.com/NathanBLawrence/status/796023672293232641", "796023672293232641")</f>
        <v/>
      </c>
      <c r="B2431" s="2" t="n">
        <v>42682.67832175926</v>
      </c>
      <c r="C2431" t="n">
        <v>0</v>
      </c>
      <c r="D2431" t="n">
        <v>420</v>
      </c>
      <c r="E2431" t="s">
        <v>2436</v>
      </c>
      <c r="F2431">
        <f>HYPERLINK("http://pbs.twimg.com/media/CwwHTiNUQAA8CyH.jpg", "http://pbs.twimg.com/media/CwwHTiNUQAA8CyH.jpg")</f>
        <v/>
      </c>
      <c r="G2431" t="s"/>
      <c r="H2431" t="s"/>
      <c r="I2431" t="s"/>
      <c r="J2431" t="n">
        <v>0.4847</v>
      </c>
      <c r="K2431" t="n">
        <v>0</v>
      </c>
      <c r="L2431" t="n">
        <v>0.864</v>
      </c>
      <c r="M2431" t="n">
        <v>0.136</v>
      </c>
    </row>
    <row r="2432" spans="1:13">
      <c r="A2432" s="1">
        <f>HYPERLINK("http://www.twitter.com/NathanBLawrence/status/796019291246252032", "796019291246252032")</f>
        <v/>
      </c>
      <c r="B2432" s="2" t="n">
        <v>42682.66623842593</v>
      </c>
      <c r="C2432" t="n">
        <v>0</v>
      </c>
      <c r="D2432" t="n">
        <v>10900</v>
      </c>
      <c r="E2432" t="s">
        <v>2437</v>
      </c>
      <c r="F2432">
        <f>HYPERLINK("http://pbs.twimg.com/media/CwwE4Z4XEAA1jTv.jpg", "http://pbs.twimg.com/media/CwwE4Z4XEAA1jTv.jpg")</f>
        <v/>
      </c>
      <c r="G2432" t="s"/>
      <c r="H2432" t="s"/>
      <c r="I2432" t="s"/>
      <c r="J2432" t="n">
        <v>0</v>
      </c>
      <c r="K2432" t="n">
        <v>0</v>
      </c>
      <c r="L2432" t="n">
        <v>1</v>
      </c>
      <c r="M2432" t="n">
        <v>0</v>
      </c>
    </row>
    <row r="2433" spans="1:13">
      <c r="A2433" s="1">
        <f>HYPERLINK("http://www.twitter.com/NathanBLawrence/status/796014762182189056", "796014762182189056")</f>
        <v/>
      </c>
      <c r="B2433" s="2" t="n">
        <v>42682.65373842593</v>
      </c>
      <c r="C2433" t="n">
        <v>0</v>
      </c>
      <c r="D2433" t="n">
        <v>273</v>
      </c>
      <c r="E2433" t="s">
        <v>2438</v>
      </c>
      <c r="F2433" t="s"/>
      <c r="G2433" t="s"/>
      <c r="H2433" t="s"/>
      <c r="I2433" t="s"/>
      <c r="J2433" t="n">
        <v>0.5994</v>
      </c>
      <c r="K2433" t="n">
        <v>0</v>
      </c>
      <c r="L2433" t="n">
        <v>0.588</v>
      </c>
      <c r="M2433" t="n">
        <v>0.412</v>
      </c>
    </row>
    <row r="2434" spans="1:13">
      <c r="A2434" s="1">
        <f>HYPERLINK("http://www.twitter.com/NathanBLawrence/status/796014741860786177", "796014741860786177")</f>
        <v/>
      </c>
      <c r="B2434" s="2" t="n">
        <v>42682.65368055556</v>
      </c>
      <c r="C2434" t="n">
        <v>0</v>
      </c>
      <c r="D2434" t="n">
        <v>443</v>
      </c>
      <c r="E2434" t="s">
        <v>2439</v>
      </c>
      <c r="F2434" t="s"/>
      <c r="G2434" t="s"/>
      <c r="H2434" t="s"/>
      <c r="I2434" t="s"/>
      <c r="J2434" t="n">
        <v>0.7003</v>
      </c>
      <c r="K2434" t="n">
        <v>0.078</v>
      </c>
      <c r="L2434" t="n">
        <v>0.638</v>
      </c>
      <c r="M2434" t="n">
        <v>0.284</v>
      </c>
    </row>
    <row r="2435" spans="1:13">
      <c r="A2435" s="1">
        <f>HYPERLINK("http://www.twitter.com/NathanBLawrence/status/796014294748065792", "796014294748065792")</f>
        <v/>
      </c>
      <c r="B2435" s="2" t="n">
        <v>42682.65244212963</v>
      </c>
      <c r="C2435" t="n">
        <v>0</v>
      </c>
      <c r="D2435" t="n">
        <v>776</v>
      </c>
      <c r="E2435" t="s">
        <v>2440</v>
      </c>
      <c r="F2435" t="s"/>
      <c r="G2435" t="s"/>
      <c r="H2435" t="s"/>
      <c r="I2435" t="s"/>
      <c r="J2435" t="n">
        <v>0.5266999999999999</v>
      </c>
      <c r="K2435" t="n">
        <v>0</v>
      </c>
      <c r="L2435" t="n">
        <v>0.833</v>
      </c>
      <c r="M2435" t="n">
        <v>0.167</v>
      </c>
    </row>
    <row r="2436" spans="1:13">
      <c r="A2436" s="1">
        <f>HYPERLINK("http://www.twitter.com/NathanBLawrence/status/796014238858887170", "796014238858887170")</f>
        <v/>
      </c>
      <c r="B2436" s="2" t="n">
        <v>42682.65229166667</v>
      </c>
      <c r="C2436" t="n">
        <v>0</v>
      </c>
      <c r="D2436" t="n">
        <v>630</v>
      </c>
      <c r="E2436" t="s">
        <v>2441</v>
      </c>
      <c r="F2436" t="s"/>
      <c r="G2436" t="s"/>
      <c r="H2436" t="s"/>
      <c r="I2436" t="s"/>
      <c r="J2436" t="n">
        <v>0.1695</v>
      </c>
      <c r="K2436" t="n">
        <v>0</v>
      </c>
      <c r="L2436" t="n">
        <v>0.886</v>
      </c>
      <c r="M2436" t="n">
        <v>0.114</v>
      </c>
    </row>
    <row r="2437" spans="1:13">
      <c r="A2437" s="1">
        <f>HYPERLINK("http://www.twitter.com/NathanBLawrence/status/796014203085713409", "796014203085713409")</f>
        <v/>
      </c>
      <c r="B2437" s="2" t="n">
        <v>42682.6521875</v>
      </c>
      <c r="C2437" t="n">
        <v>0</v>
      </c>
      <c r="D2437" t="n">
        <v>2187</v>
      </c>
      <c r="E2437" t="s">
        <v>2442</v>
      </c>
      <c r="F2437" t="s"/>
      <c r="G2437" t="s"/>
      <c r="H2437" t="s"/>
      <c r="I2437" t="s"/>
      <c r="J2437" t="n">
        <v>-0.0726</v>
      </c>
      <c r="K2437" t="n">
        <v>0.171</v>
      </c>
      <c r="L2437" t="n">
        <v>0.632</v>
      </c>
      <c r="M2437" t="n">
        <v>0.198</v>
      </c>
    </row>
    <row r="2438" spans="1:13">
      <c r="A2438" s="1">
        <f>HYPERLINK("http://www.twitter.com/NathanBLawrence/status/796014011317972996", "796014011317972996")</f>
        <v/>
      </c>
      <c r="B2438" s="2" t="n">
        <v>42682.65166666666</v>
      </c>
      <c r="C2438" t="n">
        <v>0</v>
      </c>
      <c r="D2438" t="n">
        <v>3968</v>
      </c>
      <c r="E2438" t="s">
        <v>2443</v>
      </c>
      <c r="F2438" t="s"/>
      <c r="G2438" t="s"/>
      <c r="H2438" t="s"/>
      <c r="I2438" t="s"/>
      <c r="J2438" t="n">
        <v>-0.5563</v>
      </c>
      <c r="K2438" t="n">
        <v>0.204</v>
      </c>
      <c r="L2438" t="n">
        <v>0.796</v>
      </c>
      <c r="M2438" t="n">
        <v>0</v>
      </c>
    </row>
    <row r="2439" spans="1:13">
      <c r="A2439" s="1">
        <f>HYPERLINK("http://www.twitter.com/NathanBLawrence/status/796013729938866176", "796013729938866176")</f>
        <v/>
      </c>
      <c r="B2439" s="2" t="n">
        <v>42682.6508912037</v>
      </c>
      <c r="C2439" t="n">
        <v>0</v>
      </c>
      <c r="D2439" t="n">
        <v>57</v>
      </c>
      <c r="E2439" t="s">
        <v>2444</v>
      </c>
      <c r="F2439">
        <f>HYPERLINK("http://pbs.twimg.com/media/CwsvD37XgAAM_TY.jpg", "http://pbs.twimg.com/media/CwsvD37XgAAM_TY.jpg")</f>
        <v/>
      </c>
      <c r="G2439" t="s"/>
      <c r="H2439" t="s"/>
      <c r="I2439" t="s"/>
      <c r="J2439" t="n">
        <v>-0.5461</v>
      </c>
      <c r="K2439" t="n">
        <v>0.144</v>
      </c>
      <c r="L2439" t="n">
        <v>0.856</v>
      </c>
      <c r="M2439" t="n">
        <v>0</v>
      </c>
    </row>
    <row r="2440" spans="1:13">
      <c r="A2440" s="1">
        <f>HYPERLINK("http://www.twitter.com/NathanBLawrence/status/796013398744043520", "796013398744043520")</f>
        <v/>
      </c>
      <c r="B2440" s="2" t="n">
        <v>42682.64997685186</v>
      </c>
      <c r="C2440" t="n">
        <v>0</v>
      </c>
      <c r="D2440" t="n">
        <v>2588</v>
      </c>
      <c r="E2440" t="s">
        <v>2445</v>
      </c>
      <c r="F2440" t="s"/>
      <c r="G2440" t="s"/>
      <c r="H2440" t="s"/>
      <c r="I2440" t="s"/>
      <c r="J2440" t="n">
        <v>-0.4404</v>
      </c>
      <c r="K2440" t="n">
        <v>0.182</v>
      </c>
      <c r="L2440" t="n">
        <v>0.8179999999999999</v>
      </c>
      <c r="M2440" t="n">
        <v>0</v>
      </c>
    </row>
    <row r="2441" spans="1:13">
      <c r="A2441" s="1">
        <f>HYPERLINK("http://www.twitter.com/NathanBLawrence/status/796012811226927104", "796012811226927104")</f>
        <v/>
      </c>
      <c r="B2441" s="2" t="n">
        <v>42682.64835648148</v>
      </c>
      <c r="C2441" t="n">
        <v>0</v>
      </c>
      <c r="D2441" t="n">
        <v>433</v>
      </c>
      <c r="E2441" t="s">
        <v>2446</v>
      </c>
      <c r="F2441">
        <f>HYPERLINK("http://pbs.twimg.com/media/Cwv8lFiXcAAyvyN.jpg", "http://pbs.twimg.com/media/Cwv8lFiXcAAyvyN.jpg")</f>
        <v/>
      </c>
      <c r="G2441" t="s"/>
      <c r="H2441" t="s"/>
      <c r="I2441" t="s"/>
      <c r="J2441" t="n">
        <v>0.4019</v>
      </c>
      <c r="K2441" t="n">
        <v>0</v>
      </c>
      <c r="L2441" t="n">
        <v>0.863</v>
      </c>
      <c r="M2441" t="n">
        <v>0.137</v>
      </c>
    </row>
    <row r="2442" spans="1:13">
      <c r="A2442" s="1">
        <f>HYPERLINK("http://www.twitter.com/NathanBLawrence/status/796012656557772800", "796012656557772800")</f>
        <v/>
      </c>
      <c r="B2442" s="2" t="n">
        <v>42682.64792824074</v>
      </c>
      <c r="C2442" t="n">
        <v>0</v>
      </c>
      <c r="D2442" t="n">
        <v>100</v>
      </c>
      <c r="E2442" t="s">
        <v>2447</v>
      </c>
      <c r="F2442" t="s"/>
      <c r="G2442" t="s"/>
      <c r="H2442" t="s"/>
      <c r="I2442" t="s"/>
      <c r="J2442" t="n">
        <v>0</v>
      </c>
      <c r="K2442" t="n">
        <v>0</v>
      </c>
      <c r="L2442" t="n">
        <v>1</v>
      </c>
      <c r="M2442" t="n">
        <v>0</v>
      </c>
    </row>
    <row r="2443" spans="1:13">
      <c r="A2443" s="1">
        <f>HYPERLINK("http://www.twitter.com/NathanBLawrence/status/796012446125277184", "796012446125277184")</f>
        <v/>
      </c>
      <c r="B2443" s="2" t="n">
        <v>42682.64734953704</v>
      </c>
      <c r="C2443" t="n">
        <v>0</v>
      </c>
      <c r="D2443" t="n">
        <v>2626</v>
      </c>
      <c r="E2443" t="s">
        <v>2448</v>
      </c>
      <c r="F2443" t="s"/>
      <c r="G2443" t="s"/>
      <c r="H2443" t="s"/>
      <c r="I2443" t="s"/>
      <c r="J2443" t="n">
        <v>0.5859</v>
      </c>
      <c r="K2443" t="n">
        <v>0</v>
      </c>
      <c r="L2443" t="n">
        <v>0.8169999999999999</v>
      </c>
      <c r="M2443" t="n">
        <v>0.183</v>
      </c>
    </row>
    <row r="2444" spans="1:13">
      <c r="A2444" s="1">
        <f>HYPERLINK("http://www.twitter.com/NathanBLawrence/status/796012348796440576", "796012348796440576")</f>
        <v/>
      </c>
      <c r="B2444" s="2" t="n">
        <v>42682.64707175926</v>
      </c>
      <c r="C2444" t="n">
        <v>0</v>
      </c>
      <c r="D2444" t="n">
        <v>38</v>
      </c>
      <c r="E2444" t="s">
        <v>2449</v>
      </c>
      <c r="F2444" t="s"/>
      <c r="G2444" t="s"/>
      <c r="H2444" t="s"/>
      <c r="I2444" t="s"/>
      <c r="J2444" t="n">
        <v>0.7835</v>
      </c>
      <c r="K2444" t="n">
        <v>0.07000000000000001</v>
      </c>
      <c r="L2444" t="n">
        <v>0.639</v>
      </c>
      <c r="M2444" t="n">
        <v>0.29</v>
      </c>
    </row>
    <row r="2445" spans="1:13">
      <c r="A2445" s="1">
        <f>HYPERLINK("http://www.twitter.com/NathanBLawrence/status/796012106302758913", "796012106302758913")</f>
        <v/>
      </c>
      <c r="B2445" s="2" t="n">
        <v>42682.64640046296</v>
      </c>
      <c r="C2445" t="n">
        <v>0</v>
      </c>
      <c r="D2445" t="n">
        <v>744</v>
      </c>
      <c r="E2445" t="s">
        <v>2450</v>
      </c>
      <c r="F2445">
        <f>HYPERLINK("http://pbs.twimg.com/media/Cwv9BVbUAAEhjiV.jpg", "http://pbs.twimg.com/media/Cwv9BVbUAAEhjiV.jpg")</f>
        <v/>
      </c>
      <c r="G2445" t="s"/>
      <c r="H2445" t="s"/>
      <c r="I2445" t="s"/>
      <c r="J2445" t="n">
        <v>0</v>
      </c>
      <c r="K2445" t="n">
        <v>0</v>
      </c>
      <c r="L2445" t="n">
        <v>1</v>
      </c>
      <c r="M2445" t="n">
        <v>0</v>
      </c>
    </row>
    <row r="2446" spans="1:13">
      <c r="A2446" s="1">
        <f>HYPERLINK("http://www.twitter.com/NathanBLawrence/status/796011953806331904", "796011953806331904")</f>
        <v/>
      </c>
      <c r="B2446" s="2" t="n">
        <v>42682.6459837963</v>
      </c>
      <c r="C2446" t="n">
        <v>0</v>
      </c>
      <c r="D2446" t="n">
        <v>43</v>
      </c>
      <c r="E2446" t="s">
        <v>2451</v>
      </c>
      <c r="F2446">
        <f>HYPERLINK("http://pbs.twimg.com/media/Cwv-zsmUoAAjOvk.jpg", "http://pbs.twimg.com/media/Cwv-zsmUoAAjOvk.jpg")</f>
        <v/>
      </c>
      <c r="G2446">
        <f>HYPERLINK("http://pbs.twimg.com/media/Cwv-1QYUQAAwMvw.jpg", "http://pbs.twimg.com/media/Cwv-1QYUQAAwMvw.jpg")</f>
        <v/>
      </c>
      <c r="H2446" t="s"/>
      <c r="I2446" t="s"/>
      <c r="J2446" t="n">
        <v>-0.7088</v>
      </c>
      <c r="K2446" t="n">
        <v>0.237</v>
      </c>
      <c r="L2446" t="n">
        <v>0.763</v>
      </c>
      <c r="M2446" t="n">
        <v>0</v>
      </c>
    </row>
    <row r="2447" spans="1:13">
      <c r="A2447" s="1">
        <f>HYPERLINK("http://www.twitter.com/NathanBLawrence/status/796011867957329920", "796011867957329920")</f>
        <v/>
      </c>
      <c r="B2447" s="2" t="n">
        <v>42682.64575231481</v>
      </c>
      <c r="C2447" t="n">
        <v>0</v>
      </c>
      <c r="D2447" t="n">
        <v>3034</v>
      </c>
      <c r="E2447" t="s">
        <v>2452</v>
      </c>
      <c r="F2447" t="s"/>
      <c r="G2447" t="s"/>
      <c r="H2447" t="s"/>
      <c r="I2447" t="s"/>
      <c r="J2447" t="n">
        <v>-0.3182</v>
      </c>
      <c r="K2447" t="n">
        <v>0.119</v>
      </c>
      <c r="L2447" t="n">
        <v>0.881</v>
      </c>
      <c r="M2447" t="n">
        <v>0</v>
      </c>
    </row>
    <row r="2448" spans="1:13">
      <c r="A2448" s="1">
        <f>HYPERLINK("http://www.twitter.com/NathanBLawrence/status/796011833815662592", "796011833815662592")</f>
        <v/>
      </c>
      <c r="B2448" s="2" t="n">
        <v>42682.64565972222</v>
      </c>
      <c r="C2448" t="n">
        <v>0</v>
      </c>
      <c r="D2448" t="n">
        <v>3981</v>
      </c>
      <c r="E2448" t="s">
        <v>2453</v>
      </c>
      <c r="F2448">
        <f>HYPERLINK("https://video.twimg.com/amplify_video/795647121479217152/vid/1280x720/1nqaZu5bIZg2pZr9.mp4", "https://video.twimg.com/amplify_video/795647121479217152/vid/1280x720/1nqaZu5bIZg2pZr9.mp4")</f>
        <v/>
      </c>
      <c r="G2448" t="s"/>
      <c r="H2448" t="s"/>
      <c r="I2448" t="s"/>
      <c r="J2448" t="n">
        <v>-0.743</v>
      </c>
      <c r="K2448" t="n">
        <v>0.357</v>
      </c>
      <c r="L2448" t="n">
        <v>0.52</v>
      </c>
      <c r="M2448" t="n">
        <v>0.123</v>
      </c>
    </row>
    <row r="2449" spans="1:13">
      <c r="A2449" s="1">
        <f>HYPERLINK("http://www.twitter.com/NathanBLawrence/status/796011599765106688", "796011599765106688")</f>
        <v/>
      </c>
      <c r="B2449" s="2" t="n">
        <v>42682.64501157407</v>
      </c>
      <c r="C2449" t="n">
        <v>0</v>
      </c>
      <c r="D2449" t="n">
        <v>31</v>
      </c>
      <c r="E2449" t="s">
        <v>2454</v>
      </c>
      <c r="F2449" t="s"/>
      <c r="G2449" t="s"/>
      <c r="H2449" t="s"/>
      <c r="I2449" t="s"/>
      <c r="J2449" t="n">
        <v>0.25</v>
      </c>
      <c r="K2449" t="n">
        <v>0</v>
      </c>
      <c r="L2449" t="n">
        <v>0.913</v>
      </c>
      <c r="M2449" t="n">
        <v>0.08699999999999999</v>
      </c>
    </row>
    <row r="2450" spans="1:13">
      <c r="A2450" s="1">
        <f>HYPERLINK("http://www.twitter.com/NathanBLawrence/status/796010451532443649", "796010451532443649")</f>
        <v/>
      </c>
      <c r="B2450" s="2" t="n">
        <v>42682.64184027778</v>
      </c>
      <c r="C2450" t="n">
        <v>0</v>
      </c>
      <c r="D2450" t="n">
        <v>2771</v>
      </c>
      <c r="E2450" t="s">
        <v>2455</v>
      </c>
      <c r="F2450">
        <f>HYPERLINK("http://pbs.twimg.com/media/Cwv9PD0UQAEP0Tj.jpg", "http://pbs.twimg.com/media/Cwv9PD0UQAEP0Tj.jpg")</f>
        <v/>
      </c>
      <c r="G2450" t="s"/>
      <c r="H2450" t="s"/>
      <c r="I2450" t="s"/>
      <c r="J2450" t="n">
        <v>-0.4005</v>
      </c>
      <c r="K2450" t="n">
        <v>0.172</v>
      </c>
      <c r="L2450" t="n">
        <v>0.828</v>
      </c>
      <c r="M2450" t="n">
        <v>0</v>
      </c>
    </row>
    <row r="2451" spans="1:13">
      <c r="A2451" s="1">
        <f>HYPERLINK("http://www.twitter.com/NathanBLawrence/status/796010124867469313", "796010124867469313")</f>
        <v/>
      </c>
      <c r="B2451" s="2" t="n">
        <v>42682.6409375</v>
      </c>
      <c r="C2451" t="n">
        <v>0</v>
      </c>
      <c r="D2451" t="n">
        <v>5884</v>
      </c>
      <c r="E2451" t="s">
        <v>2456</v>
      </c>
      <c r="F2451">
        <f>HYPERLINK("http://pbs.twimg.com/media/CwvE_p0WIAA-i6Y.jpg", "http://pbs.twimg.com/media/CwvE_p0WIAA-i6Y.jpg")</f>
        <v/>
      </c>
      <c r="G2451" t="s"/>
      <c r="H2451" t="s"/>
      <c r="I2451" t="s"/>
      <c r="J2451" t="n">
        <v>-0.5859</v>
      </c>
      <c r="K2451" t="n">
        <v>0.153</v>
      </c>
      <c r="L2451" t="n">
        <v>0.847</v>
      </c>
      <c r="M2451" t="n">
        <v>0</v>
      </c>
    </row>
    <row r="2452" spans="1:13">
      <c r="A2452" s="1">
        <f>HYPERLINK("http://www.twitter.com/NathanBLawrence/status/796010033729470464", "796010033729470464")</f>
        <v/>
      </c>
      <c r="B2452" s="2" t="n">
        <v>42682.64068287037</v>
      </c>
      <c r="C2452" t="n">
        <v>0</v>
      </c>
      <c r="D2452" t="n">
        <v>14109</v>
      </c>
      <c r="E2452" t="s">
        <v>2457</v>
      </c>
      <c r="F2452">
        <f>HYPERLINK("http://pbs.twimg.com/media/CwvHLtmWEAAUDeQ.jpg", "http://pbs.twimg.com/media/CwvHLtmWEAAUDeQ.jpg")</f>
        <v/>
      </c>
      <c r="G2452" t="s"/>
      <c r="H2452" t="s"/>
      <c r="I2452" t="s"/>
      <c r="J2452" t="n">
        <v>0.5927</v>
      </c>
      <c r="K2452" t="n">
        <v>0</v>
      </c>
      <c r="L2452" t="n">
        <v>0.845</v>
      </c>
      <c r="M2452" t="n">
        <v>0.155</v>
      </c>
    </row>
    <row r="2453" spans="1:13">
      <c r="A2453" s="1">
        <f>HYPERLINK("http://www.twitter.com/NathanBLawrence/status/796009982017867784", "796009982017867784")</f>
        <v/>
      </c>
      <c r="B2453" s="2" t="n">
        <v>42682.64054398148</v>
      </c>
      <c r="C2453" t="n">
        <v>0</v>
      </c>
      <c r="D2453" t="n">
        <v>2287</v>
      </c>
      <c r="E2453" t="s">
        <v>2458</v>
      </c>
      <c r="F2453">
        <f>HYPERLINK("https://video.twimg.com/amplify_video/795929690498220033/vid/1280x720/h-lAoXqdDxjNd7Sd.mp4", "https://video.twimg.com/amplify_video/795929690498220033/vid/1280x720/h-lAoXqdDxjNd7Sd.mp4")</f>
        <v/>
      </c>
      <c r="G2453" t="s"/>
      <c r="H2453" t="s"/>
      <c r="I2453" t="s"/>
      <c r="J2453" t="n">
        <v>0</v>
      </c>
      <c r="K2453" t="n">
        <v>0</v>
      </c>
      <c r="L2453" t="n">
        <v>1</v>
      </c>
      <c r="M2453" t="n">
        <v>0</v>
      </c>
    </row>
    <row r="2454" spans="1:13">
      <c r="A2454" s="1">
        <f>HYPERLINK("http://www.twitter.com/NathanBLawrence/status/796009895611002880", "796009895611002880")</f>
        <v/>
      </c>
      <c r="B2454" s="2" t="n">
        <v>42682.64030092592</v>
      </c>
      <c r="C2454" t="n">
        <v>0</v>
      </c>
      <c r="D2454" t="n">
        <v>4184</v>
      </c>
      <c r="E2454" t="s">
        <v>2459</v>
      </c>
      <c r="F2454">
        <f>HYPERLINK("http://pbs.twimg.com/media/CwvEyYUXEAANZ3T.jpg", "http://pbs.twimg.com/media/CwvEyYUXEAANZ3T.jpg")</f>
        <v/>
      </c>
      <c r="G2454" t="s"/>
      <c r="H2454" t="s"/>
      <c r="I2454" t="s"/>
      <c r="J2454" t="n">
        <v>0</v>
      </c>
      <c r="K2454" t="n">
        <v>0</v>
      </c>
      <c r="L2454" t="n">
        <v>1</v>
      </c>
      <c r="M2454" t="n">
        <v>0</v>
      </c>
    </row>
    <row r="2455" spans="1:13">
      <c r="A2455" s="1">
        <f>HYPERLINK("http://www.twitter.com/NathanBLawrence/status/796009790778515456", "796009790778515456")</f>
        <v/>
      </c>
      <c r="B2455" s="2" t="n">
        <v>42682.64001157408</v>
      </c>
      <c r="C2455" t="n">
        <v>0</v>
      </c>
      <c r="D2455" t="n">
        <v>283</v>
      </c>
      <c r="E2455" t="s">
        <v>2460</v>
      </c>
      <c r="F2455">
        <f>HYPERLINK("http://pbs.twimg.com/media/Cwsy7RWUUAAw0aN.jpg", "http://pbs.twimg.com/media/Cwsy7RWUUAAw0aN.jpg")</f>
        <v/>
      </c>
      <c r="G2455" t="s"/>
      <c r="H2455" t="s"/>
      <c r="I2455" t="s"/>
      <c r="J2455" t="n">
        <v>0.128</v>
      </c>
      <c r="K2455" t="n">
        <v>0.107</v>
      </c>
      <c r="L2455" t="n">
        <v>0.766</v>
      </c>
      <c r="M2455" t="n">
        <v>0.126</v>
      </c>
    </row>
    <row r="2456" spans="1:13">
      <c r="A2456" s="1">
        <f>HYPERLINK("http://www.twitter.com/NathanBLawrence/status/796009717369860100", "796009717369860100")</f>
        <v/>
      </c>
      <c r="B2456" s="2" t="n">
        <v>42682.63981481481</v>
      </c>
      <c r="C2456" t="n">
        <v>0</v>
      </c>
      <c r="D2456" t="n">
        <v>993</v>
      </c>
      <c r="E2456" t="s">
        <v>2461</v>
      </c>
      <c r="F2456">
        <f>HYPERLINK("http://pbs.twimg.com/media/CwmKR3aXEAAKlLb.jpg", "http://pbs.twimg.com/media/CwmKR3aXEAAKlLb.jpg")</f>
        <v/>
      </c>
      <c r="G2456" t="s"/>
      <c r="H2456" t="s"/>
      <c r="I2456" t="s"/>
      <c r="J2456" t="n">
        <v>0</v>
      </c>
      <c r="K2456" t="n">
        <v>0</v>
      </c>
      <c r="L2456" t="n">
        <v>1</v>
      </c>
      <c r="M2456" t="n">
        <v>0</v>
      </c>
    </row>
    <row r="2457" spans="1:13">
      <c r="A2457" s="1">
        <f>HYPERLINK("http://www.twitter.com/NathanBLawrence/status/796009172580139009", "796009172580139009")</f>
        <v/>
      </c>
      <c r="B2457" s="2" t="n">
        <v>42682.63831018518</v>
      </c>
      <c r="C2457" t="n">
        <v>0</v>
      </c>
      <c r="D2457" t="n">
        <v>9650</v>
      </c>
      <c r="E2457" t="s">
        <v>2462</v>
      </c>
      <c r="F2457">
        <f>HYPERLINK("http://pbs.twimg.com/media/Cwvwx3nUsAE2yUV.jpg", "http://pbs.twimg.com/media/Cwvwx3nUsAE2yUV.jpg")</f>
        <v/>
      </c>
      <c r="G2457" t="s"/>
      <c r="H2457" t="s"/>
      <c r="I2457" t="s"/>
      <c r="J2457" t="n">
        <v>0</v>
      </c>
      <c r="K2457" t="n">
        <v>0</v>
      </c>
      <c r="L2457" t="n">
        <v>1</v>
      </c>
      <c r="M2457" t="n">
        <v>0</v>
      </c>
    </row>
    <row r="2458" spans="1:13">
      <c r="A2458" s="1">
        <f>HYPERLINK("http://www.twitter.com/NathanBLawrence/status/796009119845126144", "796009119845126144")</f>
        <v/>
      </c>
      <c r="B2458" s="2" t="n">
        <v>42682.63815972222</v>
      </c>
      <c r="C2458" t="n">
        <v>0</v>
      </c>
      <c r="D2458" t="n">
        <v>420</v>
      </c>
      <c r="E2458" t="s">
        <v>2463</v>
      </c>
      <c r="F2458">
        <f>HYPERLINK("http://pbs.twimg.com/media/CwrEk5FWIAA_D_N.jpg", "http://pbs.twimg.com/media/CwrEk5FWIAA_D_N.jpg")</f>
        <v/>
      </c>
      <c r="G2458" t="s"/>
      <c r="H2458" t="s"/>
      <c r="I2458" t="s"/>
      <c r="J2458" t="n">
        <v>0.6369</v>
      </c>
      <c r="K2458" t="n">
        <v>0</v>
      </c>
      <c r="L2458" t="n">
        <v>0.819</v>
      </c>
      <c r="M2458" t="n">
        <v>0.181</v>
      </c>
    </row>
    <row r="2459" spans="1:13">
      <c r="A2459" s="1">
        <f>HYPERLINK("http://www.twitter.com/NathanBLawrence/status/795864236392148992", "795864236392148992")</f>
        <v/>
      </c>
      <c r="B2459" s="2" t="n">
        <v>42682.23836805556</v>
      </c>
      <c r="C2459" t="n">
        <v>0</v>
      </c>
      <c r="D2459" t="n">
        <v>11</v>
      </c>
      <c r="E2459" t="s">
        <v>2464</v>
      </c>
      <c r="F2459">
        <f>HYPERLINK("http://pbs.twimg.com/media/Cwtjtz4UUAACv7F.jpg", "http://pbs.twimg.com/media/Cwtjtz4UUAACv7F.jpg")</f>
        <v/>
      </c>
      <c r="G2459">
        <f>HYPERLINK("http://pbs.twimg.com/media/Cwtjtz3UoAEri8i.jpg", "http://pbs.twimg.com/media/Cwtjtz3UoAEri8i.jpg")</f>
        <v/>
      </c>
      <c r="H2459" t="s"/>
      <c r="I2459" t="s"/>
      <c r="J2459" t="n">
        <v>-0.7845</v>
      </c>
      <c r="K2459" t="n">
        <v>0.257</v>
      </c>
      <c r="L2459" t="n">
        <v>0.743</v>
      </c>
      <c r="M2459" t="n">
        <v>0</v>
      </c>
    </row>
    <row r="2460" spans="1:13">
      <c r="A2460" s="1">
        <f>HYPERLINK("http://www.twitter.com/NathanBLawrence/status/795862743869980676", "795862743869980676")</f>
        <v/>
      </c>
      <c r="B2460" s="2" t="n">
        <v>42682.23424768518</v>
      </c>
      <c r="C2460" t="n">
        <v>0</v>
      </c>
      <c r="D2460" t="n">
        <v>347</v>
      </c>
      <c r="E2460" t="s">
        <v>2465</v>
      </c>
      <c r="F2460" t="s"/>
      <c r="G2460" t="s"/>
      <c r="H2460" t="s"/>
      <c r="I2460" t="s"/>
      <c r="J2460" t="n">
        <v>-0.4019</v>
      </c>
      <c r="K2460" t="n">
        <v>0.114</v>
      </c>
      <c r="L2460" t="n">
        <v>0.886</v>
      </c>
      <c r="M2460" t="n">
        <v>0</v>
      </c>
    </row>
    <row r="2461" spans="1:13">
      <c r="A2461" s="1">
        <f>HYPERLINK("http://www.twitter.com/NathanBLawrence/status/795846700896321537", "795846700896321537")</f>
        <v/>
      </c>
      <c r="B2461" s="2" t="n">
        <v>42682.18997685185</v>
      </c>
      <c r="C2461" t="n">
        <v>0</v>
      </c>
      <c r="D2461" t="n">
        <v>130</v>
      </c>
      <c r="E2461" t="s">
        <v>2466</v>
      </c>
      <c r="F2461" t="s"/>
      <c r="G2461" t="s"/>
      <c r="H2461" t="s"/>
      <c r="I2461" t="s"/>
      <c r="J2461" t="n">
        <v>0.7712</v>
      </c>
      <c r="K2461" t="n">
        <v>0</v>
      </c>
      <c r="L2461" t="n">
        <v>0.661</v>
      </c>
      <c r="M2461" t="n">
        <v>0.339</v>
      </c>
    </row>
    <row r="2462" spans="1:13">
      <c r="A2462" s="1">
        <f>HYPERLINK("http://www.twitter.com/NathanBLawrence/status/795832665261875200", "795832665261875200")</f>
        <v/>
      </c>
      <c r="B2462" s="2" t="n">
        <v>42682.15123842593</v>
      </c>
      <c r="C2462" t="n">
        <v>0</v>
      </c>
      <c r="D2462" t="n">
        <v>233</v>
      </c>
      <c r="E2462" t="s">
        <v>2467</v>
      </c>
      <c r="F2462" t="s"/>
      <c r="G2462" t="s"/>
      <c r="H2462" t="s"/>
      <c r="I2462" t="s"/>
      <c r="J2462" t="n">
        <v>-0.4215</v>
      </c>
      <c r="K2462" t="n">
        <v>0.183</v>
      </c>
      <c r="L2462" t="n">
        <v>0.8169999999999999</v>
      </c>
      <c r="M2462" t="n">
        <v>0</v>
      </c>
    </row>
    <row r="2463" spans="1:13">
      <c r="A2463" s="1">
        <f>HYPERLINK("http://www.twitter.com/NathanBLawrence/status/795822970673463296", "795822970673463296")</f>
        <v/>
      </c>
      <c r="B2463" s="2" t="n">
        <v>42682.12449074074</v>
      </c>
      <c r="C2463" t="n">
        <v>0</v>
      </c>
      <c r="D2463" t="n">
        <v>1166</v>
      </c>
      <c r="E2463" t="s">
        <v>2468</v>
      </c>
      <c r="F2463">
        <f>HYPERLINK("https://video.twimg.com/ext_tw_video/795790343459336192/pu/vid/1280x720/dg3om9o28BOGXnVQ.mp4", "https://video.twimg.com/ext_tw_video/795790343459336192/pu/vid/1280x720/dg3om9o28BOGXnVQ.mp4")</f>
        <v/>
      </c>
      <c r="G2463" t="s"/>
      <c r="H2463" t="s"/>
      <c r="I2463" t="s"/>
      <c r="J2463" t="n">
        <v>-0.3382</v>
      </c>
      <c r="K2463" t="n">
        <v>0.151</v>
      </c>
      <c r="L2463" t="n">
        <v>0.757</v>
      </c>
      <c r="M2463" t="n">
        <v>0.092</v>
      </c>
    </row>
    <row r="2464" spans="1:13">
      <c r="A2464" s="1">
        <f>HYPERLINK("http://www.twitter.com/NathanBLawrence/status/795814904284454912", "795814904284454912")</f>
        <v/>
      </c>
      <c r="B2464" s="2" t="n">
        <v>42682.10223379629</v>
      </c>
      <c r="C2464" t="n">
        <v>0</v>
      </c>
      <c r="D2464" t="n">
        <v>8</v>
      </c>
      <c r="E2464" t="s">
        <v>2469</v>
      </c>
      <c r="F2464" t="s"/>
      <c r="G2464" t="s"/>
      <c r="H2464" t="s"/>
      <c r="I2464" t="s"/>
      <c r="J2464" t="n">
        <v>0</v>
      </c>
      <c r="K2464" t="n">
        <v>0</v>
      </c>
      <c r="L2464" t="n">
        <v>1</v>
      </c>
      <c r="M2464" t="n">
        <v>0</v>
      </c>
    </row>
    <row r="2465" spans="1:13">
      <c r="A2465" s="1">
        <f>HYPERLINK("http://www.twitter.com/NathanBLawrence/status/795813669275860992", "795813669275860992")</f>
        <v/>
      </c>
      <c r="B2465" s="2" t="n">
        <v>42682.09881944444</v>
      </c>
      <c r="C2465" t="n">
        <v>0</v>
      </c>
      <c r="D2465" t="n">
        <v>188</v>
      </c>
      <c r="E2465" t="s">
        <v>2470</v>
      </c>
      <c r="F2465">
        <f>HYPERLINK("http://pbs.twimg.com/media/CwtL0aUWEAA9hl2.jpg", "http://pbs.twimg.com/media/CwtL0aUWEAA9hl2.jpg")</f>
        <v/>
      </c>
      <c r="G2465" t="s"/>
      <c r="H2465" t="s"/>
      <c r="I2465" t="s"/>
      <c r="J2465" t="n">
        <v>-0.4019</v>
      </c>
      <c r="K2465" t="n">
        <v>0.184</v>
      </c>
      <c r="L2465" t="n">
        <v>0.8159999999999999</v>
      </c>
      <c r="M2465" t="n">
        <v>0</v>
      </c>
    </row>
    <row r="2466" spans="1:13">
      <c r="A2466" s="1">
        <f>HYPERLINK("http://www.twitter.com/NathanBLawrence/status/795813451188891648", "795813451188891648")</f>
        <v/>
      </c>
      <c r="B2466" s="2" t="n">
        <v>42682.09821759259</v>
      </c>
      <c r="C2466" t="n">
        <v>0</v>
      </c>
      <c r="D2466" t="n">
        <v>6870</v>
      </c>
      <c r="E2466" t="s">
        <v>2471</v>
      </c>
      <c r="F2466" t="s"/>
      <c r="G2466" t="s"/>
      <c r="H2466" t="s"/>
      <c r="I2466" t="s"/>
      <c r="J2466" t="n">
        <v>0</v>
      </c>
      <c r="K2466" t="n">
        <v>0</v>
      </c>
      <c r="L2466" t="n">
        <v>1</v>
      </c>
      <c r="M2466" t="n">
        <v>0</v>
      </c>
    </row>
    <row r="2467" spans="1:13">
      <c r="A2467" s="1">
        <f>HYPERLINK("http://www.twitter.com/NathanBLawrence/status/795810656817713152", "795810656817713152")</f>
        <v/>
      </c>
      <c r="B2467" s="2" t="n">
        <v>42682.09050925926</v>
      </c>
      <c r="C2467" t="n">
        <v>0</v>
      </c>
      <c r="D2467" t="n">
        <v>884</v>
      </c>
      <c r="E2467" t="s">
        <v>2472</v>
      </c>
      <c r="F2467" t="s"/>
      <c r="G2467" t="s"/>
      <c r="H2467" t="s"/>
      <c r="I2467" t="s"/>
      <c r="J2467" t="n">
        <v>0.6037</v>
      </c>
      <c r="K2467" t="n">
        <v>0</v>
      </c>
      <c r="L2467" t="n">
        <v>0.718</v>
      </c>
      <c r="M2467" t="n">
        <v>0.282</v>
      </c>
    </row>
    <row r="2468" spans="1:13">
      <c r="A2468" s="1">
        <f>HYPERLINK("http://www.twitter.com/NathanBLawrence/status/795809900081385473", "795809900081385473")</f>
        <v/>
      </c>
      <c r="B2468" s="2" t="n">
        <v>42682.08842592593</v>
      </c>
      <c r="C2468" t="n">
        <v>0</v>
      </c>
      <c r="D2468" t="n">
        <v>180</v>
      </c>
      <c r="E2468" t="s">
        <v>2473</v>
      </c>
      <c r="F2468" t="s"/>
      <c r="G2468" t="s"/>
      <c r="H2468" t="s"/>
      <c r="I2468" t="s"/>
      <c r="J2468" t="n">
        <v>0.3227</v>
      </c>
      <c r="K2468" t="n">
        <v>0</v>
      </c>
      <c r="L2468" t="n">
        <v>0.776</v>
      </c>
      <c r="M2468" t="n">
        <v>0.224</v>
      </c>
    </row>
    <row r="2469" spans="1:13">
      <c r="A2469" s="1">
        <f>HYPERLINK("http://www.twitter.com/NathanBLawrence/status/795807999247974400", "795807999247974400")</f>
        <v/>
      </c>
      <c r="B2469" s="2" t="n">
        <v>42682.08318287037</v>
      </c>
      <c r="C2469" t="n">
        <v>0</v>
      </c>
      <c r="D2469" t="n">
        <v>151</v>
      </c>
      <c r="E2469" t="s">
        <v>2474</v>
      </c>
      <c r="F2469">
        <f>HYPERLINK("http://pbs.twimg.com/media/CwtG3dLXcAIfqo6.jpg", "http://pbs.twimg.com/media/CwtG3dLXcAIfqo6.jpg")</f>
        <v/>
      </c>
      <c r="G2469" t="s"/>
      <c r="H2469" t="s"/>
      <c r="I2469" t="s"/>
      <c r="J2469" t="n">
        <v>0</v>
      </c>
      <c r="K2469" t="n">
        <v>0</v>
      </c>
      <c r="L2469" t="n">
        <v>1</v>
      </c>
      <c r="M2469" t="n">
        <v>0</v>
      </c>
    </row>
    <row r="2470" spans="1:13">
      <c r="A2470" s="1">
        <f>HYPERLINK("http://www.twitter.com/NathanBLawrence/status/795806982389321728", "795806982389321728")</f>
        <v/>
      </c>
      <c r="B2470" s="2" t="n">
        <v>42682.08037037037</v>
      </c>
      <c r="C2470" t="n">
        <v>0</v>
      </c>
      <c r="D2470" t="n">
        <v>663</v>
      </c>
      <c r="E2470" t="s">
        <v>2475</v>
      </c>
      <c r="F2470" t="s"/>
      <c r="G2470" t="s"/>
      <c r="H2470" t="s"/>
      <c r="I2470" t="s"/>
      <c r="J2470" t="n">
        <v>-0.2263</v>
      </c>
      <c r="K2470" t="n">
        <v>0.164</v>
      </c>
      <c r="L2470" t="n">
        <v>0.711</v>
      </c>
      <c r="M2470" t="n">
        <v>0.124</v>
      </c>
    </row>
    <row r="2471" spans="1:13">
      <c r="A2471" s="1">
        <f>HYPERLINK("http://www.twitter.com/NathanBLawrence/status/795806579190878209", "795806579190878209")</f>
        <v/>
      </c>
      <c r="B2471" s="2" t="n">
        <v>42682.07925925926</v>
      </c>
      <c r="C2471" t="n">
        <v>0</v>
      </c>
      <c r="D2471" t="n">
        <v>348</v>
      </c>
      <c r="E2471" t="s">
        <v>2476</v>
      </c>
      <c r="F2471">
        <f>HYPERLINK("http://pbs.twimg.com/media/Cwqth71XgAA4eaK.jpg", "http://pbs.twimg.com/media/Cwqth71XgAA4eaK.jpg")</f>
        <v/>
      </c>
      <c r="G2471" t="s"/>
      <c r="H2471" t="s"/>
      <c r="I2471" t="s"/>
      <c r="J2471" t="n">
        <v>0</v>
      </c>
      <c r="K2471" t="n">
        <v>0</v>
      </c>
      <c r="L2471" t="n">
        <v>1</v>
      </c>
      <c r="M2471" t="n">
        <v>0</v>
      </c>
    </row>
    <row r="2472" spans="1:13">
      <c r="A2472" s="1">
        <f>HYPERLINK("http://www.twitter.com/NathanBLawrence/status/795805699674636288", "795805699674636288")</f>
        <v/>
      </c>
      <c r="B2472" s="2" t="n">
        <v>42682.07682870371</v>
      </c>
      <c r="C2472" t="n">
        <v>0</v>
      </c>
      <c r="D2472" t="n">
        <v>661</v>
      </c>
      <c r="E2472" t="s">
        <v>2477</v>
      </c>
      <c r="F2472" t="s"/>
      <c r="G2472" t="s"/>
      <c r="H2472" t="s"/>
      <c r="I2472" t="s"/>
      <c r="J2472" t="n">
        <v>0</v>
      </c>
      <c r="K2472" t="n">
        <v>0</v>
      </c>
      <c r="L2472" t="n">
        <v>1</v>
      </c>
      <c r="M2472" t="n">
        <v>0</v>
      </c>
    </row>
    <row r="2473" spans="1:13">
      <c r="A2473" s="1">
        <f>HYPERLINK("http://www.twitter.com/NathanBLawrence/status/795801688422682624", "795801688422682624")</f>
        <v/>
      </c>
      <c r="B2473" s="2" t="n">
        <v>42682.06576388889</v>
      </c>
      <c r="C2473" t="n">
        <v>0</v>
      </c>
      <c r="D2473" t="n">
        <v>4889</v>
      </c>
      <c r="E2473" t="s">
        <v>2478</v>
      </c>
      <c r="F2473" t="s"/>
      <c r="G2473" t="s"/>
      <c r="H2473" t="s"/>
      <c r="I2473" t="s"/>
      <c r="J2473" t="n">
        <v>0.5266999999999999</v>
      </c>
      <c r="K2473" t="n">
        <v>0</v>
      </c>
      <c r="L2473" t="n">
        <v>0.876</v>
      </c>
      <c r="M2473" t="n">
        <v>0.124</v>
      </c>
    </row>
    <row r="2474" spans="1:13">
      <c r="A2474" s="1">
        <f>HYPERLINK("http://www.twitter.com/NathanBLawrence/status/795801634983002118", "795801634983002118")</f>
        <v/>
      </c>
      <c r="B2474" s="2" t="n">
        <v>42682.06561342593</v>
      </c>
      <c r="C2474" t="n">
        <v>0</v>
      </c>
      <c r="D2474" t="n">
        <v>2335</v>
      </c>
      <c r="E2474" t="s">
        <v>2479</v>
      </c>
      <c r="F2474" t="s"/>
      <c r="G2474" t="s"/>
      <c r="H2474" t="s"/>
      <c r="I2474" t="s"/>
      <c r="J2474" t="n">
        <v>0.5106000000000001</v>
      </c>
      <c r="K2474" t="n">
        <v>0</v>
      </c>
      <c r="L2474" t="n">
        <v>0.864</v>
      </c>
      <c r="M2474" t="n">
        <v>0.136</v>
      </c>
    </row>
    <row r="2475" spans="1:13">
      <c r="A2475" s="1">
        <f>HYPERLINK("http://www.twitter.com/NathanBLawrence/status/795800780234166272", "795800780234166272")</f>
        <v/>
      </c>
      <c r="B2475" s="2" t="n">
        <v>42682.06325231482</v>
      </c>
      <c r="C2475" t="n">
        <v>0</v>
      </c>
      <c r="D2475" t="n">
        <v>28</v>
      </c>
      <c r="E2475" t="s">
        <v>2480</v>
      </c>
      <c r="F2475" t="s"/>
      <c r="G2475" t="s"/>
      <c r="H2475" t="s"/>
      <c r="I2475" t="s"/>
      <c r="J2475" t="n">
        <v>0.6369</v>
      </c>
      <c r="K2475" t="n">
        <v>0</v>
      </c>
      <c r="L2475" t="n">
        <v>0.714</v>
      </c>
      <c r="M2475" t="n">
        <v>0.286</v>
      </c>
    </row>
    <row r="2476" spans="1:13">
      <c r="A2476" s="1">
        <f>HYPERLINK("http://www.twitter.com/NathanBLawrence/status/795798803441913856", "795798803441913856")</f>
        <v/>
      </c>
      <c r="B2476" s="2" t="n">
        <v>42682.05780092593</v>
      </c>
      <c r="C2476" t="n">
        <v>0</v>
      </c>
      <c r="D2476" t="n">
        <v>6</v>
      </c>
      <c r="E2476" t="s">
        <v>2481</v>
      </c>
      <c r="F2476" t="s"/>
      <c r="G2476" t="s"/>
      <c r="H2476" t="s"/>
      <c r="I2476" t="s"/>
      <c r="J2476" t="n">
        <v>0</v>
      </c>
      <c r="K2476" t="n">
        <v>0</v>
      </c>
      <c r="L2476" t="n">
        <v>1</v>
      </c>
      <c r="M2476" t="n">
        <v>0</v>
      </c>
    </row>
    <row r="2477" spans="1:13">
      <c r="A2477" s="1">
        <f>HYPERLINK("http://www.twitter.com/NathanBLawrence/status/795798759129149442", "795798759129149442")</f>
        <v/>
      </c>
      <c r="B2477" s="2" t="n">
        <v>42682.05768518519</v>
      </c>
      <c r="C2477" t="n">
        <v>0</v>
      </c>
      <c r="D2477" t="n">
        <v>958</v>
      </c>
      <c r="E2477" t="s">
        <v>2482</v>
      </c>
      <c r="F2477">
        <f>HYPERLINK("http://pbs.twimg.com/media/Cws9lQxUcAEs-Zf.jpg", "http://pbs.twimg.com/media/Cws9lQxUcAEs-Zf.jpg")</f>
        <v/>
      </c>
      <c r="G2477" t="s"/>
      <c r="H2477" t="s"/>
      <c r="I2477" t="s"/>
      <c r="J2477" t="n">
        <v>-0.296</v>
      </c>
      <c r="K2477" t="n">
        <v>0.08699999999999999</v>
      </c>
      <c r="L2477" t="n">
        <v>0.913</v>
      </c>
      <c r="M2477" t="n">
        <v>0</v>
      </c>
    </row>
    <row r="2478" spans="1:13">
      <c r="A2478" s="1">
        <f>HYPERLINK("http://www.twitter.com/NathanBLawrence/status/795797003561291776", "795797003561291776")</f>
        <v/>
      </c>
      <c r="B2478" s="2" t="n">
        <v>42682.05283564814</v>
      </c>
      <c r="C2478" t="n">
        <v>0</v>
      </c>
      <c r="D2478" t="n">
        <v>842</v>
      </c>
      <c r="E2478" t="s">
        <v>2483</v>
      </c>
      <c r="F2478" t="s"/>
      <c r="G2478" t="s"/>
      <c r="H2478" t="s"/>
      <c r="I2478" t="s"/>
      <c r="J2478" t="n">
        <v>-0.5859</v>
      </c>
      <c r="K2478" t="n">
        <v>0.183</v>
      </c>
      <c r="L2478" t="n">
        <v>0.8169999999999999</v>
      </c>
      <c r="M2478" t="n">
        <v>0</v>
      </c>
    </row>
    <row r="2479" spans="1:13">
      <c r="A2479" s="1">
        <f>HYPERLINK("http://www.twitter.com/NathanBLawrence/status/795763253993504772", "795763253993504772")</f>
        <v/>
      </c>
      <c r="B2479" s="2" t="n">
        <v>42681.95969907408</v>
      </c>
      <c r="C2479" t="n">
        <v>0</v>
      </c>
      <c r="D2479" t="n">
        <v>1441</v>
      </c>
      <c r="E2479" t="s">
        <v>2484</v>
      </c>
      <c r="F2479" t="s"/>
      <c r="G2479" t="s"/>
      <c r="H2479" t="s"/>
      <c r="I2479" t="s"/>
      <c r="J2479" t="n">
        <v>0</v>
      </c>
      <c r="K2479" t="n">
        <v>0</v>
      </c>
      <c r="L2479" t="n">
        <v>1</v>
      </c>
      <c r="M2479" t="n">
        <v>0</v>
      </c>
    </row>
    <row r="2480" spans="1:13">
      <c r="A2480" s="1">
        <f>HYPERLINK("http://www.twitter.com/NathanBLawrence/status/795757573123219457", "795757573123219457")</f>
        <v/>
      </c>
      <c r="B2480" s="2" t="n">
        <v>42681.94402777778</v>
      </c>
      <c r="C2480" t="n">
        <v>0</v>
      </c>
      <c r="D2480" t="n">
        <v>304</v>
      </c>
      <c r="E2480" t="s">
        <v>2485</v>
      </c>
      <c r="F2480" t="s"/>
      <c r="G2480" t="s"/>
      <c r="H2480" t="s"/>
      <c r="I2480" t="s"/>
      <c r="J2480" t="n">
        <v>0</v>
      </c>
      <c r="K2480" t="n">
        <v>0</v>
      </c>
      <c r="L2480" t="n">
        <v>1</v>
      </c>
      <c r="M2480" t="n">
        <v>0</v>
      </c>
    </row>
    <row r="2481" spans="1:13">
      <c r="A2481" s="1">
        <f>HYPERLINK("http://www.twitter.com/NathanBLawrence/status/795757155961933824", "795757155961933824")</f>
        <v/>
      </c>
      <c r="B2481" s="2" t="n">
        <v>42681.94288194444</v>
      </c>
      <c r="C2481" t="n">
        <v>0</v>
      </c>
      <c r="D2481" t="n">
        <v>4472</v>
      </c>
      <c r="E2481" t="s">
        <v>2486</v>
      </c>
      <c r="F2481" t="s"/>
      <c r="G2481" t="s"/>
      <c r="H2481" t="s"/>
      <c r="I2481" t="s"/>
      <c r="J2481" t="n">
        <v>0.4767</v>
      </c>
      <c r="K2481" t="n">
        <v>0</v>
      </c>
      <c r="L2481" t="n">
        <v>0.829</v>
      </c>
      <c r="M2481" t="n">
        <v>0.171</v>
      </c>
    </row>
    <row r="2482" spans="1:13">
      <c r="A2482" s="1">
        <f>HYPERLINK("http://www.twitter.com/NathanBLawrence/status/795756224679645184", "795756224679645184")</f>
        <v/>
      </c>
      <c r="B2482" s="2" t="n">
        <v>42681.9403125</v>
      </c>
      <c r="C2482" t="n">
        <v>0</v>
      </c>
      <c r="D2482" t="n">
        <v>39</v>
      </c>
      <c r="E2482" t="s">
        <v>2487</v>
      </c>
      <c r="F2482" t="s"/>
      <c r="G2482" t="s"/>
      <c r="H2482" t="s"/>
      <c r="I2482" t="s"/>
      <c r="J2482" t="n">
        <v>-0.2584</v>
      </c>
      <c r="K2482" t="n">
        <v>0.135</v>
      </c>
      <c r="L2482" t="n">
        <v>0.865</v>
      </c>
      <c r="M2482" t="n">
        <v>0</v>
      </c>
    </row>
    <row r="2483" spans="1:13">
      <c r="A2483" s="1">
        <f>HYPERLINK("http://www.twitter.com/NathanBLawrence/status/795755586579263488", "795755586579263488")</f>
        <v/>
      </c>
      <c r="B2483" s="2" t="n">
        <v>42681.93854166667</v>
      </c>
      <c r="C2483" t="n">
        <v>0</v>
      </c>
      <c r="D2483" t="n">
        <v>0</v>
      </c>
      <c r="E2483" t="s">
        <v>2488</v>
      </c>
      <c r="F2483" t="s"/>
      <c r="G2483" t="s"/>
      <c r="H2483" t="s"/>
      <c r="I2483" t="s"/>
      <c r="J2483" t="n">
        <v>0.6588000000000001</v>
      </c>
      <c r="K2483" t="n">
        <v>0</v>
      </c>
      <c r="L2483" t="n">
        <v>0.804</v>
      </c>
      <c r="M2483" t="n">
        <v>0.196</v>
      </c>
    </row>
    <row r="2484" spans="1:13">
      <c r="A2484" s="1">
        <f>HYPERLINK("http://www.twitter.com/NathanBLawrence/status/795754667049385985", "795754667049385985")</f>
        <v/>
      </c>
      <c r="B2484" s="2" t="n">
        <v>42681.93600694444</v>
      </c>
      <c r="C2484" t="n">
        <v>0</v>
      </c>
      <c r="D2484" t="n">
        <v>11862</v>
      </c>
      <c r="E2484" t="s">
        <v>2489</v>
      </c>
      <c r="F2484" t="s"/>
      <c r="G2484" t="s"/>
      <c r="H2484" t="s"/>
      <c r="I2484" t="s"/>
      <c r="J2484" t="n">
        <v>-0.2695</v>
      </c>
      <c r="K2484" t="n">
        <v>0.162</v>
      </c>
      <c r="L2484" t="n">
        <v>0.725</v>
      </c>
      <c r="M2484" t="n">
        <v>0.113</v>
      </c>
    </row>
    <row r="2485" spans="1:13">
      <c r="A2485" s="1">
        <f>HYPERLINK("http://www.twitter.com/NathanBLawrence/status/795745065230536705", "795745065230536705")</f>
        <v/>
      </c>
      <c r="B2485" s="2" t="n">
        <v>42681.90951388889</v>
      </c>
      <c r="C2485" t="n">
        <v>0</v>
      </c>
      <c r="D2485" t="n">
        <v>1182</v>
      </c>
      <c r="E2485" t="s">
        <v>2490</v>
      </c>
      <c r="F2485">
        <f>HYPERLINK("http://pbs.twimg.com/media/CwsM1XpVQAAgxDH.jpg", "http://pbs.twimg.com/media/CwsM1XpVQAAgxDH.jpg")</f>
        <v/>
      </c>
      <c r="G2485" t="s"/>
      <c r="H2485" t="s"/>
      <c r="I2485" t="s"/>
      <c r="J2485" t="n">
        <v>-0.4753</v>
      </c>
      <c r="K2485" t="n">
        <v>0.147</v>
      </c>
      <c r="L2485" t="n">
        <v>0.853</v>
      </c>
      <c r="M2485" t="n">
        <v>0</v>
      </c>
    </row>
    <row r="2486" spans="1:13">
      <c r="A2486" s="1">
        <f>HYPERLINK("http://www.twitter.com/NathanBLawrence/status/795744476065103877", "795744476065103877")</f>
        <v/>
      </c>
      <c r="B2486" s="2" t="n">
        <v>42681.90788194445</v>
      </c>
      <c r="C2486" t="n">
        <v>0</v>
      </c>
      <c r="D2486" t="n">
        <v>2718</v>
      </c>
      <c r="E2486" t="s">
        <v>2491</v>
      </c>
      <c r="F2486">
        <f>HYPERLINK("http://pbs.twimg.com/media/CwmJ1rPWEAQ0_6K.jpg", "http://pbs.twimg.com/media/CwmJ1rPWEAQ0_6K.jpg")</f>
        <v/>
      </c>
      <c r="G2486" t="s"/>
      <c r="H2486" t="s"/>
      <c r="I2486" t="s"/>
      <c r="J2486" t="n">
        <v>0.7096</v>
      </c>
      <c r="K2486" t="n">
        <v>0</v>
      </c>
      <c r="L2486" t="n">
        <v>0.731</v>
      </c>
      <c r="M2486" t="n">
        <v>0.269</v>
      </c>
    </row>
    <row r="2487" spans="1:13">
      <c r="A2487" s="1">
        <f>HYPERLINK("http://www.twitter.com/NathanBLawrence/status/795741829643825152", "795741829643825152")</f>
        <v/>
      </c>
      <c r="B2487" s="2" t="n">
        <v>42681.90059027778</v>
      </c>
      <c r="C2487" t="n">
        <v>0</v>
      </c>
      <c r="D2487" t="n">
        <v>3</v>
      </c>
      <c r="E2487" t="s">
        <v>2492</v>
      </c>
      <c r="F2487" t="s"/>
      <c r="G2487" t="s"/>
      <c r="H2487" t="s"/>
      <c r="I2487" t="s"/>
      <c r="J2487" t="n">
        <v>0.3182</v>
      </c>
      <c r="K2487" t="n">
        <v>0.114</v>
      </c>
      <c r="L2487" t="n">
        <v>0.711</v>
      </c>
      <c r="M2487" t="n">
        <v>0.175</v>
      </c>
    </row>
    <row r="2488" spans="1:13">
      <c r="A2488" s="1">
        <f>HYPERLINK("http://www.twitter.com/NathanBLawrence/status/795741256752267264", "795741256752267264")</f>
        <v/>
      </c>
      <c r="B2488" s="2" t="n">
        <v>42681.89900462963</v>
      </c>
      <c r="C2488" t="n">
        <v>0</v>
      </c>
      <c r="D2488" t="n">
        <v>6716</v>
      </c>
      <c r="E2488" t="s">
        <v>2493</v>
      </c>
      <c r="F2488" t="s"/>
      <c r="G2488" t="s"/>
      <c r="H2488" t="s"/>
      <c r="I2488" t="s"/>
      <c r="J2488" t="n">
        <v>0</v>
      </c>
      <c r="K2488" t="n">
        <v>0</v>
      </c>
      <c r="L2488" t="n">
        <v>1</v>
      </c>
      <c r="M2488" t="n">
        <v>0</v>
      </c>
    </row>
    <row r="2489" spans="1:13">
      <c r="A2489" s="1">
        <f>HYPERLINK("http://www.twitter.com/NathanBLawrence/status/795737180060741632", "795737180060741632")</f>
        <v/>
      </c>
      <c r="B2489" s="2" t="n">
        <v>42681.88775462963</v>
      </c>
      <c r="C2489" t="n">
        <v>0</v>
      </c>
      <c r="D2489" t="n">
        <v>10464</v>
      </c>
      <c r="E2489" t="s">
        <v>2494</v>
      </c>
      <c r="F2489">
        <f>HYPERLINK("http://pbs.twimg.com/media/CwsEw5KVQAk1DyG.jpg", "http://pbs.twimg.com/media/CwsEw5KVQAk1DyG.jpg")</f>
        <v/>
      </c>
      <c r="G2489" t="s"/>
      <c r="H2489" t="s"/>
      <c r="I2489" t="s"/>
      <c r="J2489" t="n">
        <v>0</v>
      </c>
      <c r="K2489" t="n">
        <v>0</v>
      </c>
      <c r="L2489" t="n">
        <v>1</v>
      </c>
      <c r="M2489" t="n">
        <v>0</v>
      </c>
    </row>
    <row r="2490" spans="1:13">
      <c r="A2490" s="1">
        <f>HYPERLINK("http://www.twitter.com/NathanBLawrence/status/795734414231748608", "795734414231748608")</f>
        <v/>
      </c>
      <c r="B2490" s="2" t="n">
        <v>42681.88012731481</v>
      </c>
      <c r="C2490" t="n">
        <v>0</v>
      </c>
      <c r="D2490" t="n">
        <v>1103</v>
      </c>
      <c r="E2490" t="s">
        <v>2495</v>
      </c>
      <c r="F2490" t="s"/>
      <c r="G2490" t="s"/>
      <c r="H2490" t="s"/>
      <c r="I2490" t="s"/>
      <c r="J2490" t="n">
        <v>0.9151</v>
      </c>
      <c r="K2490" t="n">
        <v>0</v>
      </c>
      <c r="L2490" t="n">
        <v>0.521</v>
      </c>
      <c r="M2490" t="n">
        <v>0.479</v>
      </c>
    </row>
    <row r="2491" spans="1:13">
      <c r="A2491" s="1">
        <f>HYPERLINK("http://www.twitter.com/NathanBLawrence/status/795734224028520448", "795734224028520448")</f>
        <v/>
      </c>
      <c r="B2491" s="2" t="n">
        <v>42681.8795949074</v>
      </c>
      <c r="C2491" t="n">
        <v>0</v>
      </c>
      <c r="D2491" t="n">
        <v>12267</v>
      </c>
      <c r="E2491" t="s">
        <v>2496</v>
      </c>
      <c r="F2491">
        <f>HYPERLINK("http://pbs.twimg.com/media/CwsBAp1UcAABD8Q.jpg", "http://pbs.twimg.com/media/CwsBAp1UcAABD8Q.jpg")</f>
        <v/>
      </c>
      <c r="G2491" t="s"/>
      <c r="H2491" t="s"/>
      <c r="I2491" t="s"/>
      <c r="J2491" t="n">
        <v>0</v>
      </c>
      <c r="K2491" t="n">
        <v>0.128</v>
      </c>
      <c r="L2491" t="n">
        <v>0.744</v>
      </c>
      <c r="M2491" t="n">
        <v>0.128</v>
      </c>
    </row>
    <row r="2492" spans="1:13">
      <c r="A2492" s="1">
        <f>HYPERLINK("http://www.twitter.com/NathanBLawrence/status/795734062841339904", "795734062841339904")</f>
        <v/>
      </c>
      <c r="B2492" s="2" t="n">
        <v>42681.8791550926</v>
      </c>
      <c r="C2492" t="n">
        <v>0</v>
      </c>
      <c r="D2492" t="n">
        <v>4792</v>
      </c>
      <c r="E2492" t="s">
        <v>2497</v>
      </c>
      <c r="F2492" t="s"/>
      <c r="G2492" t="s"/>
      <c r="H2492" t="s"/>
      <c r="I2492" t="s"/>
      <c r="J2492" t="n">
        <v>0.2732</v>
      </c>
      <c r="K2492" t="n">
        <v>0</v>
      </c>
      <c r="L2492" t="n">
        <v>0.896</v>
      </c>
      <c r="M2492" t="n">
        <v>0.104</v>
      </c>
    </row>
    <row r="2493" spans="1:13">
      <c r="A2493" s="1">
        <f>HYPERLINK("http://www.twitter.com/NathanBLawrence/status/795733985410383872", "795733985410383872")</f>
        <v/>
      </c>
      <c r="B2493" s="2" t="n">
        <v>42681.87893518519</v>
      </c>
      <c r="C2493" t="n">
        <v>0</v>
      </c>
      <c r="D2493" t="n">
        <v>6819</v>
      </c>
      <c r="E2493" t="s">
        <v>2498</v>
      </c>
      <c r="F2493">
        <f>HYPERLINK("http://pbs.twimg.com/media/CwoT2WJUQAEqX2K.jpg", "http://pbs.twimg.com/media/CwoT2WJUQAEqX2K.jpg")</f>
        <v/>
      </c>
      <c r="G2493" t="s"/>
      <c r="H2493" t="s"/>
      <c r="I2493" t="s"/>
      <c r="J2493" t="n">
        <v>0.5951</v>
      </c>
      <c r="K2493" t="n">
        <v>0.115</v>
      </c>
      <c r="L2493" t="n">
        <v>0.652</v>
      </c>
      <c r="M2493" t="n">
        <v>0.232</v>
      </c>
    </row>
    <row r="2494" spans="1:13">
      <c r="A2494" s="1">
        <f>HYPERLINK("http://www.twitter.com/NathanBLawrence/status/795728157374554113", "795728157374554113")</f>
        <v/>
      </c>
      <c r="B2494" s="2" t="n">
        <v>42681.8628587963</v>
      </c>
      <c r="C2494" t="n">
        <v>0</v>
      </c>
      <c r="D2494" t="n">
        <v>2298</v>
      </c>
      <c r="E2494" t="s">
        <v>2499</v>
      </c>
      <c r="F2494">
        <f>HYPERLINK("http://pbs.twimg.com/media/CwqojhuVEAAs1uJ.jpg", "http://pbs.twimg.com/media/CwqojhuVEAAs1uJ.jpg")</f>
        <v/>
      </c>
      <c r="G2494" t="s"/>
      <c r="H2494" t="s"/>
      <c r="I2494" t="s"/>
      <c r="J2494" t="n">
        <v>0</v>
      </c>
      <c r="K2494" t="n">
        <v>0</v>
      </c>
      <c r="L2494" t="n">
        <v>1</v>
      </c>
      <c r="M2494" t="n">
        <v>0</v>
      </c>
    </row>
    <row r="2495" spans="1:13">
      <c r="A2495" s="1">
        <f>HYPERLINK("http://www.twitter.com/NathanBLawrence/status/795727651436720128", "795727651436720128")</f>
        <v/>
      </c>
      <c r="B2495" s="2" t="n">
        <v>42681.86145833333</v>
      </c>
      <c r="C2495" t="n">
        <v>0</v>
      </c>
      <c r="D2495" t="n">
        <v>11407</v>
      </c>
      <c r="E2495" t="s">
        <v>2500</v>
      </c>
      <c r="F2495" t="s"/>
      <c r="G2495" t="s"/>
      <c r="H2495" t="s"/>
      <c r="I2495" t="s"/>
      <c r="J2495" t="n">
        <v>0</v>
      </c>
      <c r="K2495" t="n">
        <v>0</v>
      </c>
      <c r="L2495" t="n">
        <v>1</v>
      </c>
      <c r="M2495" t="n">
        <v>0</v>
      </c>
    </row>
    <row r="2496" spans="1:13">
      <c r="A2496" s="1">
        <f>HYPERLINK("http://www.twitter.com/NathanBLawrence/status/795727607744565249", "795727607744565249")</f>
        <v/>
      </c>
      <c r="B2496" s="2" t="n">
        <v>42681.86134259259</v>
      </c>
      <c r="C2496" t="n">
        <v>0</v>
      </c>
      <c r="D2496" t="n">
        <v>1</v>
      </c>
      <c r="E2496" t="s">
        <v>2501</v>
      </c>
      <c r="F2496" t="s"/>
      <c r="G2496" t="s"/>
      <c r="H2496" t="s"/>
      <c r="I2496" t="s"/>
      <c r="J2496" t="n">
        <v>0</v>
      </c>
      <c r="K2496" t="n">
        <v>0</v>
      </c>
      <c r="L2496" t="n">
        <v>1</v>
      </c>
      <c r="M2496" t="n">
        <v>0</v>
      </c>
    </row>
    <row r="2497" spans="1:13">
      <c r="A2497" s="1">
        <f>HYPERLINK("http://www.twitter.com/NathanBLawrence/status/795717130822029312", "795717130822029312")</f>
        <v/>
      </c>
      <c r="B2497" s="2" t="n">
        <v>42681.83243055556</v>
      </c>
      <c r="C2497" t="n">
        <v>0</v>
      </c>
      <c r="D2497" t="n">
        <v>5179</v>
      </c>
      <c r="E2497" t="s">
        <v>2502</v>
      </c>
      <c r="F2497">
        <f>HYPERLINK("http://pbs.twimg.com/media/CwrxGcTUcAAwG7D.jpg", "http://pbs.twimg.com/media/CwrxGcTUcAAwG7D.jpg")</f>
        <v/>
      </c>
      <c r="G2497" t="s"/>
      <c r="H2497" t="s"/>
      <c r="I2497" t="s"/>
      <c r="J2497" t="n">
        <v>0</v>
      </c>
      <c r="K2497" t="n">
        <v>0</v>
      </c>
      <c r="L2497" t="n">
        <v>1</v>
      </c>
      <c r="M2497" t="n">
        <v>0</v>
      </c>
    </row>
    <row r="2498" spans="1:13">
      <c r="A2498" s="1">
        <f>HYPERLINK("http://www.twitter.com/NathanBLawrence/status/795713659351793664", "795713659351793664")</f>
        <v/>
      </c>
      <c r="B2498" s="2" t="n">
        <v>42681.82284722223</v>
      </c>
      <c r="C2498" t="n">
        <v>0</v>
      </c>
      <c r="D2498" t="n">
        <v>106</v>
      </c>
      <c r="E2498" t="s">
        <v>2503</v>
      </c>
      <c r="F2498" t="s"/>
      <c r="G2498" t="s"/>
      <c r="H2498" t="s"/>
      <c r="I2498" t="s"/>
      <c r="J2498" t="n">
        <v>-0.0772</v>
      </c>
      <c r="K2498" t="n">
        <v>0.157</v>
      </c>
      <c r="L2498" t="n">
        <v>0.655</v>
      </c>
      <c r="M2498" t="n">
        <v>0.188</v>
      </c>
    </row>
    <row r="2499" spans="1:13">
      <c r="A2499" s="1">
        <f>HYPERLINK("http://www.twitter.com/NathanBLawrence/status/795709663761354752", "795709663761354752")</f>
        <v/>
      </c>
      <c r="B2499" s="2" t="n">
        <v>42681.81182870371</v>
      </c>
      <c r="C2499" t="n">
        <v>0</v>
      </c>
      <c r="D2499" t="n">
        <v>132</v>
      </c>
      <c r="E2499" t="s">
        <v>2504</v>
      </c>
      <c r="F2499" t="s"/>
      <c r="G2499" t="s"/>
      <c r="H2499" t="s"/>
      <c r="I2499" t="s"/>
      <c r="J2499" t="n">
        <v>0.6249</v>
      </c>
      <c r="K2499" t="n">
        <v>0</v>
      </c>
      <c r="L2499" t="n">
        <v>0.806</v>
      </c>
      <c r="M2499" t="n">
        <v>0.194</v>
      </c>
    </row>
    <row r="2500" spans="1:13">
      <c r="A2500" s="1">
        <f>HYPERLINK("http://www.twitter.com/NathanBLawrence/status/795706649432510464", "795706649432510464")</f>
        <v/>
      </c>
      <c r="B2500" s="2" t="n">
        <v>42681.80350694444</v>
      </c>
      <c r="C2500" t="n">
        <v>0</v>
      </c>
      <c r="D2500" t="n">
        <v>2705</v>
      </c>
      <c r="E2500" t="s">
        <v>2505</v>
      </c>
      <c r="F2500">
        <f>HYPERLINK("http://pbs.twimg.com/media/CwrlR75XAAAzJa8.jpg", "http://pbs.twimg.com/media/CwrlR75XAAAzJa8.jpg")</f>
        <v/>
      </c>
      <c r="G2500" t="s"/>
      <c r="H2500" t="s"/>
      <c r="I2500" t="s"/>
      <c r="J2500" t="n">
        <v>0</v>
      </c>
      <c r="K2500" t="n">
        <v>0</v>
      </c>
      <c r="L2500" t="n">
        <v>1</v>
      </c>
      <c r="M2500" t="n">
        <v>0</v>
      </c>
    </row>
    <row r="2501" spans="1:13">
      <c r="A2501" s="1">
        <f>HYPERLINK("http://www.twitter.com/NathanBLawrence/status/795706590045343744", "795706590045343744")</f>
        <v/>
      </c>
      <c r="B2501" s="2" t="n">
        <v>42681.80334490741</v>
      </c>
      <c r="C2501" t="n">
        <v>0</v>
      </c>
      <c r="D2501" t="n">
        <v>465</v>
      </c>
      <c r="E2501" t="s">
        <v>2506</v>
      </c>
      <c r="F2501">
        <f>HYPERLINK("http://pbs.twimg.com/media/Cwq4u3qXcAE7SVO.jpg", "http://pbs.twimg.com/media/Cwq4u3qXcAE7SVO.jpg")</f>
        <v/>
      </c>
      <c r="G2501" t="s"/>
      <c r="H2501" t="s"/>
      <c r="I2501" t="s"/>
      <c r="J2501" t="n">
        <v>0.5411</v>
      </c>
      <c r="K2501" t="n">
        <v>0</v>
      </c>
      <c r="L2501" t="n">
        <v>0.757</v>
      </c>
      <c r="M2501" t="n">
        <v>0.243</v>
      </c>
    </row>
    <row r="2502" spans="1:13">
      <c r="A2502" s="1">
        <f>HYPERLINK("http://www.twitter.com/NathanBLawrence/status/795706344460447746", "795706344460447746")</f>
        <v/>
      </c>
      <c r="B2502" s="2" t="n">
        <v>42681.80266203704</v>
      </c>
      <c r="C2502" t="n">
        <v>0</v>
      </c>
      <c r="D2502" t="n">
        <v>4130</v>
      </c>
      <c r="E2502" t="s">
        <v>2507</v>
      </c>
      <c r="F2502" t="s"/>
      <c r="G2502" t="s"/>
      <c r="H2502" t="s"/>
      <c r="I2502" t="s"/>
      <c r="J2502" t="n">
        <v>-0.34</v>
      </c>
      <c r="K2502" t="n">
        <v>0.156</v>
      </c>
      <c r="L2502" t="n">
        <v>0.844</v>
      </c>
      <c r="M2502" t="n">
        <v>0</v>
      </c>
    </row>
    <row r="2503" spans="1:13">
      <c r="A2503" s="1">
        <f>HYPERLINK("http://www.twitter.com/NathanBLawrence/status/795701285609701376", "795701285609701376")</f>
        <v/>
      </c>
      <c r="B2503" s="2" t="n">
        <v>42681.78870370371</v>
      </c>
      <c r="C2503" t="n">
        <v>0</v>
      </c>
      <c r="D2503" t="n">
        <v>828</v>
      </c>
      <c r="E2503" t="s">
        <v>2508</v>
      </c>
      <c r="F2503" t="s"/>
      <c r="G2503" t="s"/>
      <c r="H2503" t="s"/>
      <c r="I2503" t="s"/>
      <c r="J2503" t="n">
        <v>0</v>
      </c>
      <c r="K2503" t="n">
        <v>0</v>
      </c>
      <c r="L2503" t="n">
        <v>1</v>
      </c>
      <c r="M2503" t="n">
        <v>0</v>
      </c>
    </row>
    <row r="2504" spans="1:13">
      <c r="A2504" s="1">
        <f>HYPERLINK("http://www.twitter.com/NathanBLawrence/status/795700866825289728", "795700866825289728")</f>
        <v/>
      </c>
      <c r="B2504" s="2" t="n">
        <v>42681.7875462963</v>
      </c>
      <c r="C2504" t="n">
        <v>0</v>
      </c>
      <c r="D2504" t="n">
        <v>5546</v>
      </c>
      <c r="E2504" t="s">
        <v>2509</v>
      </c>
      <c r="F2504" t="s"/>
      <c r="G2504" t="s"/>
      <c r="H2504" t="s"/>
      <c r="I2504" t="s"/>
      <c r="J2504" t="n">
        <v>0</v>
      </c>
      <c r="K2504" t="n">
        <v>0</v>
      </c>
      <c r="L2504" t="n">
        <v>1</v>
      </c>
      <c r="M2504" t="n">
        <v>0</v>
      </c>
    </row>
    <row r="2505" spans="1:13">
      <c r="A2505" s="1">
        <f>HYPERLINK("http://www.twitter.com/NathanBLawrence/status/795697960940138496", "795697960940138496")</f>
        <v/>
      </c>
      <c r="B2505" s="2" t="n">
        <v>42681.77952546296</v>
      </c>
      <c r="C2505" t="n">
        <v>0</v>
      </c>
      <c r="D2505" t="n">
        <v>0</v>
      </c>
      <c r="E2505" t="s">
        <v>2510</v>
      </c>
      <c r="F2505" t="s"/>
      <c r="G2505" t="s"/>
      <c r="H2505" t="s"/>
      <c r="I2505" t="s"/>
      <c r="J2505" t="n">
        <v>0.4019</v>
      </c>
      <c r="K2505" t="n">
        <v>0</v>
      </c>
      <c r="L2505" t="n">
        <v>0.722</v>
      </c>
      <c r="M2505" t="n">
        <v>0.278</v>
      </c>
    </row>
    <row r="2506" spans="1:13">
      <c r="A2506" s="1">
        <f>HYPERLINK("http://www.twitter.com/NathanBLawrence/status/795697229185032193", "795697229185032193")</f>
        <v/>
      </c>
      <c r="B2506" s="2" t="n">
        <v>42681.77751157407</v>
      </c>
      <c r="C2506" t="n">
        <v>0</v>
      </c>
      <c r="D2506" t="n">
        <v>2845</v>
      </c>
      <c r="E2506" t="s">
        <v>2511</v>
      </c>
      <c r="F2506" t="s"/>
      <c r="G2506" t="s"/>
      <c r="H2506" t="s"/>
      <c r="I2506" t="s"/>
      <c r="J2506" t="n">
        <v>-0.8542999999999999</v>
      </c>
      <c r="K2506" t="n">
        <v>0.32</v>
      </c>
      <c r="L2506" t="n">
        <v>0.609</v>
      </c>
      <c r="M2506" t="n">
        <v>0.07099999999999999</v>
      </c>
    </row>
    <row r="2507" spans="1:13">
      <c r="A2507" s="1">
        <f>HYPERLINK("http://www.twitter.com/NathanBLawrence/status/795697113908871177", "795697113908871177")</f>
        <v/>
      </c>
      <c r="B2507" s="2" t="n">
        <v>42681.7771875</v>
      </c>
      <c r="C2507" t="n">
        <v>0</v>
      </c>
      <c r="D2507" t="n">
        <v>10379</v>
      </c>
      <c r="E2507" t="s">
        <v>2512</v>
      </c>
      <c r="F2507">
        <f>HYPERLINK("http://pbs.twimg.com/media/CwrgQK1XgAAhSdY.jpg", "http://pbs.twimg.com/media/CwrgQK1XgAAhSdY.jpg")</f>
        <v/>
      </c>
      <c r="G2507" t="s"/>
      <c r="H2507" t="s"/>
      <c r="I2507" t="s"/>
      <c r="J2507" t="n">
        <v>0</v>
      </c>
      <c r="K2507" t="n">
        <v>0</v>
      </c>
      <c r="L2507" t="n">
        <v>1</v>
      </c>
      <c r="M2507" t="n">
        <v>0</v>
      </c>
    </row>
    <row r="2508" spans="1:13">
      <c r="A2508" s="1">
        <f>HYPERLINK("http://www.twitter.com/NathanBLawrence/status/795696168663740420", "795696168663740420")</f>
        <v/>
      </c>
      <c r="B2508" s="2" t="n">
        <v>42681.77458333333</v>
      </c>
      <c r="C2508" t="n">
        <v>0</v>
      </c>
      <c r="D2508" t="n">
        <v>38</v>
      </c>
      <c r="E2508" t="s">
        <v>2513</v>
      </c>
      <c r="F2508" t="s"/>
      <c r="G2508" t="s"/>
      <c r="H2508" t="s"/>
      <c r="I2508" t="s"/>
      <c r="J2508" t="n">
        <v>0.7885</v>
      </c>
      <c r="K2508" t="n">
        <v>0</v>
      </c>
      <c r="L2508" t="n">
        <v>0.768</v>
      </c>
      <c r="M2508" t="n">
        <v>0.232</v>
      </c>
    </row>
    <row r="2509" spans="1:13">
      <c r="A2509" s="1">
        <f>HYPERLINK("http://www.twitter.com/NathanBLawrence/status/795694160481284097", "795694160481284097")</f>
        <v/>
      </c>
      <c r="B2509" s="2" t="n">
        <v>42681.76903935185</v>
      </c>
      <c r="C2509" t="n">
        <v>0</v>
      </c>
      <c r="D2509" t="n">
        <v>11126</v>
      </c>
      <c r="E2509" t="s">
        <v>2514</v>
      </c>
      <c r="F2509" t="s"/>
      <c r="G2509" t="s"/>
      <c r="H2509" t="s"/>
      <c r="I2509" t="s"/>
      <c r="J2509" t="n">
        <v>-0.8316</v>
      </c>
      <c r="K2509" t="n">
        <v>0.317</v>
      </c>
      <c r="L2509" t="n">
        <v>0.6830000000000001</v>
      </c>
      <c r="M2509" t="n">
        <v>0</v>
      </c>
    </row>
    <row r="2510" spans="1:13">
      <c r="A2510" s="1">
        <f>HYPERLINK("http://www.twitter.com/NathanBLawrence/status/795684509995962368", "795684509995962368")</f>
        <v/>
      </c>
      <c r="B2510" s="2" t="n">
        <v>42681.74240740741</v>
      </c>
      <c r="C2510" t="n">
        <v>0</v>
      </c>
      <c r="D2510" t="n">
        <v>37</v>
      </c>
      <c r="E2510" t="s">
        <v>2515</v>
      </c>
      <c r="F2510">
        <f>HYPERLINK("http://pbs.twimg.com/media/CwbkqD4XgAAzT7F.jpg", "http://pbs.twimg.com/media/CwbkqD4XgAAzT7F.jpg")</f>
        <v/>
      </c>
      <c r="G2510" t="s"/>
      <c r="H2510" t="s"/>
      <c r="I2510" t="s"/>
      <c r="J2510" t="n">
        <v>0</v>
      </c>
      <c r="K2510" t="n">
        <v>0</v>
      </c>
      <c r="L2510" t="n">
        <v>1</v>
      </c>
      <c r="M2510" t="n">
        <v>0</v>
      </c>
    </row>
    <row r="2511" spans="1:13">
      <c r="A2511" s="1">
        <f>HYPERLINK("http://www.twitter.com/NathanBLawrence/status/795683777901109248", "795683777901109248")</f>
        <v/>
      </c>
      <c r="B2511" s="2" t="n">
        <v>42681.74039351852</v>
      </c>
      <c r="C2511" t="n">
        <v>0</v>
      </c>
      <c r="D2511" t="n">
        <v>67</v>
      </c>
      <c r="E2511" t="s">
        <v>2516</v>
      </c>
      <c r="F2511">
        <f>HYPERLINK("http://pbs.twimg.com/media/CwX1b6dXUAEEIj5.jpg", "http://pbs.twimg.com/media/CwX1b6dXUAEEIj5.jpg")</f>
        <v/>
      </c>
      <c r="G2511" t="s"/>
      <c r="H2511" t="s"/>
      <c r="I2511" t="s"/>
      <c r="J2511" t="n">
        <v>0</v>
      </c>
      <c r="K2511" t="n">
        <v>0</v>
      </c>
      <c r="L2511" t="n">
        <v>1</v>
      </c>
      <c r="M2511" t="n">
        <v>0</v>
      </c>
    </row>
    <row r="2512" spans="1:13">
      <c r="A2512" s="1">
        <f>HYPERLINK("http://www.twitter.com/NathanBLawrence/status/795681239596486656", "795681239596486656")</f>
        <v/>
      </c>
      <c r="B2512" s="2" t="n">
        <v>42681.73339120371</v>
      </c>
      <c r="C2512" t="n">
        <v>0</v>
      </c>
      <c r="D2512" t="n">
        <v>2</v>
      </c>
      <c r="E2512" t="s">
        <v>2517</v>
      </c>
      <c r="F2512" t="s"/>
      <c r="G2512" t="s"/>
      <c r="H2512" t="s"/>
      <c r="I2512" t="s"/>
      <c r="J2512" t="n">
        <v>-0.5106000000000001</v>
      </c>
      <c r="K2512" t="n">
        <v>0.142</v>
      </c>
      <c r="L2512" t="n">
        <v>0.858</v>
      </c>
      <c r="M2512" t="n">
        <v>0</v>
      </c>
    </row>
    <row r="2513" spans="1:13">
      <c r="A2513" s="1">
        <f>HYPERLINK("http://www.twitter.com/NathanBLawrence/status/795680139317248000", "795680139317248000")</f>
        <v/>
      </c>
      <c r="B2513" s="2" t="n">
        <v>42681.73034722222</v>
      </c>
      <c r="C2513" t="n">
        <v>0</v>
      </c>
      <c r="D2513" t="n">
        <v>57</v>
      </c>
      <c r="E2513" t="s">
        <v>2518</v>
      </c>
      <c r="F2513">
        <f>HYPERLINK("http://pbs.twimg.com/media/CwSghqaXgAAafge.jpg", "http://pbs.twimg.com/media/CwSghqaXgAAafge.jpg")</f>
        <v/>
      </c>
      <c r="G2513" t="s"/>
      <c r="H2513" t="s"/>
      <c r="I2513" t="s"/>
      <c r="J2513" t="n">
        <v>-0.4215</v>
      </c>
      <c r="K2513" t="n">
        <v>0.203</v>
      </c>
      <c r="L2513" t="n">
        <v>0.797</v>
      </c>
      <c r="M2513" t="n">
        <v>0</v>
      </c>
    </row>
    <row r="2514" spans="1:13">
      <c r="A2514" s="1">
        <f>HYPERLINK("http://www.twitter.com/NathanBLawrence/status/795679771703341056", "795679771703341056")</f>
        <v/>
      </c>
      <c r="B2514" s="2" t="n">
        <v>42681.72934027778</v>
      </c>
      <c r="C2514" t="n">
        <v>0</v>
      </c>
      <c r="D2514" t="n">
        <v>249</v>
      </c>
      <c r="E2514" t="s">
        <v>2519</v>
      </c>
      <c r="F2514" t="s"/>
      <c r="G2514" t="s"/>
      <c r="H2514" t="s"/>
      <c r="I2514" t="s"/>
      <c r="J2514" t="n">
        <v>0.6037</v>
      </c>
      <c r="K2514" t="n">
        <v>0</v>
      </c>
      <c r="L2514" t="n">
        <v>0.803</v>
      </c>
      <c r="M2514" t="n">
        <v>0.197</v>
      </c>
    </row>
    <row r="2515" spans="1:13">
      <c r="A2515" s="1">
        <f>HYPERLINK("http://www.twitter.com/NathanBLawrence/status/795679445894000641", "795679445894000641")</f>
        <v/>
      </c>
      <c r="B2515" s="2" t="n">
        <v>42681.7284375</v>
      </c>
      <c r="C2515" t="n">
        <v>0</v>
      </c>
      <c r="D2515" t="n">
        <v>305</v>
      </c>
      <c r="E2515" t="s">
        <v>2520</v>
      </c>
      <c r="F2515" t="s"/>
      <c r="G2515" t="s"/>
      <c r="H2515" t="s"/>
      <c r="I2515" t="s"/>
      <c r="J2515" t="n">
        <v>-0.1531</v>
      </c>
      <c r="K2515" t="n">
        <v>0.146</v>
      </c>
      <c r="L2515" t="n">
        <v>0.6919999999999999</v>
      </c>
      <c r="M2515" t="n">
        <v>0.162</v>
      </c>
    </row>
    <row r="2516" spans="1:13">
      <c r="A2516" s="1">
        <f>HYPERLINK("http://www.twitter.com/NathanBLawrence/status/795679357511602176", "795679357511602176")</f>
        <v/>
      </c>
      <c r="B2516" s="2" t="n">
        <v>42681.72819444445</v>
      </c>
      <c r="C2516" t="n">
        <v>0</v>
      </c>
      <c r="D2516" t="n">
        <v>593</v>
      </c>
      <c r="E2516" t="s">
        <v>2521</v>
      </c>
      <c r="F2516" t="s"/>
      <c r="G2516" t="s"/>
      <c r="H2516" t="s"/>
      <c r="I2516" t="s"/>
      <c r="J2516" t="n">
        <v>-0.2732</v>
      </c>
      <c r="K2516" t="n">
        <v>0.091</v>
      </c>
      <c r="L2516" t="n">
        <v>0.909</v>
      </c>
      <c r="M2516" t="n">
        <v>0</v>
      </c>
    </row>
    <row r="2517" spans="1:13">
      <c r="A2517" s="1">
        <f>HYPERLINK("http://www.twitter.com/NathanBLawrence/status/795676292427419649", "795676292427419649")</f>
        <v/>
      </c>
      <c r="B2517" s="2" t="n">
        <v>42681.71973379629</v>
      </c>
      <c r="C2517" t="n">
        <v>0</v>
      </c>
      <c r="D2517" t="n">
        <v>2581</v>
      </c>
      <c r="E2517" t="s">
        <v>2522</v>
      </c>
      <c r="F2517">
        <f>HYPERLINK("http://pbs.twimg.com/media/Cwqqd7jXgAAS0ly.jpg", "http://pbs.twimg.com/media/Cwqqd7jXgAAS0ly.jpg")</f>
        <v/>
      </c>
      <c r="G2517" t="s"/>
      <c r="H2517" t="s"/>
      <c r="I2517" t="s"/>
      <c r="J2517" t="n">
        <v>0.6249</v>
      </c>
      <c r="K2517" t="n">
        <v>0</v>
      </c>
      <c r="L2517" t="n">
        <v>0.779</v>
      </c>
      <c r="M2517" t="n">
        <v>0.221</v>
      </c>
    </row>
    <row r="2518" spans="1:13">
      <c r="A2518" s="1">
        <f>HYPERLINK("http://www.twitter.com/NathanBLawrence/status/795675772723888129", "795675772723888129")</f>
        <v/>
      </c>
      <c r="B2518" s="2" t="n">
        <v>42681.71829861111</v>
      </c>
      <c r="C2518" t="n">
        <v>0</v>
      </c>
      <c r="D2518" t="n">
        <v>3399</v>
      </c>
      <c r="E2518" t="s">
        <v>2523</v>
      </c>
      <c r="F2518">
        <f>HYPERLINK("http://pbs.twimg.com/media/CwrNL2WXgAIjBHW.jpg", "http://pbs.twimg.com/media/CwrNL2WXgAIjBHW.jpg")</f>
        <v/>
      </c>
      <c r="G2518" t="s"/>
      <c r="H2518" t="s"/>
      <c r="I2518" t="s"/>
      <c r="J2518" t="n">
        <v>0</v>
      </c>
      <c r="K2518" t="n">
        <v>0</v>
      </c>
      <c r="L2518" t="n">
        <v>1</v>
      </c>
      <c r="M2518" t="n">
        <v>0</v>
      </c>
    </row>
    <row r="2519" spans="1:13">
      <c r="A2519" s="1">
        <f>HYPERLINK("http://www.twitter.com/NathanBLawrence/status/795674559705993217", "795674559705993217")</f>
        <v/>
      </c>
      <c r="B2519" s="2" t="n">
        <v>42681.7149537037</v>
      </c>
      <c r="C2519" t="n">
        <v>0</v>
      </c>
      <c r="D2519" t="n">
        <v>515</v>
      </c>
      <c r="E2519" t="s">
        <v>2524</v>
      </c>
      <c r="F2519" t="s"/>
      <c r="G2519" t="s"/>
      <c r="H2519" t="s"/>
      <c r="I2519" t="s"/>
      <c r="J2519" t="n">
        <v>0</v>
      </c>
      <c r="K2519" t="n">
        <v>0</v>
      </c>
      <c r="L2519" t="n">
        <v>1</v>
      </c>
      <c r="M2519" t="n">
        <v>0</v>
      </c>
    </row>
    <row r="2520" spans="1:13">
      <c r="A2520" s="1">
        <f>HYPERLINK("http://www.twitter.com/NathanBLawrence/status/795673106090262529", "795673106090262529")</f>
        <v/>
      </c>
      <c r="B2520" s="2" t="n">
        <v>42681.71094907408</v>
      </c>
      <c r="C2520" t="n">
        <v>0</v>
      </c>
      <c r="D2520" t="n">
        <v>1780</v>
      </c>
      <c r="E2520" t="s">
        <v>2525</v>
      </c>
      <c r="F2520" t="s"/>
      <c r="G2520" t="s"/>
      <c r="H2520" t="s"/>
      <c r="I2520" t="s"/>
      <c r="J2520" t="n">
        <v>0</v>
      </c>
      <c r="K2520" t="n">
        <v>0</v>
      </c>
      <c r="L2520" t="n">
        <v>1</v>
      </c>
      <c r="M2520" t="n">
        <v>0</v>
      </c>
    </row>
    <row r="2521" spans="1:13">
      <c r="A2521" s="1">
        <f>HYPERLINK("http://www.twitter.com/NathanBLawrence/status/795672098991652864", "795672098991652864")</f>
        <v/>
      </c>
      <c r="B2521" s="2" t="n">
        <v>42681.70815972222</v>
      </c>
      <c r="C2521" t="n">
        <v>0</v>
      </c>
      <c r="D2521" t="n">
        <v>47</v>
      </c>
      <c r="E2521" t="s">
        <v>2526</v>
      </c>
      <c r="F2521">
        <f>HYPERLINK("http://pbs.twimg.com/media/CwrGQwiWEAAbynE.jpg", "http://pbs.twimg.com/media/CwrGQwiWEAAbynE.jpg")</f>
        <v/>
      </c>
      <c r="G2521" t="s"/>
      <c r="H2521" t="s"/>
      <c r="I2521" t="s"/>
      <c r="J2521" t="n">
        <v>-0.1027</v>
      </c>
      <c r="K2521" t="n">
        <v>0.053</v>
      </c>
      <c r="L2521" t="n">
        <v>0.947</v>
      </c>
      <c r="M2521" t="n">
        <v>0</v>
      </c>
    </row>
    <row r="2522" spans="1:13">
      <c r="A2522" s="1">
        <f>HYPERLINK("http://www.twitter.com/NathanBLawrence/status/795671326199611392", "795671326199611392")</f>
        <v/>
      </c>
      <c r="B2522" s="2" t="n">
        <v>42681.7060300926</v>
      </c>
      <c r="C2522" t="n">
        <v>0</v>
      </c>
      <c r="D2522" t="n">
        <v>4</v>
      </c>
      <c r="E2522" t="s">
        <v>2527</v>
      </c>
      <c r="F2522" t="s"/>
      <c r="G2522" t="s"/>
      <c r="H2522" t="s"/>
      <c r="I2522" t="s"/>
      <c r="J2522" t="n">
        <v>-0.5859</v>
      </c>
      <c r="K2522" t="n">
        <v>0.202</v>
      </c>
      <c r="L2522" t="n">
        <v>0.798</v>
      </c>
      <c r="M2522" t="n">
        <v>0</v>
      </c>
    </row>
    <row r="2523" spans="1:13">
      <c r="A2523" s="1">
        <f>HYPERLINK("http://www.twitter.com/NathanBLawrence/status/795670063277834240", "795670063277834240")</f>
        <v/>
      </c>
      <c r="B2523" s="2" t="n">
        <v>42681.7025462963</v>
      </c>
      <c r="C2523" t="n">
        <v>0</v>
      </c>
      <c r="D2523" t="n">
        <v>24</v>
      </c>
      <c r="E2523" t="s">
        <v>2528</v>
      </c>
      <c r="F2523">
        <f>HYPERLINK("http://pbs.twimg.com/media/Cwm0VucXcAAxWDI.jpg", "http://pbs.twimg.com/media/Cwm0VucXcAAxWDI.jpg")</f>
        <v/>
      </c>
      <c r="G2523" t="s"/>
      <c r="H2523" t="s"/>
      <c r="I2523" t="s"/>
      <c r="J2523" t="n">
        <v>0</v>
      </c>
      <c r="K2523" t="n">
        <v>0</v>
      </c>
      <c r="L2523" t="n">
        <v>1</v>
      </c>
      <c r="M2523" t="n">
        <v>0</v>
      </c>
    </row>
    <row r="2524" spans="1:13">
      <c r="A2524" s="1">
        <f>HYPERLINK("http://www.twitter.com/NathanBLawrence/status/795666213531684864", "795666213531684864")</f>
        <v/>
      </c>
      <c r="B2524" s="2" t="n">
        <v>42681.6919212963</v>
      </c>
      <c r="C2524" t="n">
        <v>0</v>
      </c>
      <c r="D2524" t="n">
        <v>147</v>
      </c>
      <c r="E2524" t="s">
        <v>2529</v>
      </c>
      <c r="F2524" t="s"/>
      <c r="G2524" t="s"/>
      <c r="H2524" t="s"/>
      <c r="I2524" t="s"/>
      <c r="J2524" t="n">
        <v>0.3365</v>
      </c>
      <c r="K2524" t="n">
        <v>0.08599999999999999</v>
      </c>
      <c r="L2524" t="n">
        <v>0.758</v>
      </c>
      <c r="M2524" t="n">
        <v>0.156</v>
      </c>
    </row>
    <row r="2525" spans="1:13">
      <c r="A2525" s="1">
        <f>HYPERLINK("http://www.twitter.com/NathanBLawrence/status/795666102189748224", "795666102189748224")</f>
        <v/>
      </c>
      <c r="B2525" s="2" t="n">
        <v>42681.69162037037</v>
      </c>
      <c r="C2525" t="n">
        <v>0</v>
      </c>
      <c r="D2525" t="n">
        <v>12</v>
      </c>
      <c r="E2525" t="s">
        <v>2530</v>
      </c>
      <c r="F2525">
        <f>HYPERLINK("http://pbs.twimg.com/media/Cwq_1hSXAAAmHoW.jpg", "http://pbs.twimg.com/media/Cwq_1hSXAAAmHoW.jpg")</f>
        <v/>
      </c>
      <c r="G2525">
        <f>HYPERLINK("http://pbs.twimg.com/media/Cwq_1hTWIAErOTc.jpg", "http://pbs.twimg.com/media/Cwq_1hTWIAErOTc.jpg")</f>
        <v/>
      </c>
      <c r="H2525" t="s"/>
      <c r="I2525" t="s"/>
      <c r="J2525" t="n">
        <v>-0.875</v>
      </c>
      <c r="K2525" t="n">
        <v>0.424</v>
      </c>
      <c r="L2525" t="n">
        <v>0.492</v>
      </c>
      <c r="M2525" t="n">
        <v>0.083</v>
      </c>
    </row>
    <row r="2526" spans="1:13">
      <c r="A2526" s="1">
        <f>HYPERLINK("http://www.twitter.com/NathanBLawrence/status/795665464412241920", "795665464412241920")</f>
        <v/>
      </c>
      <c r="B2526" s="2" t="n">
        <v>42681.68986111111</v>
      </c>
      <c r="C2526" t="n">
        <v>0</v>
      </c>
      <c r="D2526" t="n">
        <v>168</v>
      </c>
      <c r="E2526" t="s">
        <v>2531</v>
      </c>
      <c r="F2526" t="s"/>
      <c r="G2526" t="s"/>
      <c r="H2526" t="s"/>
      <c r="I2526" t="s"/>
      <c r="J2526" t="n">
        <v>0</v>
      </c>
      <c r="K2526" t="n">
        <v>0</v>
      </c>
      <c r="L2526" t="n">
        <v>1</v>
      </c>
      <c r="M2526" t="n">
        <v>0</v>
      </c>
    </row>
    <row r="2527" spans="1:13">
      <c r="A2527" s="1">
        <f>HYPERLINK("http://www.twitter.com/NathanBLawrence/status/795663529185517573", "795663529185517573")</f>
        <v/>
      </c>
      <c r="B2527" s="2" t="n">
        <v>42681.68451388889</v>
      </c>
      <c r="C2527" t="n">
        <v>0</v>
      </c>
      <c r="D2527" t="n">
        <v>10617</v>
      </c>
      <c r="E2527" t="s">
        <v>2532</v>
      </c>
      <c r="F2527" t="s"/>
      <c r="G2527" t="s"/>
      <c r="H2527" t="s"/>
      <c r="I2527" t="s"/>
      <c r="J2527" t="n">
        <v>0.4696</v>
      </c>
      <c r="K2527" t="n">
        <v>0</v>
      </c>
      <c r="L2527" t="n">
        <v>0.873</v>
      </c>
      <c r="M2527" t="n">
        <v>0.127</v>
      </c>
    </row>
    <row r="2528" spans="1:13">
      <c r="A2528" s="1">
        <f>HYPERLINK("http://www.twitter.com/NathanBLawrence/status/795661913669664768", "795661913669664768")</f>
        <v/>
      </c>
      <c r="B2528" s="2" t="n">
        <v>42681.68005787037</v>
      </c>
      <c r="C2528" t="n">
        <v>0</v>
      </c>
      <c r="D2528" t="n">
        <v>1072</v>
      </c>
      <c r="E2528" t="s">
        <v>2533</v>
      </c>
      <c r="F2528" t="s"/>
      <c r="G2528" t="s"/>
      <c r="H2528" t="s"/>
      <c r="I2528" t="s"/>
      <c r="J2528" t="n">
        <v>-0.6597</v>
      </c>
      <c r="K2528" t="n">
        <v>0.213</v>
      </c>
      <c r="L2528" t="n">
        <v>0.787</v>
      </c>
      <c r="M2528" t="n">
        <v>0</v>
      </c>
    </row>
    <row r="2529" spans="1:13">
      <c r="A2529" s="1">
        <f>HYPERLINK("http://www.twitter.com/NathanBLawrence/status/795658974909595648", "795658974909595648")</f>
        <v/>
      </c>
      <c r="B2529" s="2" t="n">
        <v>42681.67194444445</v>
      </c>
      <c r="C2529" t="n">
        <v>0</v>
      </c>
      <c r="D2529" t="n">
        <v>604</v>
      </c>
      <c r="E2529" t="s">
        <v>2534</v>
      </c>
      <c r="F2529" t="s"/>
      <c r="G2529" t="s"/>
      <c r="H2529" t="s"/>
      <c r="I2529" t="s"/>
      <c r="J2529" t="n">
        <v>0.1531</v>
      </c>
      <c r="K2529" t="n">
        <v>0.145</v>
      </c>
      <c r="L2529" t="n">
        <v>0.6850000000000001</v>
      </c>
      <c r="M2529" t="n">
        <v>0.169</v>
      </c>
    </row>
    <row r="2530" spans="1:13">
      <c r="A2530" s="1">
        <f>HYPERLINK("http://www.twitter.com/NathanBLawrence/status/795657744040726532", "795657744040726532")</f>
        <v/>
      </c>
      <c r="B2530" s="2" t="n">
        <v>42681.66855324074</v>
      </c>
      <c r="C2530" t="n">
        <v>0</v>
      </c>
      <c r="D2530" t="n">
        <v>11099</v>
      </c>
      <c r="E2530" t="s">
        <v>2535</v>
      </c>
      <c r="F2530" t="s"/>
      <c r="G2530" t="s"/>
      <c r="H2530" t="s"/>
      <c r="I2530" t="s"/>
      <c r="J2530" t="n">
        <v>0.4019</v>
      </c>
      <c r="K2530" t="n">
        <v>0</v>
      </c>
      <c r="L2530" t="n">
        <v>0.87</v>
      </c>
      <c r="M2530" t="n">
        <v>0.13</v>
      </c>
    </row>
    <row r="2531" spans="1:13">
      <c r="A2531" s="1">
        <f>HYPERLINK("http://www.twitter.com/NathanBLawrence/status/795657661782130688", "795657661782130688")</f>
        <v/>
      </c>
      <c r="B2531" s="2" t="n">
        <v>42681.66832175926</v>
      </c>
      <c r="C2531" t="n">
        <v>0</v>
      </c>
      <c r="D2531" t="n">
        <v>5580</v>
      </c>
      <c r="E2531" t="s">
        <v>2536</v>
      </c>
      <c r="F2531">
        <f>HYPERLINK("http://pbs.twimg.com/media/CwoJ_rwWEAEOsD0.jpg", "http://pbs.twimg.com/media/CwoJ_rwWEAEOsD0.jpg")</f>
        <v/>
      </c>
      <c r="G2531" t="s"/>
      <c r="H2531" t="s"/>
      <c r="I2531" t="s"/>
      <c r="J2531" t="n">
        <v>0</v>
      </c>
      <c r="K2531" t="n">
        <v>0</v>
      </c>
      <c r="L2531" t="n">
        <v>1</v>
      </c>
      <c r="M2531" t="n">
        <v>0</v>
      </c>
    </row>
    <row r="2532" spans="1:13">
      <c r="A2532" s="1">
        <f>HYPERLINK("http://www.twitter.com/NathanBLawrence/status/795657558761635840", "795657558761635840")</f>
        <v/>
      </c>
      <c r="B2532" s="2" t="n">
        <v>42681.66804398148</v>
      </c>
      <c r="C2532" t="n">
        <v>0</v>
      </c>
      <c r="D2532" t="n">
        <v>14774</v>
      </c>
      <c r="E2532" t="s">
        <v>2537</v>
      </c>
      <c r="F2532">
        <f>HYPERLINK("http://pbs.twimg.com/media/CwokSo1WgAEjHlp.jpg", "http://pbs.twimg.com/media/CwokSo1WgAEjHlp.jpg")</f>
        <v/>
      </c>
      <c r="G2532" t="s"/>
      <c r="H2532" t="s"/>
      <c r="I2532" t="s"/>
      <c r="J2532" t="n">
        <v>0.2263</v>
      </c>
      <c r="K2532" t="n">
        <v>0</v>
      </c>
      <c r="L2532" t="n">
        <v>0.888</v>
      </c>
      <c r="M2532" t="n">
        <v>0.112</v>
      </c>
    </row>
    <row r="2533" spans="1:13">
      <c r="A2533" s="1">
        <f>HYPERLINK("http://www.twitter.com/NathanBLawrence/status/795657517951057925", "795657517951057925")</f>
        <v/>
      </c>
      <c r="B2533" s="2" t="n">
        <v>42681.66792824074</v>
      </c>
      <c r="C2533" t="n">
        <v>0</v>
      </c>
      <c r="D2533" t="n">
        <v>8109</v>
      </c>
      <c r="E2533" t="s">
        <v>2538</v>
      </c>
      <c r="F2533">
        <f>HYPERLINK("http://pbs.twimg.com/media/CwoiXaiXgAA0TSX.jpg", "http://pbs.twimg.com/media/CwoiXaiXgAA0TSX.jpg")</f>
        <v/>
      </c>
      <c r="G2533" t="s"/>
      <c r="H2533" t="s"/>
      <c r="I2533" t="s"/>
      <c r="J2533" t="n">
        <v>0</v>
      </c>
      <c r="K2533" t="n">
        <v>0</v>
      </c>
      <c r="L2533" t="n">
        <v>1</v>
      </c>
      <c r="M2533" t="n">
        <v>0</v>
      </c>
    </row>
    <row r="2534" spans="1:13">
      <c r="A2534" s="1">
        <f>HYPERLINK("http://www.twitter.com/NathanBLawrence/status/795654566868119552", "795654566868119552")</f>
        <v/>
      </c>
      <c r="B2534" s="2" t="n">
        <v>42681.6597800926</v>
      </c>
      <c r="C2534" t="n">
        <v>0</v>
      </c>
      <c r="D2534" t="n">
        <v>744</v>
      </c>
      <c r="E2534" t="s">
        <v>2539</v>
      </c>
      <c r="F2534" t="s"/>
      <c r="G2534" t="s"/>
      <c r="H2534" t="s"/>
      <c r="I2534" t="s"/>
      <c r="J2534" t="n">
        <v>0</v>
      </c>
      <c r="K2534" t="n">
        <v>0</v>
      </c>
      <c r="L2534" t="n">
        <v>1</v>
      </c>
      <c r="M2534" t="n">
        <v>0</v>
      </c>
    </row>
    <row r="2535" spans="1:13">
      <c r="A2535" s="1">
        <f>HYPERLINK("http://www.twitter.com/NathanBLawrence/status/795653764048977921", "795653764048977921")</f>
        <v/>
      </c>
      <c r="B2535" s="2" t="n">
        <v>42681.65756944445</v>
      </c>
      <c r="C2535" t="n">
        <v>0</v>
      </c>
      <c r="D2535" t="n">
        <v>10</v>
      </c>
      <c r="E2535" t="s">
        <v>2540</v>
      </c>
      <c r="F2535" t="s"/>
      <c r="G2535" t="s"/>
      <c r="H2535" t="s"/>
      <c r="I2535" t="s"/>
      <c r="J2535" t="n">
        <v>0</v>
      </c>
      <c r="K2535" t="n">
        <v>0</v>
      </c>
      <c r="L2535" t="n">
        <v>1</v>
      </c>
      <c r="M2535" t="n">
        <v>0</v>
      </c>
    </row>
    <row r="2536" spans="1:13">
      <c r="A2536" s="1">
        <f>HYPERLINK("http://www.twitter.com/NathanBLawrence/status/795653558653874176", "795653558653874176")</f>
        <v/>
      </c>
      <c r="B2536" s="2" t="n">
        <v>42681.65700231482</v>
      </c>
      <c r="C2536" t="n">
        <v>0</v>
      </c>
      <c r="D2536" t="n">
        <v>684</v>
      </c>
      <c r="E2536" t="s">
        <v>2541</v>
      </c>
      <c r="F2536" t="s"/>
      <c r="G2536" t="s"/>
      <c r="H2536" t="s"/>
      <c r="I2536" t="s"/>
      <c r="J2536" t="n">
        <v>0.2023</v>
      </c>
      <c r="K2536" t="n">
        <v>0</v>
      </c>
      <c r="L2536" t="n">
        <v>0.904</v>
      </c>
      <c r="M2536" t="n">
        <v>0.096</v>
      </c>
    </row>
    <row r="2537" spans="1:13">
      <c r="A2537" s="1">
        <f>HYPERLINK("http://www.twitter.com/NathanBLawrence/status/795653318009880576", "795653318009880576")</f>
        <v/>
      </c>
      <c r="B2537" s="2" t="n">
        <v>42681.65634259259</v>
      </c>
      <c r="C2537" t="n">
        <v>0</v>
      </c>
      <c r="D2537" t="n">
        <v>1452</v>
      </c>
      <c r="E2537" t="s">
        <v>2542</v>
      </c>
      <c r="F2537" t="s"/>
      <c r="G2537" t="s"/>
      <c r="H2537" t="s"/>
      <c r="I2537" t="s"/>
      <c r="J2537" t="n">
        <v>-0.2263</v>
      </c>
      <c r="K2537" t="n">
        <v>0.208</v>
      </c>
      <c r="L2537" t="n">
        <v>0.636</v>
      </c>
      <c r="M2537" t="n">
        <v>0.156</v>
      </c>
    </row>
    <row r="2538" spans="1:13">
      <c r="A2538" s="1">
        <f>HYPERLINK("http://www.twitter.com/NathanBLawrence/status/795652702776782849", "795652702776782849")</f>
        <v/>
      </c>
      <c r="B2538" s="2" t="n">
        <v>42681.65464120371</v>
      </c>
      <c r="C2538" t="n">
        <v>0</v>
      </c>
      <c r="D2538" t="n">
        <v>1651</v>
      </c>
      <c r="E2538" t="s">
        <v>2543</v>
      </c>
      <c r="F2538" t="s"/>
      <c r="G2538" t="s"/>
      <c r="H2538" t="s"/>
      <c r="I2538" t="s"/>
      <c r="J2538" t="n">
        <v>0</v>
      </c>
      <c r="K2538" t="n">
        <v>0</v>
      </c>
      <c r="L2538" t="n">
        <v>1</v>
      </c>
      <c r="M2538" t="n">
        <v>0</v>
      </c>
    </row>
    <row r="2539" spans="1:13">
      <c r="A2539" s="1">
        <f>HYPERLINK("http://www.twitter.com/NathanBLawrence/status/795642567903899649", "795642567903899649")</f>
        <v/>
      </c>
      <c r="B2539" s="2" t="n">
        <v>42681.62667824074</v>
      </c>
      <c r="C2539" t="n">
        <v>0</v>
      </c>
      <c r="D2539" t="n">
        <v>2782</v>
      </c>
      <c r="E2539" t="s">
        <v>2544</v>
      </c>
      <c r="F2539">
        <f>HYPERLINK("http://pbs.twimg.com/media/Cwo-ynNWEAA0IBY.jpg", "http://pbs.twimg.com/media/Cwo-ynNWEAA0IBY.jpg")</f>
        <v/>
      </c>
      <c r="G2539" t="s"/>
      <c r="H2539" t="s"/>
      <c r="I2539" t="s"/>
      <c r="J2539" t="n">
        <v>0</v>
      </c>
      <c r="K2539" t="n">
        <v>0</v>
      </c>
      <c r="L2539" t="n">
        <v>1</v>
      </c>
      <c r="M2539" t="n">
        <v>0</v>
      </c>
    </row>
    <row r="2540" spans="1:13">
      <c r="A2540" s="1">
        <f>HYPERLINK("http://www.twitter.com/NathanBLawrence/status/795638299759091712", "795638299759091712")</f>
        <v/>
      </c>
      <c r="B2540" s="2" t="n">
        <v>42681.61489583334</v>
      </c>
      <c r="C2540" t="n">
        <v>0</v>
      </c>
      <c r="D2540" t="n">
        <v>156</v>
      </c>
      <c r="E2540" t="s">
        <v>2545</v>
      </c>
      <c r="F2540" t="s"/>
      <c r="G2540" t="s"/>
      <c r="H2540" t="s"/>
      <c r="I2540" t="s"/>
      <c r="J2540" t="n">
        <v>-0.4767</v>
      </c>
      <c r="K2540" t="n">
        <v>0.172</v>
      </c>
      <c r="L2540" t="n">
        <v>0.749</v>
      </c>
      <c r="M2540" t="n">
        <v>0.079</v>
      </c>
    </row>
    <row r="2541" spans="1:13">
      <c r="A2541" s="1">
        <f>HYPERLINK("http://www.twitter.com/NathanBLawrence/status/795638059643666432", "795638059643666432")</f>
        <v/>
      </c>
      <c r="B2541" s="2" t="n">
        <v>42681.61423611111</v>
      </c>
      <c r="C2541" t="n">
        <v>0</v>
      </c>
      <c r="D2541" t="n">
        <v>558</v>
      </c>
      <c r="E2541" t="s">
        <v>2546</v>
      </c>
      <c r="F2541">
        <f>HYPERLINK("http://pbs.twimg.com/media/Cth3JemWYAAAKjG.jpg", "http://pbs.twimg.com/media/Cth3JemWYAAAKjG.jpg")</f>
        <v/>
      </c>
      <c r="G2541" t="s"/>
      <c r="H2541" t="s"/>
      <c r="I2541" t="s"/>
      <c r="J2541" t="n">
        <v>0</v>
      </c>
      <c r="K2541" t="n">
        <v>0</v>
      </c>
      <c r="L2541" t="n">
        <v>1</v>
      </c>
      <c r="M2541" t="n">
        <v>0</v>
      </c>
    </row>
    <row r="2542" spans="1:13">
      <c r="A2542" s="1">
        <f>HYPERLINK("http://www.twitter.com/NathanBLawrence/status/795637572638830593", "795637572638830593")</f>
        <v/>
      </c>
      <c r="B2542" s="2" t="n">
        <v>42681.61289351852</v>
      </c>
      <c r="C2542" t="n">
        <v>0</v>
      </c>
      <c r="D2542" t="n">
        <v>372</v>
      </c>
      <c r="E2542" t="s">
        <v>2547</v>
      </c>
      <c r="F2542" t="s"/>
      <c r="G2542" t="s"/>
      <c r="H2542" t="s"/>
      <c r="I2542" t="s"/>
      <c r="J2542" t="n">
        <v>-0.296</v>
      </c>
      <c r="K2542" t="n">
        <v>0.081</v>
      </c>
      <c r="L2542" t="n">
        <v>0.919</v>
      </c>
      <c r="M2542" t="n">
        <v>0</v>
      </c>
    </row>
    <row r="2543" spans="1:13">
      <c r="A2543" s="1">
        <f>HYPERLINK("http://www.twitter.com/NathanBLawrence/status/795637198477545472", "795637198477545472")</f>
        <v/>
      </c>
      <c r="B2543" s="2" t="n">
        <v>42681.61185185185</v>
      </c>
      <c r="C2543" t="n">
        <v>0</v>
      </c>
      <c r="D2543" t="n">
        <v>5215</v>
      </c>
      <c r="E2543" t="s">
        <v>2548</v>
      </c>
      <c r="F2543" t="s"/>
      <c r="G2543" t="s"/>
      <c r="H2543" t="s"/>
      <c r="I2543" t="s"/>
      <c r="J2543" t="n">
        <v>0</v>
      </c>
      <c r="K2543" t="n">
        <v>0</v>
      </c>
      <c r="L2543" t="n">
        <v>1</v>
      </c>
      <c r="M2543" t="n">
        <v>0</v>
      </c>
    </row>
    <row r="2544" spans="1:13">
      <c r="A2544" s="1">
        <f>HYPERLINK("http://www.twitter.com/NathanBLawrence/status/795634093262336000", "795634093262336000")</f>
        <v/>
      </c>
      <c r="B2544" s="2" t="n">
        <v>42681.60328703704</v>
      </c>
      <c r="C2544" t="n">
        <v>0</v>
      </c>
      <c r="D2544" t="n">
        <v>395</v>
      </c>
      <c r="E2544" t="s">
        <v>2549</v>
      </c>
      <c r="F2544">
        <f>HYPERLINK("http://pbs.twimg.com/media/CwqjHvlUkAE9xp7.jpg", "http://pbs.twimg.com/media/CwqjHvlUkAE9xp7.jpg")</f>
        <v/>
      </c>
      <c r="G2544" t="s"/>
      <c r="H2544" t="s"/>
      <c r="I2544" t="s"/>
      <c r="J2544" t="n">
        <v>0.8555</v>
      </c>
      <c r="K2544" t="n">
        <v>0</v>
      </c>
      <c r="L2544" t="n">
        <v>0.6909999999999999</v>
      </c>
      <c r="M2544" t="n">
        <v>0.309</v>
      </c>
    </row>
    <row r="2545" spans="1:13">
      <c r="A2545" s="1">
        <f>HYPERLINK("http://www.twitter.com/NathanBLawrence/status/795634016158449664", "795634016158449664")</f>
        <v/>
      </c>
      <c r="B2545" s="2" t="n">
        <v>42681.6030787037</v>
      </c>
      <c r="C2545" t="n">
        <v>0</v>
      </c>
      <c r="D2545" t="n">
        <v>3601</v>
      </c>
      <c r="E2545" t="s">
        <v>2550</v>
      </c>
      <c r="F2545">
        <f>HYPERLINK("http://pbs.twimg.com/media/CwqjIvwXEAAtLNg.jpg", "http://pbs.twimg.com/media/CwqjIvwXEAAtLNg.jpg")</f>
        <v/>
      </c>
      <c r="G2545" t="s"/>
      <c r="H2545" t="s"/>
      <c r="I2545" t="s"/>
      <c r="J2545" t="n">
        <v>0</v>
      </c>
      <c r="K2545" t="n">
        <v>0</v>
      </c>
      <c r="L2545" t="n">
        <v>1</v>
      </c>
      <c r="M2545" t="n">
        <v>0</v>
      </c>
    </row>
    <row r="2546" spans="1:13">
      <c r="A2546" s="1">
        <f>HYPERLINK("http://www.twitter.com/NathanBLawrence/status/795632840251674624", "795632840251674624")</f>
        <v/>
      </c>
      <c r="B2546" s="2" t="n">
        <v>42681.59982638889</v>
      </c>
      <c r="C2546" t="n">
        <v>0</v>
      </c>
      <c r="D2546" t="n">
        <v>2226</v>
      </c>
      <c r="E2546" t="s">
        <v>2551</v>
      </c>
      <c r="F2546" t="s"/>
      <c r="G2546" t="s"/>
      <c r="H2546" t="s"/>
      <c r="I2546" t="s"/>
      <c r="J2546" t="n">
        <v>-0.2732</v>
      </c>
      <c r="K2546" t="n">
        <v>0.192</v>
      </c>
      <c r="L2546" t="n">
        <v>0.653</v>
      </c>
      <c r="M2546" t="n">
        <v>0.155</v>
      </c>
    </row>
    <row r="2547" spans="1:13">
      <c r="A2547" s="1">
        <f>HYPERLINK("http://www.twitter.com/NathanBLawrence/status/795628631942987777", "795628631942987777")</f>
        <v/>
      </c>
      <c r="B2547" s="2" t="n">
        <v>42681.58821759259</v>
      </c>
      <c r="C2547" t="n">
        <v>0</v>
      </c>
      <c r="D2547" t="n">
        <v>5288</v>
      </c>
      <c r="E2547" t="s">
        <v>2552</v>
      </c>
      <c r="F2547">
        <f>HYPERLINK("http://pbs.twimg.com/media/CwosKUlUAAAi-TB.jpg", "http://pbs.twimg.com/media/CwosKUlUAAAi-TB.jpg")</f>
        <v/>
      </c>
      <c r="G2547" t="s"/>
      <c r="H2547" t="s"/>
      <c r="I2547" t="s"/>
      <c r="J2547" t="n">
        <v>0</v>
      </c>
      <c r="K2547" t="n">
        <v>0</v>
      </c>
      <c r="L2547" t="n">
        <v>1</v>
      </c>
      <c r="M2547" t="n">
        <v>0</v>
      </c>
    </row>
    <row r="2548" spans="1:13">
      <c r="A2548" s="1">
        <f>HYPERLINK("http://www.twitter.com/NathanBLawrence/status/795628438312931328", "795628438312931328")</f>
        <v/>
      </c>
      <c r="B2548" s="2" t="n">
        <v>42681.58768518519</v>
      </c>
      <c r="C2548" t="n">
        <v>0</v>
      </c>
      <c r="D2548" t="n">
        <v>6759</v>
      </c>
      <c r="E2548" t="s">
        <v>2553</v>
      </c>
      <c r="F2548">
        <f>HYPERLINK("http://pbs.twimg.com/media/CwmKR3aXEAAKlLb.jpg", "http://pbs.twimg.com/media/CwmKR3aXEAAKlLb.jpg")</f>
        <v/>
      </c>
      <c r="G2548" t="s"/>
      <c r="H2548" t="s"/>
      <c r="I2548" t="s"/>
      <c r="J2548" t="n">
        <v>0.5994</v>
      </c>
      <c r="K2548" t="n">
        <v>0</v>
      </c>
      <c r="L2548" t="n">
        <v>0.822</v>
      </c>
      <c r="M2548" t="n">
        <v>0.178</v>
      </c>
    </row>
    <row r="2549" spans="1:13">
      <c r="A2549" s="1">
        <f>HYPERLINK("http://www.twitter.com/NathanBLawrence/status/795627353221267457", "795627353221267457")</f>
        <v/>
      </c>
      <c r="B2549" s="2" t="n">
        <v>42681.5846875</v>
      </c>
      <c r="C2549" t="n">
        <v>0</v>
      </c>
      <c r="D2549" t="n">
        <v>11935</v>
      </c>
      <c r="E2549" t="s">
        <v>2554</v>
      </c>
      <c r="F2549" t="s"/>
      <c r="G2549" t="s"/>
      <c r="H2549" t="s"/>
      <c r="I2549" t="s"/>
      <c r="J2549" t="n">
        <v>0.4215</v>
      </c>
      <c r="K2549" t="n">
        <v>0</v>
      </c>
      <c r="L2549" t="n">
        <v>0.843</v>
      </c>
      <c r="M2549" t="n">
        <v>0.157</v>
      </c>
    </row>
    <row r="2550" spans="1:13">
      <c r="A2550" s="1">
        <f>HYPERLINK("http://www.twitter.com/NathanBLawrence/status/795626484408979456", "795626484408979456")</f>
        <v/>
      </c>
      <c r="B2550" s="2" t="n">
        <v>42681.58229166667</v>
      </c>
      <c r="C2550" t="n">
        <v>0</v>
      </c>
      <c r="D2550" t="n">
        <v>9965</v>
      </c>
      <c r="E2550" t="s">
        <v>2555</v>
      </c>
      <c r="F2550">
        <f>HYPERLINK("http://pbs.twimg.com/media/Cwqh6nBXcAAZ8tO.jpg", "http://pbs.twimg.com/media/Cwqh6nBXcAAZ8tO.jpg")</f>
        <v/>
      </c>
      <c r="G2550" t="s"/>
      <c r="H2550" t="s"/>
      <c r="I2550" t="s"/>
      <c r="J2550" t="n">
        <v>0</v>
      </c>
      <c r="K2550" t="n">
        <v>0</v>
      </c>
      <c r="L2550" t="n">
        <v>1</v>
      </c>
      <c r="M2550" t="n">
        <v>0</v>
      </c>
    </row>
    <row r="2551" spans="1:13">
      <c r="A2551" s="1">
        <f>HYPERLINK("http://www.twitter.com/NathanBLawrence/status/795626338363277314", "795626338363277314")</f>
        <v/>
      </c>
      <c r="B2551" s="2" t="n">
        <v>42681.58188657407</v>
      </c>
      <c r="C2551" t="n">
        <v>0</v>
      </c>
      <c r="D2551" t="n">
        <v>4674</v>
      </c>
      <c r="E2551" t="s">
        <v>2556</v>
      </c>
      <c r="F2551" t="s"/>
      <c r="G2551" t="s"/>
      <c r="H2551" t="s"/>
      <c r="I2551" t="s"/>
      <c r="J2551" t="n">
        <v>0.3612</v>
      </c>
      <c r="K2551" t="n">
        <v>0.067</v>
      </c>
      <c r="L2551" t="n">
        <v>0.79</v>
      </c>
      <c r="M2551" t="n">
        <v>0.143</v>
      </c>
    </row>
    <row r="2552" spans="1:13">
      <c r="A2552" s="1">
        <f>HYPERLINK("http://www.twitter.com/NathanBLawrence/status/795626127771504641", "795626127771504641")</f>
        <v/>
      </c>
      <c r="B2552" s="2" t="n">
        <v>42681.58130787037</v>
      </c>
      <c r="C2552" t="n">
        <v>0</v>
      </c>
      <c r="D2552" t="n">
        <v>2306</v>
      </c>
      <c r="E2552" t="s">
        <v>2557</v>
      </c>
      <c r="F2552" t="s"/>
      <c r="G2552" t="s"/>
      <c r="H2552" t="s"/>
      <c r="I2552" t="s"/>
      <c r="J2552" t="n">
        <v>-0.5266999999999999</v>
      </c>
      <c r="K2552" t="n">
        <v>0.18</v>
      </c>
      <c r="L2552" t="n">
        <v>0.82</v>
      </c>
      <c r="M2552" t="n">
        <v>0</v>
      </c>
    </row>
    <row r="2553" spans="1:13">
      <c r="A2553" s="1">
        <f>HYPERLINK("http://www.twitter.com/NathanBLawrence/status/795481596962992128", "795481596962992128")</f>
        <v/>
      </c>
      <c r="B2553" s="2" t="n">
        <v>42681.18247685185</v>
      </c>
      <c r="C2553" t="n">
        <v>0</v>
      </c>
      <c r="D2553" t="n">
        <v>2233</v>
      </c>
      <c r="E2553" t="s">
        <v>2558</v>
      </c>
      <c r="F2553">
        <f>HYPERLINK("https://video.twimg.com/ext_tw_video/795478223173906432/pu/vid/640x360/voJ0O3z2T9IDAlqy.mp4", "https://video.twimg.com/ext_tw_video/795478223173906432/pu/vid/640x360/voJ0O3z2T9IDAlqy.mp4")</f>
        <v/>
      </c>
      <c r="G2553" t="s"/>
      <c r="H2553" t="s"/>
      <c r="I2553" t="s"/>
      <c r="J2553" t="n">
        <v>0</v>
      </c>
      <c r="K2553" t="n">
        <v>0</v>
      </c>
      <c r="L2553" t="n">
        <v>1</v>
      </c>
      <c r="M2553" t="n">
        <v>0</v>
      </c>
    </row>
    <row r="2554" spans="1:13">
      <c r="A2554" s="1">
        <f>HYPERLINK("http://www.twitter.com/NathanBLawrence/status/795481132418666496", "795481132418666496")</f>
        <v/>
      </c>
      <c r="B2554" s="2" t="n">
        <v>42681.18119212963</v>
      </c>
      <c r="C2554" t="n">
        <v>0</v>
      </c>
      <c r="D2554" t="n">
        <v>1535</v>
      </c>
      <c r="E2554" t="s">
        <v>2559</v>
      </c>
      <c r="F2554" t="s"/>
      <c r="G2554" t="s"/>
      <c r="H2554" t="s"/>
      <c r="I2554" t="s"/>
      <c r="J2554" t="n">
        <v>0</v>
      </c>
      <c r="K2554" t="n">
        <v>0</v>
      </c>
      <c r="L2554" t="n">
        <v>1</v>
      </c>
      <c r="M2554" t="n">
        <v>0</v>
      </c>
    </row>
    <row r="2555" spans="1:13">
      <c r="A2555" s="1">
        <f>HYPERLINK("http://www.twitter.com/NathanBLawrence/status/795464590356312065", "795464590356312065")</f>
        <v/>
      </c>
      <c r="B2555" s="2" t="n">
        <v>42681.13555555556</v>
      </c>
      <c r="C2555" t="n">
        <v>0</v>
      </c>
      <c r="D2555" t="n">
        <v>560</v>
      </c>
      <c r="E2555" t="s">
        <v>2560</v>
      </c>
      <c r="F2555">
        <f>HYPERLINK("http://pbs.twimg.com/media/CwoJ3unUkAAxUrA.jpg", "http://pbs.twimg.com/media/CwoJ3unUkAAxUrA.jpg")</f>
        <v/>
      </c>
      <c r="G2555" t="s"/>
      <c r="H2555" t="s"/>
      <c r="I2555" t="s"/>
      <c r="J2555" t="n">
        <v>0</v>
      </c>
      <c r="K2555" t="n">
        <v>0</v>
      </c>
      <c r="L2555" t="n">
        <v>1</v>
      </c>
      <c r="M2555" t="n">
        <v>0</v>
      </c>
    </row>
    <row r="2556" spans="1:13">
      <c r="A2556" s="1">
        <f>HYPERLINK("http://www.twitter.com/NathanBLawrence/status/795461737961111552", "795461737961111552")</f>
        <v/>
      </c>
      <c r="B2556" s="2" t="n">
        <v>42681.12767361111</v>
      </c>
      <c r="C2556" t="n">
        <v>0</v>
      </c>
      <c r="D2556" t="n">
        <v>10310</v>
      </c>
      <c r="E2556" t="s">
        <v>2561</v>
      </c>
      <c r="F2556" t="s"/>
      <c r="G2556" t="s"/>
      <c r="H2556" t="s"/>
      <c r="I2556" t="s"/>
      <c r="J2556" t="n">
        <v>0.1027</v>
      </c>
      <c r="K2556" t="n">
        <v>0.08500000000000001</v>
      </c>
      <c r="L2556" t="n">
        <v>0.775</v>
      </c>
      <c r="M2556" t="n">
        <v>0.14</v>
      </c>
    </row>
    <row r="2557" spans="1:13">
      <c r="A2557" s="1">
        <f>HYPERLINK("http://www.twitter.com/NathanBLawrence/status/795460348736323584", "795460348736323584")</f>
        <v/>
      </c>
      <c r="B2557" s="2" t="n">
        <v>42681.12384259259</v>
      </c>
      <c r="C2557" t="n">
        <v>0</v>
      </c>
      <c r="D2557" t="n">
        <v>2555</v>
      </c>
      <c r="E2557" t="s">
        <v>2562</v>
      </c>
      <c r="F2557">
        <f>HYPERLINK("http://pbs.twimg.com/media/CwoGKNpWIAEtyur.jpg", "http://pbs.twimg.com/media/CwoGKNpWIAEtyur.jpg")</f>
        <v/>
      </c>
      <c r="G2557">
        <f>HYPERLINK("http://pbs.twimg.com/media/CwoGMH4WEAAvW30.jpg", "http://pbs.twimg.com/media/CwoGMH4WEAAvW30.jpg")</f>
        <v/>
      </c>
      <c r="H2557" t="s"/>
      <c r="I2557" t="s"/>
      <c r="J2557" t="n">
        <v>0</v>
      </c>
      <c r="K2557" t="n">
        <v>0</v>
      </c>
      <c r="L2557" t="n">
        <v>1</v>
      </c>
      <c r="M2557" t="n">
        <v>0</v>
      </c>
    </row>
    <row r="2558" spans="1:13">
      <c r="A2558" s="1">
        <f>HYPERLINK("http://www.twitter.com/NathanBLawrence/status/795460165579505665", "795460165579505665")</f>
        <v/>
      </c>
      <c r="B2558" s="2" t="n">
        <v>42681.12334490741</v>
      </c>
      <c r="C2558" t="n">
        <v>0</v>
      </c>
      <c r="D2558" t="n">
        <v>10140</v>
      </c>
      <c r="E2558" t="s">
        <v>2563</v>
      </c>
      <c r="F2558">
        <f>HYPERLINK("http://pbs.twimg.com/media/CwoH94XUQAAE-bb.jpg", "http://pbs.twimg.com/media/CwoH94XUQAAE-bb.jpg")</f>
        <v/>
      </c>
      <c r="G2558" t="s"/>
      <c r="H2558" t="s"/>
      <c r="I2558" t="s"/>
      <c r="J2558" t="n">
        <v>-0.6808</v>
      </c>
      <c r="K2558" t="n">
        <v>0.318</v>
      </c>
      <c r="L2558" t="n">
        <v>0.6820000000000001</v>
      </c>
      <c r="M2558" t="n">
        <v>0</v>
      </c>
    </row>
    <row r="2559" spans="1:13">
      <c r="A2559" s="1">
        <f>HYPERLINK("http://www.twitter.com/NathanBLawrence/status/795458346732101632", "795458346732101632")</f>
        <v/>
      </c>
      <c r="B2559" s="2" t="n">
        <v>42681.11832175926</v>
      </c>
      <c r="C2559" t="n">
        <v>0</v>
      </c>
      <c r="D2559" t="n">
        <v>2151</v>
      </c>
      <c r="E2559" t="s">
        <v>2564</v>
      </c>
      <c r="F2559">
        <f>HYPERLINK("http://pbs.twimg.com/media/CwljFP-XEAEOGT-.jpg", "http://pbs.twimg.com/media/CwljFP-XEAEOGT-.jpg")</f>
        <v/>
      </c>
      <c r="G2559" t="s"/>
      <c r="H2559" t="s"/>
      <c r="I2559" t="s"/>
      <c r="J2559" t="n">
        <v>0.5147</v>
      </c>
      <c r="K2559" t="n">
        <v>0</v>
      </c>
      <c r="L2559" t="n">
        <v>0.783</v>
      </c>
      <c r="M2559" t="n">
        <v>0.217</v>
      </c>
    </row>
    <row r="2560" spans="1:13">
      <c r="A2560" s="1">
        <f>HYPERLINK("http://www.twitter.com/NathanBLawrence/status/795457912193875968", "795457912193875968")</f>
        <v/>
      </c>
      <c r="B2560" s="2" t="n">
        <v>42681.11711805555</v>
      </c>
      <c r="C2560" t="n">
        <v>0</v>
      </c>
      <c r="D2560" t="n">
        <v>3330</v>
      </c>
      <c r="E2560" t="s">
        <v>2565</v>
      </c>
      <c r="F2560" t="s"/>
      <c r="G2560" t="s"/>
      <c r="H2560" t="s"/>
      <c r="I2560" t="s"/>
      <c r="J2560" t="n">
        <v>-0.3089</v>
      </c>
      <c r="K2560" t="n">
        <v>0.093</v>
      </c>
      <c r="L2560" t="n">
        <v>0.907</v>
      </c>
      <c r="M2560" t="n">
        <v>0</v>
      </c>
    </row>
    <row r="2561" spans="1:13">
      <c r="A2561" s="1">
        <f>HYPERLINK("http://www.twitter.com/NathanBLawrence/status/795457730886537217", "795457730886537217")</f>
        <v/>
      </c>
      <c r="B2561" s="2" t="n">
        <v>42681.11662037037</v>
      </c>
      <c r="C2561" t="n">
        <v>0</v>
      </c>
      <c r="D2561" t="n">
        <v>2779</v>
      </c>
      <c r="E2561" t="s">
        <v>2566</v>
      </c>
      <c r="F2561" t="s"/>
      <c r="G2561" t="s"/>
      <c r="H2561" t="s"/>
      <c r="I2561" t="s"/>
      <c r="J2561" t="n">
        <v>0</v>
      </c>
      <c r="K2561" t="n">
        <v>0</v>
      </c>
      <c r="L2561" t="n">
        <v>1</v>
      </c>
      <c r="M2561" t="n">
        <v>0</v>
      </c>
    </row>
    <row r="2562" spans="1:13">
      <c r="A2562" s="1">
        <f>HYPERLINK("http://www.twitter.com/NathanBLawrence/status/795453544807731201", "795453544807731201")</f>
        <v/>
      </c>
      <c r="B2562" s="2" t="n">
        <v>42681.10506944444</v>
      </c>
      <c r="C2562" t="n">
        <v>0</v>
      </c>
      <c r="D2562" t="n">
        <v>23682</v>
      </c>
      <c r="E2562" t="s">
        <v>2567</v>
      </c>
      <c r="F2562">
        <f>HYPERLINK("http://pbs.twimg.com/media/CwlwJ6bXAAA8b2t.jpg", "http://pbs.twimg.com/media/CwlwJ6bXAAA8b2t.jpg")</f>
        <v/>
      </c>
      <c r="G2562" t="s"/>
      <c r="H2562" t="s"/>
      <c r="I2562" t="s"/>
      <c r="J2562" t="n">
        <v>-0.2732</v>
      </c>
      <c r="K2562" t="n">
        <v>0.139</v>
      </c>
      <c r="L2562" t="n">
        <v>0.861</v>
      </c>
      <c r="M2562" t="n">
        <v>0</v>
      </c>
    </row>
    <row r="2563" spans="1:13">
      <c r="A2563" s="1">
        <f>HYPERLINK("http://www.twitter.com/NathanBLawrence/status/795451317636497409", "795451317636497409")</f>
        <v/>
      </c>
      <c r="B2563" s="2" t="n">
        <v>42681.09892361111</v>
      </c>
      <c r="C2563" t="n">
        <v>0</v>
      </c>
      <c r="D2563" t="n">
        <v>1953</v>
      </c>
      <c r="E2563" t="s">
        <v>2568</v>
      </c>
      <c r="F2563" t="s"/>
      <c r="G2563" t="s"/>
      <c r="H2563" t="s"/>
      <c r="I2563" t="s"/>
      <c r="J2563" t="n">
        <v>0.636</v>
      </c>
      <c r="K2563" t="n">
        <v>0</v>
      </c>
      <c r="L2563" t="n">
        <v>0.755</v>
      </c>
      <c r="M2563" t="n">
        <v>0.245</v>
      </c>
    </row>
    <row r="2564" spans="1:13">
      <c r="A2564" s="1">
        <f>HYPERLINK("http://www.twitter.com/NathanBLawrence/status/795450820477288448", "795450820477288448")</f>
        <v/>
      </c>
      <c r="B2564" s="2" t="n">
        <v>42681.09755787037</v>
      </c>
      <c r="C2564" t="n">
        <v>0</v>
      </c>
      <c r="D2564" t="n">
        <v>18607</v>
      </c>
      <c r="E2564" t="s">
        <v>2569</v>
      </c>
      <c r="F2564">
        <f>HYPERLINK("http://pbs.twimg.com/media/Cwn4lQ1XUAANRPH.jpg", "http://pbs.twimg.com/media/Cwn4lQ1XUAANRPH.jpg")</f>
        <v/>
      </c>
      <c r="G2564" t="s"/>
      <c r="H2564" t="s"/>
      <c r="I2564" t="s"/>
      <c r="J2564" t="n">
        <v>0</v>
      </c>
      <c r="K2564" t="n">
        <v>0</v>
      </c>
      <c r="L2564" t="n">
        <v>1</v>
      </c>
      <c r="M2564" t="n">
        <v>0</v>
      </c>
    </row>
    <row r="2565" spans="1:13">
      <c r="A2565" s="1">
        <f>HYPERLINK("http://www.twitter.com/NathanBLawrence/status/795450250571956225", "795450250571956225")</f>
        <v/>
      </c>
      <c r="B2565" s="2" t="n">
        <v>42681.09598379629</v>
      </c>
      <c r="C2565" t="n">
        <v>0</v>
      </c>
      <c r="D2565" t="n">
        <v>3045</v>
      </c>
      <c r="E2565" t="s">
        <v>2570</v>
      </c>
      <c r="F2565" t="s"/>
      <c r="G2565" t="s"/>
      <c r="H2565" t="s"/>
      <c r="I2565" t="s"/>
      <c r="J2565" t="n">
        <v>-0.296</v>
      </c>
      <c r="K2565" t="n">
        <v>0.095</v>
      </c>
      <c r="L2565" t="n">
        <v>0.905</v>
      </c>
      <c r="M2565" t="n">
        <v>0</v>
      </c>
    </row>
    <row r="2566" spans="1:13">
      <c r="A2566" s="1">
        <f>HYPERLINK("http://www.twitter.com/NathanBLawrence/status/795443897149362177", "795443897149362177")</f>
        <v/>
      </c>
      <c r="B2566" s="2" t="n">
        <v>42681.07844907408</v>
      </c>
      <c r="C2566" t="n">
        <v>0</v>
      </c>
      <c r="D2566" t="n">
        <v>8902</v>
      </c>
      <c r="E2566" t="s">
        <v>2571</v>
      </c>
      <c r="F2566" t="s"/>
      <c r="G2566" t="s"/>
      <c r="H2566" t="s"/>
      <c r="I2566" t="s"/>
      <c r="J2566" t="n">
        <v>0</v>
      </c>
      <c r="K2566" t="n">
        <v>0</v>
      </c>
      <c r="L2566" t="n">
        <v>1</v>
      </c>
      <c r="M2566" t="n">
        <v>0</v>
      </c>
    </row>
    <row r="2567" spans="1:13">
      <c r="A2567" s="1">
        <f>HYPERLINK("http://www.twitter.com/NathanBLawrence/status/795412881475072000", "795412881475072000")</f>
        <v/>
      </c>
      <c r="B2567" s="2" t="n">
        <v>42680.99285879629</v>
      </c>
      <c r="C2567" t="n">
        <v>0</v>
      </c>
      <c r="D2567" t="n">
        <v>4991</v>
      </c>
      <c r="E2567" t="s">
        <v>2572</v>
      </c>
      <c r="F2567">
        <f>HYPERLINK("http://pbs.twimg.com/media/Cwl8mztWgAA19l2.jpg", "http://pbs.twimg.com/media/Cwl8mztWgAA19l2.jpg")</f>
        <v/>
      </c>
      <c r="G2567" t="s"/>
      <c r="H2567" t="s"/>
      <c r="I2567" t="s"/>
      <c r="J2567" t="n">
        <v>0</v>
      </c>
      <c r="K2567" t="n">
        <v>0</v>
      </c>
      <c r="L2567" t="n">
        <v>1</v>
      </c>
      <c r="M2567" t="n">
        <v>0</v>
      </c>
    </row>
    <row r="2568" spans="1:13">
      <c r="A2568" s="1">
        <f>HYPERLINK("http://www.twitter.com/NathanBLawrence/status/795408666954498048", "795408666954498048")</f>
        <v/>
      </c>
      <c r="B2568" s="2" t="n">
        <v>42680.98122685185</v>
      </c>
      <c r="C2568" t="n">
        <v>0</v>
      </c>
      <c r="D2568" t="n">
        <v>3370</v>
      </c>
      <c r="E2568" t="s">
        <v>2573</v>
      </c>
      <c r="F2568" t="s"/>
      <c r="G2568" t="s"/>
      <c r="H2568" t="s"/>
      <c r="I2568" t="s"/>
      <c r="J2568" t="n">
        <v>0</v>
      </c>
      <c r="K2568" t="n">
        <v>0</v>
      </c>
      <c r="L2568" t="n">
        <v>1</v>
      </c>
      <c r="M2568" t="n">
        <v>0</v>
      </c>
    </row>
    <row r="2569" spans="1:13">
      <c r="A2569" s="1">
        <f>HYPERLINK("http://www.twitter.com/NathanBLawrence/status/795405647806418945", "795405647806418945")</f>
        <v/>
      </c>
      <c r="B2569" s="2" t="n">
        <v>42680.9729050926</v>
      </c>
      <c r="C2569" t="n">
        <v>0</v>
      </c>
      <c r="D2569" t="n">
        <v>445</v>
      </c>
      <c r="E2569" t="s">
        <v>2574</v>
      </c>
      <c r="F2569" t="s"/>
      <c r="G2569" t="s"/>
      <c r="H2569" t="s"/>
      <c r="I2569" t="s"/>
      <c r="J2569" t="n">
        <v>0</v>
      </c>
      <c r="K2569" t="n">
        <v>0</v>
      </c>
      <c r="L2569" t="n">
        <v>1</v>
      </c>
      <c r="M2569" t="n">
        <v>0</v>
      </c>
    </row>
    <row r="2570" spans="1:13">
      <c r="A2570" s="1">
        <f>HYPERLINK("http://www.twitter.com/NathanBLawrence/status/795376336353316868", "795376336353316868")</f>
        <v/>
      </c>
      <c r="B2570" s="2" t="n">
        <v>42680.89201388889</v>
      </c>
      <c r="C2570" t="n">
        <v>0</v>
      </c>
      <c r="D2570" t="n">
        <v>3293</v>
      </c>
      <c r="E2570" t="s">
        <v>2575</v>
      </c>
      <c r="F2570" t="s"/>
      <c r="G2570" t="s"/>
      <c r="H2570" t="s"/>
      <c r="I2570" t="s"/>
      <c r="J2570" t="n">
        <v>-0.2732</v>
      </c>
      <c r="K2570" t="n">
        <v>0.233</v>
      </c>
      <c r="L2570" t="n">
        <v>0.573</v>
      </c>
      <c r="M2570" t="n">
        <v>0.194</v>
      </c>
    </row>
    <row r="2571" spans="1:13">
      <c r="A2571" s="1">
        <f>HYPERLINK("http://www.twitter.com/NathanBLawrence/status/795374326962933761", "795374326962933761")</f>
        <v/>
      </c>
      <c r="B2571" s="2" t="n">
        <v>42680.8864699074</v>
      </c>
      <c r="C2571" t="n">
        <v>0</v>
      </c>
      <c r="D2571" t="n">
        <v>4783</v>
      </c>
      <c r="E2571" t="s">
        <v>2576</v>
      </c>
      <c r="F2571" t="s"/>
      <c r="G2571" t="s"/>
      <c r="H2571" t="s"/>
      <c r="I2571" t="s"/>
      <c r="J2571" t="n">
        <v>-0.3818</v>
      </c>
      <c r="K2571" t="n">
        <v>0.148</v>
      </c>
      <c r="L2571" t="n">
        <v>0.852</v>
      </c>
      <c r="M2571" t="n">
        <v>0</v>
      </c>
    </row>
    <row r="2572" spans="1:13">
      <c r="A2572" s="1">
        <f>HYPERLINK("http://www.twitter.com/NathanBLawrence/status/795349892264693760", "795349892264693760")</f>
        <v/>
      </c>
      <c r="B2572" s="2" t="n">
        <v>42680.81903935185</v>
      </c>
      <c r="C2572" t="n">
        <v>0</v>
      </c>
      <c r="D2572" t="n">
        <v>1352</v>
      </c>
      <c r="E2572" t="s">
        <v>2577</v>
      </c>
      <c r="F2572">
        <f>HYPERLINK("http://pbs.twimg.com/media/Cwj7CH0VIAALgMh.jpg", "http://pbs.twimg.com/media/Cwj7CH0VIAALgMh.jpg")</f>
        <v/>
      </c>
      <c r="G2572" t="s"/>
      <c r="H2572" t="s"/>
      <c r="I2572" t="s"/>
      <c r="J2572" t="n">
        <v>-0.4466</v>
      </c>
      <c r="K2572" t="n">
        <v>0.209</v>
      </c>
      <c r="L2572" t="n">
        <v>0.675</v>
      </c>
      <c r="M2572" t="n">
        <v>0.116</v>
      </c>
    </row>
    <row r="2573" spans="1:13">
      <c r="A2573" s="1">
        <f>HYPERLINK("http://www.twitter.com/NathanBLawrence/status/795345192421380096", "795345192421380096")</f>
        <v/>
      </c>
      <c r="B2573" s="2" t="n">
        <v>42680.80607638889</v>
      </c>
      <c r="C2573" t="n">
        <v>0</v>
      </c>
      <c r="D2573" t="n">
        <v>251</v>
      </c>
      <c r="E2573" t="s">
        <v>2578</v>
      </c>
      <c r="F2573" t="s"/>
      <c r="G2573" t="s"/>
      <c r="H2573" t="s"/>
      <c r="I2573" t="s"/>
      <c r="J2573" t="n">
        <v>0.368</v>
      </c>
      <c r="K2573" t="n">
        <v>0</v>
      </c>
      <c r="L2573" t="n">
        <v>0.877</v>
      </c>
      <c r="M2573" t="n">
        <v>0.123</v>
      </c>
    </row>
    <row r="2574" spans="1:13">
      <c r="A2574" s="1">
        <f>HYPERLINK("http://www.twitter.com/NathanBLawrence/status/795342274423046144", "795342274423046144")</f>
        <v/>
      </c>
      <c r="B2574" s="2" t="n">
        <v>42680.79802083333</v>
      </c>
      <c r="C2574" t="n">
        <v>0</v>
      </c>
      <c r="D2574" t="n">
        <v>3593</v>
      </c>
      <c r="E2574" t="s">
        <v>2579</v>
      </c>
      <c r="F2574" t="s"/>
      <c r="G2574" t="s"/>
      <c r="H2574" t="s"/>
      <c r="I2574" t="s"/>
      <c r="J2574" t="n">
        <v>0.3412</v>
      </c>
      <c r="K2574" t="n">
        <v>0</v>
      </c>
      <c r="L2574" t="n">
        <v>0.901</v>
      </c>
      <c r="M2574" t="n">
        <v>0.099</v>
      </c>
    </row>
    <row r="2575" spans="1:13">
      <c r="A2575" s="1">
        <f>HYPERLINK("http://www.twitter.com/NathanBLawrence/status/795290695745597440", "795290695745597440")</f>
        <v/>
      </c>
      <c r="B2575" s="2" t="n">
        <v>42680.65569444445</v>
      </c>
      <c r="C2575" t="n">
        <v>0</v>
      </c>
      <c r="D2575" t="n">
        <v>17989</v>
      </c>
      <c r="E2575" t="s">
        <v>2580</v>
      </c>
      <c r="F2575">
        <f>HYPERLINK("http://pbs.twimg.com/media/Cwlqb7EXgAQfLut.jpg", "http://pbs.twimg.com/media/Cwlqb7EXgAQfLut.jpg")</f>
        <v/>
      </c>
      <c r="G2575" t="s"/>
      <c r="H2575" t="s"/>
      <c r="I2575" t="s"/>
      <c r="J2575" t="n">
        <v>0.2023</v>
      </c>
      <c r="K2575" t="n">
        <v>0</v>
      </c>
      <c r="L2575" t="n">
        <v>0.917</v>
      </c>
      <c r="M2575" t="n">
        <v>0.083</v>
      </c>
    </row>
    <row r="2576" spans="1:13">
      <c r="A2576" s="1">
        <f>HYPERLINK("http://www.twitter.com/NathanBLawrence/status/795264250214227968", "795264250214227968")</f>
        <v/>
      </c>
      <c r="B2576" s="2" t="n">
        <v>42680.5827199074</v>
      </c>
      <c r="C2576" t="n">
        <v>0</v>
      </c>
      <c r="D2576" t="n">
        <v>1448</v>
      </c>
      <c r="E2576" t="s">
        <v>2581</v>
      </c>
      <c r="F2576" t="s"/>
      <c r="G2576" t="s"/>
      <c r="H2576" t="s"/>
      <c r="I2576" t="s"/>
      <c r="J2576" t="n">
        <v>-0.5719</v>
      </c>
      <c r="K2576" t="n">
        <v>0.209</v>
      </c>
      <c r="L2576" t="n">
        <v>0.791</v>
      </c>
      <c r="M2576" t="n">
        <v>0</v>
      </c>
    </row>
    <row r="2577" spans="1:13">
      <c r="A2577" s="1">
        <f>HYPERLINK("http://www.twitter.com/NathanBLawrence/status/795256681546612736", "795256681546612736")</f>
        <v/>
      </c>
      <c r="B2577" s="2" t="n">
        <v>42680.56182870371</v>
      </c>
      <c r="C2577" t="n">
        <v>0</v>
      </c>
      <c r="D2577" t="n">
        <v>790</v>
      </c>
      <c r="E2577" t="s">
        <v>2582</v>
      </c>
      <c r="F2577" t="s"/>
      <c r="G2577" t="s"/>
      <c r="H2577" t="s"/>
      <c r="I2577" t="s"/>
      <c r="J2577" t="n">
        <v>0</v>
      </c>
      <c r="K2577" t="n">
        <v>0</v>
      </c>
      <c r="L2577" t="n">
        <v>1</v>
      </c>
      <c r="M2577" t="n">
        <v>0</v>
      </c>
    </row>
    <row r="2578" spans="1:13">
      <c r="A2578" s="1">
        <f>HYPERLINK("http://www.twitter.com/NathanBLawrence/status/795256518140628992", "795256518140628992")</f>
        <v/>
      </c>
      <c r="B2578" s="2" t="n">
        <v>42680.56137731481</v>
      </c>
      <c r="C2578" t="n">
        <v>0</v>
      </c>
      <c r="D2578" t="n">
        <v>254</v>
      </c>
      <c r="E2578" t="s">
        <v>2583</v>
      </c>
      <c r="F2578">
        <f>HYPERLINK("http://pbs.twimg.com/media/CwkvsQgUUAA5yk_.jpg", "http://pbs.twimg.com/media/CwkvsQgUUAA5yk_.jpg")</f>
        <v/>
      </c>
      <c r="G2578" t="s"/>
      <c r="H2578" t="s"/>
      <c r="I2578" t="s"/>
      <c r="J2578" t="n">
        <v>0</v>
      </c>
      <c r="K2578" t="n">
        <v>0</v>
      </c>
      <c r="L2578" t="n">
        <v>1</v>
      </c>
      <c r="M2578" t="n">
        <v>0</v>
      </c>
    </row>
    <row r="2579" spans="1:13">
      <c r="A2579" s="1">
        <f>HYPERLINK("http://www.twitter.com/NathanBLawrence/status/795253546790883328", "795253546790883328")</f>
        <v/>
      </c>
      <c r="B2579" s="2" t="n">
        <v>42680.55318287037</v>
      </c>
      <c r="C2579" t="n">
        <v>0</v>
      </c>
      <c r="D2579" t="n">
        <v>556</v>
      </c>
      <c r="E2579" t="s">
        <v>2584</v>
      </c>
      <c r="F2579">
        <f>HYPERLINK("http://pbs.twimg.com/media/CwlNC1oVIAQiaFm.jpg", "http://pbs.twimg.com/media/CwlNC1oVIAQiaFm.jpg")</f>
        <v/>
      </c>
      <c r="G2579" t="s"/>
      <c r="H2579" t="s"/>
      <c r="I2579" t="s"/>
      <c r="J2579" t="n">
        <v>0</v>
      </c>
      <c r="K2579" t="n">
        <v>0</v>
      </c>
      <c r="L2579" t="n">
        <v>1</v>
      </c>
      <c r="M2579" t="n">
        <v>0</v>
      </c>
    </row>
    <row r="2580" spans="1:13">
      <c r="A2580" s="1">
        <f>HYPERLINK("http://www.twitter.com/NathanBLawrence/status/795252621913288704", "795252621913288704")</f>
        <v/>
      </c>
      <c r="B2580" s="2" t="n">
        <v>42680.550625</v>
      </c>
      <c r="C2580" t="n">
        <v>0</v>
      </c>
      <c r="D2580" t="n">
        <v>10716</v>
      </c>
      <c r="E2580" t="s">
        <v>2585</v>
      </c>
      <c r="F2580">
        <f>HYPERLINK("http://pbs.twimg.com/media/CwlNYDHWgAA6t03.jpg", "http://pbs.twimg.com/media/CwlNYDHWgAA6t03.jpg")</f>
        <v/>
      </c>
      <c r="G2580" t="s"/>
      <c r="H2580" t="s"/>
      <c r="I2580" t="s"/>
      <c r="J2580" t="n">
        <v>0</v>
      </c>
      <c r="K2580" t="n">
        <v>0</v>
      </c>
      <c r="L2580" t="n">
        <v>1</v>
      </c>
      <c r="M2580" t="n">
        <v>0</v>
      </c>
    </row>
    <row r="2581" spans="1:13">
      <c r="A2581" s="1">
        <f>HYPERLINK("http://www.twitter.com/NathanBLawrence/status/795248738033946624", "795248738033946624")</f>
        <v/>
      </c>
      <c r="B2581" s="2" t="n">
        <v>42680.53990740741</v>
      </c>
      <c r="C2581" t="n">
        <v>0</v>
      </c>
      <c r="D2581" t="n">
        <v>7028</v>
      </c>
      <c r="E2581" t="s">
        <v>2586</v>
      </c>
      <c r="F2581" t="s"/>
      <c r="G2581" t="s"/>
      <c r="H2581" t="s"/>
      <c r="I2581" t="s"/>
      <c r="J2581" t="n">
        <v>-0.4215</v>
      </c>
      <c r="K2581" t="n">
        <v>0.135</v>
      </c>
      <c r="L2581" t="n">
        <v>0.865</v>
      </c>
      <c r="M2581" t="n">
        <v>0</v>
      </c>
    </row>
    <row r="2582" spans="1:13">
      <c r="A2582" s="1">
        <f>HYPERLINK("http://www.twitter.com/NathanBLawrence/status/795246554357579777", "795246554357579777")</f>
        <v/>
      </c>
      <c r="B2582" s="2" t="n">
        <v>42680.53388888889</v>
      </c>
      <c r="C2582" t="n">
        <v>0</v>
      </c>
      <c r="D2582" t="n">
        <v>16761</v>
      </c>
      <c r="E2582" t="s">
        <v>2587</v>
      </c>
      <c r="F2582">
        <f>HYPERLINK("http://pbs.twimg.com/media/CwjY-k0XgAATRSM.jpg", "http://pbs.twimg.com/media/CwjY-k0XgAATRSM.jpg")</f>
        <v/>
      </c>
      <c r="G2582" t="s"/>
      <c r="H2582" t="s"/>
      <c r="I2582" t="s"/>
      <c r="J2582" t="n">
        <v>-0</v>
      </c>
      <c r="K2582" t="n">
        <v>0.155</v>
      </c>
      <c r="L2582" t="n">
        <v>0.647</v>
      </c>
      <c r="M2582" t="n">
        <v>0.198</v>
      </c>
    </row>
    <row r="2583" spans="1:13">
      <c r="A2583" s="1">
        <f>HYPERLINK("http://www.twitter.com/NathanBLawrence/status/795246008791924738", "795246008791924738")</f>
        <v/>
      </c>
      <c r="B2583" s="2" t="n">
        <v>42680.53238425926</v>
      </c>
      <c r="C2583" t="n">
        <v>0</v>
      </c>
      <c r="D2583" t="n">
        <v>10897</v>
      </c>
      <c r="E2583" t="s">
        <v>2588</v>
      </c>
      <c r="F2583">
        <f>HYPERLINK("http://pbs.twimg.com/media/CwjlDVEWgAAVR47.jpg", "http://pbs.twimg.com/media/CwjlDVEWgAAVR47.jpg")</f>
        <v/>
      </c>
      <c r="G2583" t="s"/>
      <c r="H2583" t="s"/>
      <c r="I2583" t="s"/>
      <c r="J2583" t="n">
        <v>0.3359</v>
      </c>
      <c r="K2583" t="n">
        <v>0.058</v>
      </c>
      <c r="L2583" t="n">
        <v>0.786</v>
      </c>
      <c r="M2583" t="n">
        <v>0.156</v>
      </c>
    </row>
    <row r="2584" spans="1:13">
      <c r="A2584" s="1">
        <f>HYPERLINK("http://www.twitter.com/NathanBLawrence/status/795245888251789312", "795245888251789312")</f>
        <v/>
      </c>
      <c r="B2584" s="2" t="n">
        <v>42680.53204861111</v>
      </c>
      <c r="C2584" t="n">
        <v>0</v>
      </c>
      <c r="D2584" t="n">
        <v>10102</v>
      </c>
      <c r="E2584" t="s">
        <v>2589</v>
      </c>
      <c r="F2584">
        <f>HYPERLINK("http://pbs.twimg.com/media/CwjsFbxXgAEBplv.jpg", "http://pbs.twimg.com/media/CwjsFbxXgAEBplv.jpg")</f>
        <v/>
      </c>
      <c r="G2584" t="s"/>
      <c r="H2584" t="s"/>
      <c r="I2584" t="s"/>
      <c r="J2584" t="n">
        <v>-0.5266999999999999</v>
      </c>
      <c r="K2584" t="n">
        <v>0.129</v>
      </c>
      <c r="L2584" t="n">
        <v>0.871</v>
      </c>
      <c r="M2584" t="n">
        <v>0</v>
      </c>
    </row>
    <row r="2585" spans="1:13">
      <c r="A2585" s="1">
        <f>HYPERLINK("http://www.twitter.com/NathanBLawrence/status/795118264124866560", "795118264124866560")</f>
        <v/>
      </c>
      <c r="B2585" s="2" t="n">
        <v>42680.17987268518</v>
      </c>
      <c r="C2585" t="n">
        <v>0</v>
      </c>
      <c r="D2585" t="n">
        <v>19</v>
      </c>
      <c r="E2585" t="s">
        <v>2590</v>
      </c>
      <c r="F2585" t="s"/>
      <c r="G2585" t="s"/>
      <c r="H2585" t="s"/>
      <c r="I2585" t="s"/>
      <c r="J2585" t="n">
        <v>0</v>
      </c>
      <c r="K2585" t="n">
        <v>0</v>
      </c>
      <c r="L2585" t="n">
        <v>1</v>
      </c>
      <c r="M2585" t="n">
        <v>0</v>
      </c>
    </row>
    <row r="2586" spans="1:13">
      <c r="A2586" s="1">
        <f>HYPERLINK("http://www.twitter.com/NathanBLawrence/status/795118113352196100", "795118113352196100")</f>
        <v/>
      </c>
      <c r="B2586" s="2" t="n">
        <v>42680.17945601852</v>
      </c>
      <c r="C2586" t="n">
        <v>0</v>
      </c>
      <c r="D2586" t="n">
        <v>99</v>
      </c>
      <c r="E2586" t="s">
        <v>2591</v>
      </c>
      <c r="F2586" t="s"/>
      <c r="G2586" t="s"/>
      <c r="H2586" t="s"/>
      <c r="I2586" t="s"/>
      <c r="J2586" t="n">
        <v>0</v>
      </c>
      <c r="K2586" t="n">
        <v>0</v>
      </c>
      <c r="L2586" t="n">
        <v>1</v>
      </c>
      <c r="M2586" t="n">
        <v>0</v>
      </c>
    </row>
    <row r="2587" spans="1:13">
      <c r="A2587" s="1">
        <f>HYPERLINK("http://www.twitter.com/NathanBLawrence/status/795112829930053632", "795112829930053632")</f>
        <v/>
      </c>
      <c r="B2587" s="2" t="n">
        <v>42680.16487268519</v>
      </c>
      <c r="C2587" t="n">
        <v>0</v>
      </c>
      <c r="D2587" t="n">
        <v>6608</v>
      </c>
      <c r="E2587" t="s">
        <v>2592</v>
      </c>
      <c r="F2587" t="s"/>
      <c r="G2587" t="s"/>
      <c r="H2587" t="s"/>
      <c r="I2587" t="s"/>
      <c r="J2587" t="n">
        <v>0.6369</v>
      </c>
      <c r="K2587" t="n">
        <v>0</v>
      </c>
      <c r="L2587" t="n">
        <v>0.802</v>
      </c>
      <c r="M2587" t="n">
        <v>0.198</v>
      </c>
    </row>
    <row r="2588" spans="1:13">
      <c r="A2588" s="1">
        <f>HYPERLINK("http://www.twitter.com/NathanBLawrence/status/795103103947341824", "795103103947341824")</f>
        <v/>
      </c>
      <c r="B2588" s="2" t="n">
        <v>42680.13803240741</v>
      </c>
      <c r="C2588" t="n">
        <v>0</v>
      </c>
      <c r="D2588" t="n">
        <v>6317</v>
      </c>
      <c r="E2588" t="s">
        <v>2593</v>
      </c>
      <c r="F2588" t="s"/>
      <c r="G2588" t="s"/>
      <c r="H2588" t="s"/>
      <c r="I2588" t="s"/>
      <c r="J2588" t="n">
        <v>0.4019</v>
      </c>
      <c r="K2588" t="n">
        <v>0</v>
      </c>
      <c r="L2588" t="n">
        <v>0.803</v>
      </c>
      <c r="M2588" t="n">
        <v>0.197</v>
      </c>
    </row>
    <row r="2589" spans="1:13">
      <c r="A2589" s="1">
        <f>HYPERLINK("http://www.twitter.com/NathanBLawrence/status/795091070879145984", "795091070879145984")</f>
        <v/>
      </c>
      <c r="B2589" s="2" t="n">
        <v>42680.10483796296</v>
      </c>
      <c r="C2589" t="n">
        <v>0</v>
      </c>
      <c r="D2589" t="n">
        <v>2808</v>
      </c>
      <c r="E2589" t="s">
        <v>2594</v>
      </c>
      <c r="F2589" t="s"/>
      <c r="G2589" t="s"/>
      <c r="H2589" t="s"/>
      <c r="I2589" t="s"/>
      <c r="J2589" t="n">
        <v>-0.8176</v>
      </c>
      <c r="K2589" t="n">
        <v>0.385</v>
      </c>
      <c r="L2589" t="n">
        <v>0.615</v>
      </c>
      <c r="M2589" t="n">
        <v>0</v>
      </c>
    </row>
    <row r="2590" spans="1:13">
      <c r="A2590" s="1">
        <f>HYPERLINK("http://www.twitter.com/NathanBLawrence/status/795089346282061829", "795089346282061829")</f>
        <v/>
      </c>
      <c r="B2590" s="2" t="n">
        <v>42680.10006944444</v>
      </c>
      <c r="C2590" t="n">
        <v>0</v>
      </c>
      <c r="D2590" t="n">
        <v>8371</v>
      </c>
      <c r="E2590" t="s">
        <v>2595</v>
      </c>
      <c r="F2590" t="s"/>
      <c r="G2590" t="s"/>
      <c r="H2590" t="s"/>
      <c r="I2590" t="s"/>
      <c r="J2590" t="n">
        <v>-0.6486</v>
      </c>
      <c r="K2590" t="n">
        <v>0.194</v>
      </c>
      <c r="L2590" t="n">
        <v>0.806</v>
      </c>
      <c r="M2590" t="n">
        <v>0</v>
      </c>
    </row>
    <row r="2591" spans="1:13">
      <c r="A2591" s="1">
        <f>HYPERLINK("http://www.twitter.com/NathanBLawrence/status/795089163871809541", "795089163871809541")</f>
        <v/>
      </c>
      <c r="B2591" s="2" t="n">
        <v>42680.09957175926</v>
      </c>
      <c r="C2591" t="n">
        <v>0</v>
      </c>
      <c r="D2591" t="n">
        <v>642</v>
      </c>
      <c r="E2591" t="s">
        <v>2596</v>
      </c>
      <c r="F2591" t="s"/>
      <c r="G2591" t="s"/>
      <c r="H2591" t="s"/>
      <c r="I2591" t="s"/>
      <c r="J2591" t="n">
        <v>0</v>
      </c>
      <c r="K2591" t="n">
        <v>0</v>
      </c>
      <c r="L2591" t="n">
        <v>1</v>
      </c>
      <c r="M2591" t="n">
        <v>0</v>
      </c>
    </row>
    <row r="2592" spans="1:13">
      <c r="A2592" s="1">
        <f>HYPERLINK("http://www.twitter.com/NathanBLawrence/status/795088283143376896", "795088283143376896")</f>
        <v/>
      </c>
      <c r="B2592" s="2" t="n">
        <v>42680.0971412037</v>
      </c>
      <c r="C2592" t="n">
        <v>0</v>
      </c>
      <c r="D2592" t="n">
        <v>1052</v>
      </c>
      <c r="E2592" t="s">
        <v>2597</v>
      </c>
      <c r="F2592" t="s"/>
      <c r="G2592" t="s"/>
      <c r="H2592" t="s"/>
      <c r="I2592" t="s"/>
      <c r="J2592" t="n">
        <v>-0.5994</v>
      </c>
      <c r="K2592" t="n">
        <v>0.262</v>
      </c>
      <c r="L2592" t="n">
        <v>0.738</v>
      </c>
      <c r="M2592" t="n">
        <v>0</v>
      </c>
    </row>
    <row r="2593" spans="1:13">
      <c r="A2593" s="1">
        <f>HYPERLINK("http://www.twitter.com/NathanBLawrence/status/795086635503382528", "795086635503382528")</f>
        <v/>
      </c>
      <c r="B2593" s="2" t="n">
        <v>42680.09259259259</v>
      </c>
      <c r="C2593" t="n">
        <v>0</v>
      </c>
      <c r="D2593" t="n">
        <v>1384</v>
      </c>
      <c r="E2593" t="s">
        <v>2598</v>
      </c>
      <c r="F2593">
        <f>HYPERLINK("http://pbs.twimg.com/media/Cwi1cklUcAEVSJh.jpg", "http://pbs.twimg.com/media/Cwi1cklUcAEVSJh.jpg")</f>
        <v/>
      </c>
      <c r="G2593" t="s"/>
      <c r="H2593" t="s"/>
      <c r="I2593" t="s"/>
      <c r="J2593" t="n">
        <v>-0.6249</v>
      </c>
      <c r="K2593" t="n">
        <v>0.186</v>
      </c>
      <c r="L2593" t="n">
        <v>0.8139999999999999</v>
      </c>
      <c r="M2593" t="n">
        <v>0</v>
      </c>
    </row>
    <row r="2594" spans="1:13">
      <c r="A2594" s="1">
        <f>HYPERLINK("http://www.twitter.com/NathanBLawrence/status/795086576015511553", "795086576015511553")</f>
        <v/>
      </c>
      <c r="B2594" s="2" t="n">
        <v>42680.09243055555</v>
      </c>
      <c r="C2594" t="n">
        <v>0</v>
      </c>
      <c r="D2594" t="n">
        <v>554</v>
      </c>
      <c r="E2594" t="s">
        <v>2599</v>
      </c>
      <c r="F2594">
        <f>HYPERLINK("http://pbs.twimg.com/media/Cwi0ygbW8AA40UL.jpg", "http://pbs.twimg.com/media/Cwi0ygbW8AA40UL.jpg")</f>
        <v/>
      </c>
      <c r="G2594" t="s"/>
      <c r="H2594" t="s"/>
      <c r="I2594" t="s"/>
      <c r="J2594" t="n">
        <v>0.8286</v>
      </c>
      <c r="K2594" t="n">
        <v>0.093</v>
      </c>
      <c r="L2594" t="n">
        <v>0.57</v>
      </c>
      <c r="M2594" t="n">
        <v>0.338</v>
      </c>
    </row>
    <row r="2595" spans="1:13">
      <c r="A2595" s="1">
        <f>HYPERLINK("http://www.twitter.com/NathanBLawrence/status/795082809371148288", "795082809371148288")</f>
        <v/>
      </c>
      <c r="B2595" s="2" t="n">
        <v>42680.08203703703</v>
      </c>
      <c r="C2595" t="n">
        <v>0</v>
      </c>
      <c r="D2595" t="n">
        <v>4329</v>
      </c>
      <c r="E2595" t="s">
        <v>2600</v>
      </c>
      <c r="F2595">
        <f>HYPERLINK("http://pbs.twimg.com/media/Cwix8JgVIAA4KJf.jpg", "http://pbs.twimg.com/media/Cwix8JgVIAA4KJf.jpg")</f>
        <v/>
      </c>
      <c r="G2595" t="s"/>
      <c r="H2595" t="s"/>
      <c r="I2595" t="s"/>
      <c r="J2595" t="n">
        <v>-0.743</v>
      </c>
      <c r="K2595" t="n">
        <v>0.5580000000000001</v>
      </c>
      <c r="L2595" t="n">
        <v>0.442</v>
      </c>
      <c r="M2595" t="n">
        <v>0</v>
      </c>
    </row>
    <row r="2596" spans="1:13">
      <c r="A2596" s="1">
        <f>HYPERLINK("http://www.twitter.com/NathanBLawrence/status/795082604890439681", "795082604890439681")</f>
        <v/>
      </c>
      <c r="B2596" s="2" t="n">
        <v>42680.08146990741</v>
      </c>
      <c r="C2596" t="n">
        <v>0</v>
      </c>
      <c r="D2596" t="n">
        <v>561</v>
      </c>
      <c r="E2596" t="s">
        <v>2601</v>
      </c>
      <c r="F2596" t="s"/>
      <c r="G2596" t="s"/>
      <c r="H2596" t="s"/>
      <c r="I2596" t="s"/>
      <c r="J2596" t="n">
        <v>0.0772</v>
      </c>
      <c r="K2596" t="n">
        <v>0.144</v>
      </c>
      <c r="L2596" t="n">
        <v>0.697</v>
      </c>
      <c r="M2596" t="n">
        <v>0.159</v>
      </c>
    </row>
    <row r="2597" spans="1:13">
      <c r="A2597" s="1">
        <f>HYPERLINK("http://www.twitter.com/NathanBLawrence/status/795082275625074688", "795082275625074688")</f>
        <v/>
      </c>
      <c r="B2597" s="2" t="n">
        <v>42680.08056712963</v>
      </c>
      <c r="C2597" t="n">
        <v>0</v>
      </c>
      <c r="D2597" t="n">
        <v>233</v>
      </c>
      <c r="E2597" t="s">
        <v>2602</v>
      </c>
      <c r="F2597">
        <f>HYPERLINK("http://pbs.twimg.com/media/CwiyR9iUQAA_SUg.jpg", "http://pbs.twimg.com/media/CwiyR9iUQAA_SUg.jpg")</f>
        <v/>
      </c>
      <c r="G2597" t="s"/>
      <c r="H2597" t="s"/>
      <c r="I2597" t="s"/>
      <c r="J2597" t="n">
        <v>0</v>
      </c>
      <c r="K2597" t="n">
        <v>0</v>
      </c>
      <c r="L2597" t="n">
        <v>1</v>
      </c>
      <c r="M2597" t="n">
        <v>0</v>
      </c>
    </row>
    <row r="2598" spans="1:13">
      <c r="A2598" s="1">
        <f>HYPERLINK("http://www.twitter.com/NathanBLawrence/status/795080868888985600", "795080868888985600")</f>
        <v/>
      </c>
      <c r="B2598" s="2" t="n">
        <v>42680.07667824074</v>
      </c>
      <c r="C2598" t="n">
        <v>0</v>
      </c>
      <c r="D2598" t="n">
        <v>2147</v>
      </c>
      <c r="E2598" t="s">
        <v>2603</v>
      </c>
      <c r="F2598">
        <f>HYPERLINK("http://pbs.twimg.com/media/Cwiu1uwUoAESDrp.jpg", "http://pbs.twimg.com/media/Cwiu1uwUoAESDrp.jpg")</f>
        <v/>
      </c>
      <c r="G2598" t="s"/>
      <c r="H2598" t="s"/>
      <c r="I2598" t="s"/>
      <c r="J2598" t="n">
        <v>0.8915999999999999</v>
      </c>
      <c r="K2598" t="n">
        <v>0.06900000000000001</v>
      </c>
      <c r="L2598" t="n">
        <v>0.542</v>
      </c>
      <c r="M2598" t="n">
        <v>0.389</v>
      </c>
    </row>
    <row r="2599" spans="1:13">
      <c r="A2599" s="1">
        <f>HYPERLINK("http://www.twitter.com/NathanBLawrence/status/795080783790821378", "795080783790821378")</f>
        <v/>
      </c>
      <c r="B2599" s="2" t="n">
        <v>42680.07644675926</v>
      </c>
      <c r="C2599" t="n">
        <v>0</v>
      </c>
      <c r="D2599" t="n">
        <v>8639</v>
      </c>
      <c r="E2599" t="s">
        <v>2604</v>
      </c>
      <c r="F2599">
        <f>HYPERLINK("http://pbs.twimg.com/media/CwixZAjWQAAaFPx.jpg", "http://pbs.twimg.com/media/CwixZAjWQAAaFPx.jpg")</f>
        <v/>
      </c>
      <c r="G2599" t="s"/>
      <c r="H2599" t="s"/>
      <c r="I2599" t="s"/>
      <c r="J2599" t="n">
        <v>0.4588</v>
      </c>
      <c r="K2599" t="n">
        <v>0</v>
      </c>
      <c r="L2599" t="n">
        <v>0.8</v>
      </c>
      <c r="M2599" t="n">
        <v>0.2</v>
      </c>
    </row>
    <row r="2600" spans="1:13">
      <c r="A2600" s="1">
        <f>HYPERLINK("http://www.twitter.com/NathanBLawrence/status/795080151268728832", "795080151268728832")</f>
        <v/>
      </c>
      <c r="B2600" s="2" t="n">
        <v>42680.07469907407</v>
      </c>
      <c r="C2600" t="n">
        <v>0</v>
      </c>
      <c r="D2600" t="n">
        <v>26</v>
      </c>
      <c r="E2600" t="s">
        <v>2605</v>
      </c>
      <c r="F2600" t="s"/>
      <c r="G2600" t="s"/>
      <c r="H2600" t="s"/>
      <c r="I2600" t="s"/>
      <c r="J2600" t="n">
        <v>-0.8316</v>
      </c>
      <c r="K2600" t="n">
        <v>0.415</v>
      </c>
      <c r="L2600" t="n">
        <v>0.585</v>
      </c>
      <c r="M2600" t="n">
        <v>0</v>
      </c>
    </row>
    <row r="2601" spans="1:13">
      <c r="A2601" s="1">
        <f>HYPERLINK("http://www.twitter.com/NathanBLawrence/status/795079624271294464", "795079624271294464")</f>
        <v/>
      </c>
      <c r="B2601" s="2" t="n">
        <v>42680.07324074074</v>
      </c>
      <c r="C2601" t="n">
        <v>0</v>
      </c>
      <c r="D2601" t="n">
        <v>1809</v>
      </c>
      <c r="E2601" t="s">
        <v>2606</v>
      </c>
      <c r="F2601">
        <f>HYPERLINK("http://pbs.twimg.com/media/CwirnICVIAAQdiP.jpg", "http://pbs.twimg.com/media/CwirnICVIAAQdiP.jpg")</f>
        <v/>
      </c>
      <c r="G2601" t="s"/>
      <c r="H2601" t="s"/>
      <c r="I2601" t="s"/>
      <c r="J2601" t="n">
        <v>-0.3818</v>
      </c>
      <c r="K2601" t="n">
        <v>0.098</v>
      </c>
      <c r="L2601" t="n">
        <v>0.902</v>
      </c>
      <c r="M2601" t="n">
        <v>0</v>
      </c>
    </row>
    <row r="2602" spans="1:13">
      <c r="A2602" s="1">
        <f>HYPERLINK("http://www.twitter.com/NathanBLawrence/status/795079395148959744", "795079395148959744")</f>
        <v/>
      </c>
      <c r="B2602" s="2" t="n">
        <v>42680.07261574074</v>
      </c>
      <c r="C2602" t="n">
        <v>0</v>
      </c>
      <c r="D2602" t="n">
        <v>1019</v>
      </c>
      <c r="E2602" t="s">
        <v>2607</v>
      </c>
      <c r="F2602">
        <f>HYPERLINK("http://pbs.twimg.com/media/CwiuT9WXAAEaRnH.jpg", "http://pbs.twimg.com/media/CwiuT9WXAAEaRnH.jpg")</f>
        <v/>
      </c>
      <c r="G2602" t="s"/>
      <c r="H2602" t="s"/>
      <c r="I2602" t="s"/>
      <c r="J2602" t="n">
        <v>0.5523</v>
      </c>
      <c r="K2602" t="n">
        <v>0</v>
      </c>
      <c r="L2602" t="n">
        <v>0.828</v>
      </c>
      <c r="M2602" t="n">
        <v>0.172</v>
      </c>
    </row>
    <row r="2603" spans="1:13">
      <c r="A2603" s="1">
        <f>HYPERLINK("http://www.twitter.com/NathanBLawrence/status/795079304422060032", "795079304422060032")</f>
        <v/>
      </c>
      <c r="B2603" s="2" t="n">
        <v>42680.07236111111</v>
      </c>
      <c r="C2603" t="n">
        <v>0</v>
      </c>
      <c r="D2603" t="n">
        <v>281</v>
      </c>
      <c r="E2603" t="s">
        <v>2608</v>
      </c>
      <c r="F2603" t="s"/>
      <c r="G2603" t="s"/>
      <c r="H2603" t="s"/>
      <c r="I2603" t="s"/>
      <c r="J2603" t="n">
        <v>-0.2263</v>
      </c>
      <c r="K2603" t="n">
        <v>0.128</v>
      </c>
      <c r="L2603" t="n">
        <v>0.872</v>
      </c>
      <c r="M2603" t="n">
        <v>0</v>
      </c>
    </row>
    <row r="2604" spans="1:13">
      <c r="A2604" s="1">
        <f>HYPERLINK("http://www.twitter.com/NathanBLawrence/status/795078117127815168", "795078117127815168")</f>
        <v/>
      </c>
      <c r="B2604" s="2" t="n">
        <v>42680.06908564815</v>
      </c>
      <c r="C2604" t="n">
        <v>0</v>
      </c>
      <c r="D2604" t="n">
        <v>10728</v>
      </c>
      <c r="E2604" t="s">
        <v>2609</v>
      </c>
      <c r="F2604">
        <f>HYPERLINK("http://pbs.twimg.com/media/Cwisiv7W8AAjRuS.jpg", "http://pbs.twimg.com/media/Cwisiv7W8AAjRuS.jpg")</f>
        <v/>
      </c>
      <c r="G2604" t="s"/>
      <c r="H2604" t="s"/>
      <c r="I2604" t="s"/>
      <c r="J2604" t="n">
        <v>-0.5994</v>
      </c>
      <c r="K2604" t="n">
        <v>0.187</v>
      </c>
      <c r="L2604" t="n">
        <v>0.8129999999999999</v>
      </c>
      <c r="M2604" t="n">
        <v>0</v>
      </c>
    </row>
    <row r="2605" spans="1:13">
      <c r="A2605" s="1">
        <f>HYPERLINK("http://www.twitter.com/NathanBLawrence/status/795076381709373444", "795076381709373444")</f>
        <v/>
      </c>
      <c r="B2605" s="2" t="n">
        <v>42680.06429398148</v>
      </c>
      <c r="C2605" t="n">
        <v>0</v>
      </c>
      <c r="D2605" t="n">
        <v>1587</v>
      </c>
      <c r="E2605" t="s">
        <v>2610</v>
      </c>
      <c r="F2605">
        <f>HYPERLINK("http://pbs.twimg.com/media/CwW4sTMVQAAnMf5.jpg", "http://pbs.twimg.com/media/CwW4sTMVQAAnMf5.jpg")</f>
        <v/>
      </c>
      <c r="G2605" t="s"/>
      <c r="H2605" t="s"/>
      <c r="I2605" t="s"/>
      <c r="J2605" t="n">
        <v>-0.1027</v>
      </c>
      <c r="K2605" t="n">
        <v>0.15</v>
      </c>
      <c r="L2605" t="n">
        <v>0.722</v>
      </c>
      <c r="M2605" t="n">
        <v>0.128</v>
      </c>
    </row>
    <row r="2606" spans="1:13">
      <c r="A2606" s="1">
        <f>HYPERLINK("http://www.twitter.com/NathanBLawrence/status/795075812169043968", "795075812169043968")</f>
        <v/>
      </c>
      <c r="B2606" s="2" t="n">
        <v>42680.06273148148</v>
      </c>
      <c r="C2606" t="n">
        <v>0</v>
      </c>
      <c r="D2606" t="n">
        <v>1325</v>
      </c>
      <c r="E2606" t="s">
        <v>2611</v>
      </c>
      <c r="F2606" t="s"/>
      <c r="G2606" t="s"/>
      <c r="H2606" t="s"/>
      <c r="I2606" t="s"/>
      <c r="J2606" t="n">
        <v>0</v>
      </c>
      <c r="K2606" t="n">
        <v>0.155</v>
      </c>
      <c r="L2606" t="n">
        <v>0.647</v>
      </c>
      <c r="M2606" t="n">
        <v>0.198</v>
      </c>
    </row>
    <row r="2607" spans="1:13">
      <c r="A2607" s="1">
        <f>HYPERLINK("http://www.twitter.com/NathanBLawrence/status/795074312201977856", "795074312201977856")</f>
        <v/>
      </c>
      <c r="B2607" s="2" t="n">
        <v>42680.05858796297</v>
      </c>
      <c r="C2607" t="n">
        <v>0</v>
      </c>
      <c r="D2607" t="n">
        <v>1648</v>
      </c>
      <c r="E2607" t="s">
        <v>2612</v>
      </c>
      <c r="F2607">
        <f>HYPERLINK("https://video.twimg.com/ext_tw_video/795071006373281793/pu/vid/1280x720/4QS4RJUBLHOMP4mN.mp4", "https://video.twimg.com/ext_tw_video/795071006373281793/pu/vid/1280x720/4QS4RJUBLHOMP4mN.mp4")</f>
        <v/>
      </c>
      <c r="G2607" t="s"/>
      <c r="H2607" t="s"/>
      <c r="I2607" t="s"/>
      <c r="J2607" t="n">
        <v>0</v>
      </c>
      <c r="K2607" t="n">
        <v>0</v>
      </c>
      <c r="L2607" t="n">
        <v>1</v>
      </c>
      <c r="M2607" t="n">
        <v>0</v>
      </c>
    </row>
    <row r="2608" spans="1:13">
      <c r="A2608" s="1">
        <f>HYPERLINK("http://www.twitter.com/NathanBLawrence/status/795074046811586561", "795074046811586561")</f>
        <v/>
      </c>
      <c r="B2608" s="2" t="n">
        <v>42680.0578587963</v>
      </c>
      <c r="C2608" t="n">
        <v>0</v>
      </c>
      <c r="D2608" t="n">
        <v>793</v>
      </c>
      <c r="E2608" t="s">
        <v>2613</v>
      </c>
      <c r="F2608" t="s"/>
      <c r="G2608" t="s"/>
      <c r="H2608" t="s"/>
      <c r="I2608" t="s"/>
      <c r="J2608" t="n">
        <v>0.4404</v>
      </c>
      <c r="K2608" t="n">
        <v>0</v>
      </c>
      <c r="L2608" t="n">
        <v>0.884</v>
      </c>
      <c r="M2608" t="n">
        <v>0.116</v>
      </c>
    </row>
    <row r="2609" spans="1:13">
      <c r="A2609" s="1">
        <f>HYPERLINK("http://www.twitter.com/NathanBLawrence/status/795073984106819584", "795073984106819584")</f>
        <v/>
      </c>
      <c r="B2609" s="2" t="n">
        <v>42680.05768518519</v>
      </c>
      <c r="C2609" t="n">
        <v>0</v>
      </c>
      <c r="D2609" t="n">
        <v>2515</v>
      </c>
      <c r="E2609" t="s">
        <v>2614</v>
      </c>
      <c r="F2609" t="s"/>
      <c r="G2609" t="s"/>
      <c r="H2609" t="s"/>
      <c r="I2609" t="s"/>
      <c r="J2609" t="n">
        <v>0</v>
      </c>
      <c r="K2609" t="n">
        <v>0</v>
      </c>
      <c r="L2609" t="n">
        <v>1</v>
      </c>
      <c r="M2609" t="n">
        <v>0</v>
      </c>
    </row>
    <row r="2610" spans="1:13">
      <c r="A2610" s="1">
        <f>HYPERLINK("http://www.twitter.com/NathanBLawrence/status/795069788997451777", "795069788997451777")</f>
        <v/>
      </c>
      <c r="B2610" s="2" t="n">
        <v>42680.04611111111</v>
      </c>
      <c r="C2610" t="n">
        <v>0</v>
      </c>
      <c r="D2610" t="n">
        <v>2</v>
      </c>
      <c r="E2610" t="s">
        <v>2615</v>
      </c>
      <c r="F2610" t="s"/>
      <c r="G2610" t="s"/>
      <c r="H2610" t="s"/>
      <c r="I2610" t="s"/>
      <c r="J2610" t="n">
        <v>0.34</v>
      </c>
      <c r="K2610" t="n">
        <v>0.059</v>
      </c>
      <c r="L2610" t="n">
        <v>0.8179999999999999</v>
      </c>
      <c r="M2610" t="n">
        <v>0.123</v>
      </c>
    </row>
    <row r="2611" spans="1:13">
      <c r="A2611" s="1">
        <f>HYPERLINK("http://www.twitter.com/NathanBLawrence/status/795063759261798401", "795063759261798401")</f>
        <v/>
      </c>
      <c r="B2611" s="2" t="n">
        <v>42680.02946759259</v>
      </c>
      <c r="C2611" t="n">
        <v>0</v>
      </c>
      <c r="D2611" t="n">
        <v>470</v>
      </c>
      <c r="E2611" t="s">
        <v>2616</v>
      </c>
      <c r="F2611" t="s"/>
      <c r="G2611" t="s"/>
      <c r="H2611" t="s"/>
      <c r="I2611" t="s"/>
      <c r="J2611" t="n">
        <v>0</v>
      </c>
      <c r="K2611" t="n">
        <v>0</v>
      </c>
      <c r="L2611" t="n">
        <v>1</v>
      </c>
      <c r="M2611" t="n">
        <v>0</v>
      </c>
    </row>
    <row r="2612" spans="1:13">
      <c r="A2612" s="1">
        <f>HYPERLINK("http://www.twitter.com/NathanBLawrence/status/795059214125240320", "795059214125240320")</f>
        <v/>
      </c>
      <c r="B2612" s="2" t="n">
        <v>42680.01692129629</v>
      </c>
      <c r="C2612" t="n">
        <v>0</v>
      </c>
      <c r="D2612" t="n">
        <v>8860</v>
      </c>
      <c r="E2612" t="s">
        <v>2617</v>
      </c>
      <c r="F2612" t="s"/>
      <c r="G2612" t="s"/>
      <c r="H2612" t="s"/>
      <c r="I2612" t="s"/>
      <c r="J2612" t="n">
        <v>-0.3818</v>
      </c>
      <c r="K2612" t="n">
        <v>0.11</v>
      </c>
      <c r="L2612" t="n">
        <v>0.89</v>
      </c>
      <c r="M2612" t="n">
        <v>0</v>
      </c>
    </row>
    <row r="2613" spans="1:13">
      <c r="A2613" s="1">
        <f>HYPERLINK("http://www.twitter.com/NathanBLawrence/status/795056453694455808", "795056453694455808")</f>
        <v/>
      </c>
      <c r="B2613" s="2" t="n">
        <v>42680.00930555556</v>
      </c>
      <c r="C2613" t="n">
        <v>0</v>
      </c>
      <c r="D2613" t="n">
        <v>1929</v>
      </c>
      <c r="E2613" t="s">
        <v>2618</v>
      </c>
      <c r="F2613" t="s"/>
      <c r="G2613" t="s"/>
      <c r="H2613" t="s"/>
      <c r="I2613" t="s"/>
      <c r="J2613" t="n">
        <v>0</v>
      </c>
      <c r="K2613" t="n">
        <v>0</v>
      </c>
      <c r="L2613" t="n">
        <v>1</v>
      </c>
      <c r="M2613" t="n">
        <v>0</v>
      </c>
    </row>
    <row r="2614" spans="1:13">
      <c r="A2614" s="1">
        <f>HYPERLINK("http://www.twitter.com/NathanBLawrence/status/795053955185332224", "795053955185332224")</f>
        <v/>
      </c>
      <c r="B2614" s="2" t="n">
        <v>42680.00240740741</v>
      </c>
      <c r="C2614" t="n">
        <v>0</v>
      </c>
      <c r="D2614" t="n">
        <v>4963</v>
      </c>
      <c r="E2614" t="s">
        <v>2619</v>
      </c>
      <c r="F2614" t="s"/>
      <c r="G2614" t="s"/>
      <c r="H2614" t="s"/>
      <c r="I2614" t="s"/>
      <c r="J2614" t="n">
        <v>0</v>
      </c>
      <c r="K2614" t="n">
        <v>0</v>
      </c>
      <c r="L2614" t="n">
        <v>1</v>
      </c>
      <c r="M2614" t="n">
        <v>0</v>
      </c>
    </row>
    <row r="2615" spans="1:13">
      <c r="A2615" s="1">
        <f>HYPERLINK("http://www.twitter.com/NathanBLawrence/status/795050217036976128", "795050217036976128")</f>
        <v/>
      </c>
      <c r="B2615" s="2" t="n">
        <v>42679.99209490741</v>
      </c>
      <c r="C2615" t="n">
        <v>0</v>
      </c>
      <c r="D2615" t="n">
        <v>2301</v>
      </c>
      <c r="E2615" t="s">
        <v>2620</v>
      </c>
      <c r="F2615">
        <f>HYPERLINK("http://pbs.twimg.com/media/CwhD2GFVQAAm0fv.jpg", "http://pbs.twimg.com/media/CwhD2GFVQAAm0fv.jpg")</f>
        <v/>
      </c>
      <c r="G2615" t="s"/>
      <c r="H2615" t="s"/>
      <c r="I2615" t="s"/>
      <c r="J2615" t="n">
        <v>0</v>
      </c>
      <c r="K2615" t="n">
        <v>0</v>
      </c>
      <c r="L2615" t="n">
        <v>1</v>
      </c>
      <c r="M2615" t="n">
        <v>0</v>
      </c>
    </row>
    <row r="2616" spans="1:13">
      <c r="A2616" s="1">
        <f>HYPERLINK("http://www.twitter.com/NathanBLawrence/status/795048663047344128", "795048663047344128")</f>
        <v/>
      </c>
      <c r="B2616" s="2" t="n">
        <v>42679.9878125</v>
      </c>
      <c r="C2616" t="n">
        <v>0</v>
      </c>
      <c r="D2616" t="n">
        <v>10423</v>
      </c>
      <c r="E2616" t="s">
        <v>2621</v>
      </c>
      <c r="F2616" t="s"/>
      <c r="G2616" t="s"/>
      <c r="H2616" t="s"/>
      <c r="I2616" t="s"/>
      <c r="J2616" t="n">
        <v>0.6908</v>
      </c>
      <c r="K2616" t="n">
        <v>0</v>
      </c>
      <c r="L2616" t="n">
        <v>0.759</v>
      </c>
      <c r="M2616" t="n">
        <v>0.241</v>
      </c>
    </row>
    <row r="2617" spans="1:13">
      <c r="A2617" s="1">
        <f>HYPERLINK("http://www.twitter.com/NathanBLawrence/status/795048485020200965", "795048485020200965")</f>
        <v/>
      </c>
      <c r="B2617" s="2" t="n">
        <v>42679.98731481482</v>
      </c>
      <c r="C2617" t="n">
        <v>0</v>
      </c>
      <c r="D2617" t="n">
        <v>4528</v>
      </c>
      <c r="E2617" t="s">
        <v>2622</v>
      </c>
      <c r="F2617" t="s"/>
      <c r="G2617" t="s"/>
      <c r="H2617" t="s"/>
      <c r="I2617" t="s"/>
      <c r="J2617" t="n">
        <v>-0.4404</v>
      </c>
      <c r="K2617" t="n">
        <v>0.225</v>
      </c>
      <c r="L2617" t="n">
        <v>0.775</v>
      </c>
      <c r="M2617" t="n">
        <v>0</v>
      </c>
    </row>
    <row r="2618" spans="1:13">
      <c r="A2618" s="1">
        <f>HYPERLINK("http://www.twitter.com/NathanBLawrence/status/795046641795530756", "795046641795530756")</f>
        <v/>
      </c>
      <c r="B2618" s="2" t="n">
        <v>42679.9822337963</v>
      </c>
      <c r="C2618" t="n">
        <v>0</v>
      </c>
      <c r="D2618" t="n">
        <v>631</v>
      </c>
      <c r="E2618" t="s">
        <v>2623</v>
      </c>
      <c r="F2618">
        <f>HYPERLINK("http://pbs.twimg.com/media/CwiKynoXcAAqV9C.jpg", "http://pbs.twimg.com/media/CwiKynoXcAAqV9C.jpg")</f>
        <v/>
      </c>
      <c r="G2618" t="s"/>
      <c r="H2618" t="s"/>
      <c r="I2618" t="s"/>
      <c r="J2618" t="n">
        <v>-0.6802</v>
      </c>
      <c r="K2618" t="n">
        <v>0.285</v>
      </c>
      <c r="L2618" t="n">
        <v>0.715</v>
      </c>
      <c r="M2618" t="n">
        <v>0</v>
      </c>
    </row>
    <row r="2619" spans="1:13">
      <c r="A2619" s="1">
        <f>HYPERLINK("http://www.twitter.com/NathanBLawrence/status/795046517300228100", "795046517300228100")</f>
        <v/>
      </c>
      <c r="B2619" s="2" t="n">
        <v>42679.98188657407</v>
      </c>
      <c r="C2619" t="n">
        <v>0</v>
      </c>
      <c r="D2619" t="n">
        <v>7054</v>
      </c>
      <c r="E2619" t="s">
        <v>2624</v>
      </c>
      <c r="F2619" t="s"/>
      <c r="G2619" t="s"/>
      <c r="H2619" t="s"/>
      <c r="I2619" t="s"/>
      <c r="J2619" t="n">
        <v>0</v>
      </c>
      <c r="K2619" t="n">
        <v>0</v>
      </c>
      <c r="L2619" t="n">
        <v>1</v>
      </c>
      <c r="M2619" t="n">
        <v>0</v>
      </c>
    </row>
    <row r="2620" spans="1:13">
      <c r="A2620" s="1">
        <f>HYPERLINK("http://www.twitter.com/NathanBLawrence/status/795027416972410880", "795027416972410880")</f>
        <v/>
      </c>
      <c r="B2620" s="2" t="n">
        <v>42679.92917824074</v>
      </c>
      <c r="C2620" t="n">
        <v>0</v>
      </c>
      <c r="D2620" t="n">
        <v>1054</v>
      </c>
      <c r="E2620" t="s">
        <v>2625</v>
      </c>
      <c r="F2620">
        <f>HYPERLINK("http://pbs.twimg.com/media/CwhZ0QqVEAA5apq.jpg", "http://pbs.twimg.com/media/CwhZ0QqVEAA5apq.jpg")</f>
        <v/>
      </c>
      <c r="G2620" t="s"/>
      <c r="H2620" t="s"/>
      <c r="I2620" t="s"/>
      <c r="J2620" t="n">
        <v>-0.5106000000000001</v>
      </c>
      <c r="K2620" t="n">
        <v>0.171</v>
      </c>
      <c r="L2620" t="n">
        <v>0.829</v>
      </c>
      <c r="M2620" t="n">
        <v>0</v>
      </c>
    </row>
    <row r="2621" spans="1:13">
      <c r="A2621" s="1">
        <f>HYPERLINK("http://www.twitter.com/NathanBLawrence/status/795027189708230656", "795027189708230656")</f>
        <v/>
      </c>
      <c r="B2621" s="2" t="n">
        <v>42679.92855324074</v>
      </c>
      <c r="C2621" t="n">
        <v>0</v>
      </c>
      <c r="D2621" t="n">
        <v>1223</v>
      </c>
      <c r="E2621" t="s">
        <v>2626</v>
      </c>
      <c r="F2621" t="s"/>
      <c r="G2621" t="s"/>
      <c r="H2621" t="s"/>
      <c r="I2621" t="s"/>
      <c r="J2621" t="n">
        <v>-0.5891999999999999</v>
      </c>
      <c r="K2621" t="n">
        <v>0.241</v>
      </c>
      <c r="L2621" t="n">
        <v>0.609</v>
      </c>
      <c r="M2621" t="n">
        <v>0.15</v>
      </c>
    </row>
    <row r="2622" spans="1:13">
      <c r="A2622" s="1">
        <f>HYPERLINK("http://www.twitter.com/NathanBLawrence/status/795017771864178688", "795017771864178688")</f>
        <v/>
      </c>
      <c r="B2622" s="2" t="n">
        <v>42679.90256944444</v>
      </c>
      <c r="C2622" t="n">
        <v>0</v>
      </c>
      <c r="D2622" t="n">
        <v>832</v>
      </c>
      <c r="E2622" t="s">
        <v>2627</v>
      </c>
      <c r="F2622" t="s"/>
      <c r="G2622" t="s"/>
      <c r="H2622" t="s"/>
      <c r="I2622" t="s"/>
      <c r="J2622" t="n">
        <v>0</v>
      </c>
      <c r="K2622" t="n">
        <v>0</v>
      </c>
      <c r="L2622" t="n">
        <v>1</v>
      </c>
      <c r="M2622" t="n">
        <v>0</v>
      </c>
    </row>
    <row r="2623" spans="1:13">
      <c r="A2623" s="1">
        <f>HYPERLINK("http://www.twitter.com/NathanBLawrence/status/795017438966546434", "795017438966546434")</f>
        <v/>
      </c>
      <c r="B2623" s="2" t="n">
        <v>42679.90164351852</v>
      </c>
      <c r="C2623" t="n">
        <v>0</v>
      </c>
      <c r="D2623" t="n">
        <v>1294</v>
      </c>
      <c r="E2623" t="s">
        <v>2628</v>
      </c>
      <c r="F2623" t="s"/>
      <c r="G2623" t="s"/>
      <c r="H2623" t="s"/>
      <c r="I2623" t="s"/>
      <c r="J2623" t="n">
        <v>0</v>
      </c>
      <c r="K2623" t="n">
        <v>0.125</v>
      </c>
      <c r="L2623" t="n">
        <v>0.75</v>
      </c>
      <c r="M2623" t="n">
        <v>0.125</v>
      </c>
    </row>
    <row r="2624" spans="1:13">
      <c r="A2624" s="1">
        <f>HYPERLINK("http://www.twitter.com/NathanBLawrence/status/795017395240890368", "795017395240890368")</f>
        <v/>
      </c>
      <c r="B2624" s="2" t="n">
        <v>42679.90152777778</v>
      </c>
      <c r="C2624" t="n">
        <v>0</v>
      </c>
      <c r="D2624" t="n">
        <v>1123</v>
      </c>
      <c r="E2624" t="s">
        <v>2629</v>
      </c>
      <c r="F2624" t="s"/>
      <c r="G2624" t="s"/>
      <c r="H2624" t="s"/>
      <c r="I2624" t="s"/>
      <c r="J2624" t="n">
        <v>-0.3182</v>
      </c>
      <c r="K2624" t="n">
        <v>0.187</v>
      </c>
      <c r="L2624" t="n">
        <v>0.8129999999999999</v>
      </c>
      <c r="M2624" t="n">
        <v>0</v>
      </c>
    </row>
    <row r="2625" spans="1:13">
      <c r="A2625" s="1">
        <f>HYPERLINK("http://www.twitter.com/NathanBLawrence/status/795017170199674880", "795017170199674880")</f>
        <v/>
      </c>
      <c r="B2625" s="2" t="n">
        <v>42679.90090277778</v>
      </c>
      <c r="C2625" t="n">
        <v>0</v>
      </c>
      <c r="D2625" t="n">
        <v>692</v>
      </c>
      <c r="E2625" t="s">
        <v>2630</v>
      </c>
      <c r="F2625" t="s"/>
      <c r="G2625" t="s"/>
      <c r="H2625" t="s"/>
      <c r="I2625" t="s"/>
      <c r="J2625" t="n">
        <v>0</v>
      </c>
      <c r="K2625" t="n">
        <v>0</v>
      </c>
      <c r="L2625" t="n">
        <v>1</v>
      </c>
      <c r="M2625" t="n">
        <v>0</v>
      </c>
    </row>
    <row r="2626" spans="1:13">
      <c r="A2626" s="1">
        <f>HYPERLINK("http://www.twitter.com/NathanBLawrence/status/795001213267877892", "795001213267877892")</f>
        <v/>
      </c>
      <c r="B2626" s="2" t="n">
        <v>42679.856875</v>
      </c>
      <c r="C2626" t="n">
        <v>0</v>
      </c>
      <c r="D2626" t="n">
        <v>860</v>
      </c>
      <c r="E2626" t="s">
        <v>2631</v>
      </c>
      <c r="F2626" t="s"/>
      <c r="G2626" t="s"/>
      <c r="H2626" t="s"/>
      <c r="I2626" t="s"/>
      <c r="J2626" t="n">
        <v>0.6588000000000001</v>
      </c>
      <c r="K2626" t="n">
        <v>0</v>
      </c>
      <c r="L2626" t="n">
        <v>0.84</v>
      </c>
      <c r="M2626" t="n">
        <v>0.16</v>
      </c>
    </row>
    <row r="2627" spans="1:13">
      <c r="A2627" s="1">
        <f>HYPERLINK("http://www.twitter.com/NathanBLawrence/status/795001166375567361", "795001166375567361")</f>
        <v/>
      </c>
      <c r="B2627" s="2" t="n">
        <v>42679.85674768518</v>
      </c>
      <c r="C2627" t="n">
        <v>0</v>
      </c>
      <c r="D2627" t="n">
        <v>3553</v>
      </c>
      <c r="E2627" t="s">
        <v>2632</v>
      </c>
      <c r="F2627" t="s"/>
      <c r="G2627" t="s"/>
      <c r="H2627" t="s"/>
      <c r="I2627" t="s"/>
      <c r="J2627" t="n">
        <v>-0.3182</v>
      </c>
      <c r="K2627" t="n">
        <v>0.103</v>
      </c>
      <c r="L2627" t="n">
        <v>0.897</v>
      </c>
      <c r="M2627" t="n">
        <v>0</v>
      </c>
    </row>
    <row r="2628" spans="1:13">
      <c r="A2628" s="1">
        <f>HYPERLINK("http://www.twitter.com/NathanBLawrence/status/795001102789996544", "795001102789996544")</f>
        <v/>
      </c>
      <c r="B2628" s="2" t="n">
        <v>42679.8565625</v>
      </c>
      <c r="C2628" t="n">
        <v>0</v>
      </c>
      <c r="D2628" t="n">
        <v>794</v>
      </c>
      <c r="E2628" t="s">
        <v>2633</v>
      </c>
      <c r="F2628" t="s"/>
      <c r="G2628" t="s"/>
      <c r="H2628" t="s"/>
      <c r="I2628" t="s"/>
      <c r="J2628" t="n">
        <v>0</v>
      </c>
      <c r="K2628" t="n">
        <v>0</v>
      </c>
      <c r="L2628" t="n">
        <v>1</v>
      </c>
      <c r="M2628" t="n">
        <v>0</v>
      </c>
    </row>
    <row r="2629" spans="1:13">
      <c r="A2629" s="1">
        <f>HYPERLINK("http://www.twitter.com/NathanBLawrence/status/795001070011486209", "795001070011486209")</f>
        <v/>
      </c>
      <c r="B2629" s="2" t="n">
        <v>42679.85648148148</v>
      </c>
      <c r="C2629" t="n">
        <v>0</v>
      </c>
      <c r="D2629" t="n">
        <v>825</v>
      </c>
      <c r="E2629" t="s">
        <v>2634</v>
      </c>
      <c r="F2629" t="s"/>
      <c r="G2629" t="s"/>
      <c r="H2629" t="s"/>
      <c r="I2629" t="s"/>
      <c r="J2629" t="n">
        <v>0.5994</v>
      </c>
      <c r="K2629" t="n">
        <v>0</v>
      </c>
      <c r="L2629" t="n">
        <v>0.803</v>
      </c>
      <c r="M2629" t="n">
        <v>0.197</v>
      </c>
    </row>
    <row r="2630" spans="1:13">
      <c r="A2630" s="1">
        <f>HYPERLINK("http://www.twitter.com/NathanBLawrence/status/795000858668896256", "795000858668896256")</f>
        <v/>
      </c>
      <c r="B2630" s="2" t="n">
        <v>42679.8558912037</v>
      </c>
      <c r="C2630" t="n">
        <v>0</v>
      </c>
      <c r="D2630" t="n">
        <v>1549</v>
      </c>
      <c r="E2630" t="s">
        <v>2635</v>
      </c>
      <c r="F2630" t="s"/>
      <c r="G2630" t="s"/>
      <c r="H2630" t="s"/>
      <c r="I2630" t="s"/>
      <c r="J2630" t="n">
        <v>-0.5574</v>
      </c>
      <c r="K2630" t="n">
        <v>0.23</v>
      </c>
      <c r="L2630" t="n">
        <v>0.6909999999999999</v>
      </c>
      <c r="M2630" t="n">
        <v>0.079</v>
      </c>
    </row>
    <row r="2631" spans="1:13">
      <c r="A2631" s="1">
        <f>HYPERLINK("http://www.twitter.com/NathanBLawrence/status/794997476201811969", "794997476201811969")</f>
        <v/>
      </c>
      <c r="B2631" s="2" t="n">
        <v>42679.8465625</v>
      </c>
      <c r="C2631" t="n">
        <v>0</v>
      </c>
      <c r="D2631" t="n">
        <v>2040</v>
      </c>
      <c r="E2631" t="s">
        <v>2636</v>
      </c>
      <c r="F2631">
        <f>HYPERLINK("http://pbs.twimg.com/media/CwhU6UQUQAAnxkg.jpg", "http://pbs.twimg.com/media/CwhU6UQUQAAnxkg.jpg")</f>
        <v/>
      </c>
      <c r="G2631" t="s"/>
      <c r="H2631" t="s"/>
      <c r="I2631" t="s"/>
      <c r="J2631" t="n">
        <v>-0.5859</v>
      </c>
      <c r="K2631" t="n">
        <v>0.226</v>
      </c>
      <c r="L2631" t="n">
        <v>0.774</v>
      </c>
      <c r="M2631" t="n">
        <v>0</v>
      </c>
    </row>
    <row r="2632" spans="1:13">
      <c r="A2632" s="1">
        <f>HYPERLINK("http://www.twitter.com/NathanBLawrence/status/794991766424453120", "794991766424453120")</f>
        <v/>
      </c>
      <c r="B2632" s="2" t="n">
        <v>42679.83081018519</v>
      </c>
      <c r="C2632" t="n">
        <v>0</v>
      </c>
      <c r="D2632" t="n">
        <v>3416</v>
      </c>
      <c r="E2632" t="s">
        <v>2637</v>
      </c>
      <c r="F2632" t="s"/>
      <c r="G2632" t="s"/>
      <c r="H2632" t="s"/>
      <c r="I2632" t="s"/>
      <c r="J2632" t="n">
        <v>-0.6696</v>
      </c>
      <c r="K2632" t="n">
        <v>0.183</v>
      </c>
      <c r="L2632" t="n">
        <v>0.8169999999999999</v>
      </c>
      <c r="M2632" t="n">
        <v>0</v>
      </c>
    </row>
    <row r="2633" spans="1:13">
      <c r="A2633" s="1">
        <f>HYPERLINK("http://www.twitter.com/NathanBLawrence/status/794990572159270912", "794990572159270912")</f>
        <v/>
      </c>
      <c r="B2633" s="2" t="n">
        <v>42679.82751157408</v>
      </c>
      <c r="C2633" t="n">
        <v>0</v>
      </c>
      <c r="D2633" t="n">
        <v>5897</v>
      </c>
      <c r="E2633" t="s">
        <v>2638</v>
      </c>
      <c r="F2633">
        <f>HYPERLINK("http://pbs.twimg.com/media/CwgfytAWEAAXgIc.jpg", "http://pbs.twimg.com/media/CwgfytAWEAAXgIc.jpg")</f>
        <v/>
      </c>
      <c r="G2633" t="s"/>
      <c r="H2633" t="s"/>
      <c r="I2633" t="s"/>
      <c r="J2633" t="n">
        <v>-0.1027</v>
      </c>
      <c r="K2633" t="n">
        <v>0.195</v>
      </c>
      <c r="L2633" t="n">
        <v>0.632</v>
      </c>
      <c r="M2633" t="n">
        <v>0.174</v>
      </c>
    </row>
    <row r="2634" spans="1:13">
      <c r="A2634" s="1">
        <f>HYPERLINK("http://www.twitter.com/NathanBLawrence/status/794990513602592768", "794990513602592768")</f>
        <v/>
      </c>
      <c r="B2634" s="2" t="n">
        <v>42679.82734953704</v>
      </c>
      <c r="C2634" t="n">
        <v>0</v>
      </c>
      <c r="D2634" t="n">
        <v>2926</v>
      </c>
      <c r="E2634" t="s">
        <v>2639</v>
      </c>
      <c r="F2634" t="s"/>
      <c r="G2634" t="s"/>
      <c r="H2634" t="s"/>
      <c r="I2634" t="s"/>
      <c r="J2634" t="n">
        <v>0.25</v>
      </c>
      <c r="K2634" t="n">
        <v>0</v>
      </c>
      <c r="L2634" t="n">
        <v>0.833</v>
      </c>
      <c r="M2634" t="n">
        <v>0.167</v>
      </c>
    </row>
    <row r="2635" spans="1:13">
      <c r="A2635" s="1">
        <f>HYPERLINK("http://www.twitter.com/NathanBLawrence/status/794987090236866560", "794987090236866560")</f>
        <v/>
      </c>
      <c r="B2635" s="2" t="n">
        <v>42679.81790509259</v>
      </c>
      <c r="C2635" t="n">
        <v>0</v>
      </c>
      <c r="D2635" t="n">
        <v>5012</v>
      </c>
      <c r="E2635" t="s">
        <v>2640</v>
      </c>
      <c r="F2635" t="s"/>
      <c r="G2635" t="s"/>
      <c r="H2635" t="s"/>
      <c r="I2635" t="s"/>
      <c r="J2635" t="n">
        <v>0</v>
      </c>
      <c r="K2635" t="n">
        <v>0</v>
      </c>
      <c r="L2635" t="n">
        <v>1</v>
      </c>
      <c r="M2635" t="n">
        <v>0</v>
      </c>
    </row>
    <row r="2636" spans="1:13">
      <c r="A2636" s="1">
        <f>HYPERLINK("http://www.twitter.com/NathanBLawrence/status/794966027549413376", "794966027549413376")</f>
        <v/>
      </c>
      <c r="B2636" s="2" t="n">
        <v>42679.75978009259</v>
      </c>
      <c r="C2636" t="n">
        <v>0</v>
      </c>
      <c r="D2636" t="n">
        <v>3896</v>
      </c>
      <c r="E2636" t="s">
        <v>2641</v>
      </c>
      <c r="F2636" t="s"/>
      <c r="G2636" t="s"/>
      <c r="H2636" t="s"/>
      <c r="I2636" t="s"/>
      <c r="J2636" t="n">
        <v>-0.4648</v>
      </c>
      <c r="K2636" t="n">
        <v>0.151</v>
      </c>
      <c r="L2636" t="n">
        <v>0.849</v>
      </c>
      <c r="M2636" t="n">
        <v>0</v>
      </c>
    </row>
    <row r="2637" spans="1:13">
      <c r="A2637" s="1">
        <f>HYPERLINK("http://www.twitter.com/NathanBLawrence/status/794963516516077568", "794963516516077568")</f>
        <v/>
      </c>
      <c r="B2637" s="2" t="n">
        <v>42679.75284722223</v>
      </c>
      <c r="C2637" t="n">
        <v>0</v>
      </c>
      <c r="D2637" t="n">
        <v>5802</v>
      </c>
      <c r="E2637" t="s">
        <v>2642</v>
      </c>
      <c r="F2637">
        <f>HYPERLINK("http://pbs.twimg.com/media/CwgynqMW8AEp2tb.jpg", "http://pbs.twimg.com/media/CwgynqMW8AEp2tb.jpg")</f>
        <v/>
      </c>
      <c r="G2637" t="s"/>
      <c r="H2637" t="s"/>
      <c r="I2637" t="s"/>
      <c r="J2637" t="n">
        <v>0</v>
      </c>
      <c r="K2637" t="n">
        <v>0</v>
      </c>
      <c r="L2637" t="n">
        <v>1</v>
      </c>
      <c r="M2637" t="n">
        <v>0</v>
      </c>
    </row>
    <row r="2638" spans="1:13">
      <c r="A2638" s="1">
        <f>HYPERLINK("http://www.twitter.com/NathanBLawrence/status/794950663625129984", "794950663625129984")</f>
        <v/>
      </c>
      <c r="B2638" s="2" t="n">
        <v>42679.71738425926</v>
      </c>
      <c r="C2638" t="n">
        <v>0</v>
      </c>
      <c r="D2638" t="n">
        <v>1803</v>
      </c>
      <c r="E2638" t="s">
        <v>2643</v>
      </c>
      <c r="F2638">
        <f>HYPERLINK("http://pbs.twimg.com/media/CwgkmocUUAAQw0F.jpg", "http://pbs.twimg.com/media/CwgkmocUUAAQw0F.jpg")</f>
        <v/>
      </c>
      <c r="G2638" t="s"/>
      <c r="H2638" t="s"/>
      <c r="I2638" t="s"/>
      <c r="J2638" t="n">
        <v>0.7096</v>
      </c>
      <c r="K2638" t="n">
        <v>0</v>
      </c>
      <c r="L2638" t="n">
        <v>0.761</v>
      </c>
      <c r="M2638" t="n">
        <v>0.239</v>
      </c>
    </row>
    <row r="2639" spans="1:13">
      <c r="A2639" s="1">
        <f>HYPERLINK("http://www.twitter.com/NathanBLawrence/status/794946719247200256", "794946719247200256")</f>
        <v/>
      </c>
      <c r="B2639" s="2" t="n">
        <v>42679.70649305556</v>
      </c>
      <c r="C2639" t="n">
        <v>0</v>
      </c>
      <c r="D2639" t="n">
        <v>871</v>
      </c>
      <c r="E2639" t="s">
        <v>2644</v>
      </c>
      <c r="F2639">
        <f>HYPERLINK("http://pbs.twimg.com/media/CwgqvH9UkAAoG4B.jpg", "http://pbs.twimg.com/media/CwgqvH9UkAAoG4B.jpg")</f>
        <v/>
      </c>
      <c r="G2639" t="s"/>
      <c r="H2639" t="s"/>
      <c r="I2639" t="s"/>
      <c r="J2639" t="n">
        <v>0.7579</v>
      </c>
      <c r="K2639" t="n">
        <v>0</v>
      </c>
      <c r="L2639" t="n">
        <v>0.735</v>
      </c>
      <c r="M2639" t="n">
        <v>0.265</v>
      </c>
    </row>
    <row r="2640" spans="1:13">
      <c r="A2640" s="1">
        <f>HYPERLINK("http://www.twitter.com/NathanBLawrence/status/794946046606671873", "794946046606671873")</f>
        <v/>
      </c>
      <c r="B2640" s="2" t="n">
        <v>42679.7046412037</v>
      </c>
      <c r="C2640" t="n">
        <v>0</v>
      </c>
      <c r="D2640" t="n">
        <v>1422</v>
      </c>
      <c r="E2640" t="s">
        <v>2645</v>
      </c>
      <c r="F2640">
        <f>HYPERLINK("http://pbs.twimg.com/media/Cwg0g6AUcAAFP4_.jpg", "http://pbs.twimg.com/media/Cwg0g6AUcAAFP4_.jpg")</f>
        <v/>
      </c>
      <c r="G2640" t="s"/>
      <c r="H2640" t="s"/>
      <c r="I2640" t="s"/>
      <c r="J2640" t="n">
        <v>-0.4939</v>
      </c>
      <c r="K2640" t="n">
        <v>0.151</v>
      </c>
      <c r="L2640" t="n">
        <v>0.849</v>
      </c>
      <c r="M2640" t="n">
        <v>0</v>
      </c>
    </row>
    <row r="2641" spans="1:13">
      <c r="A2641" s="1">
        <f>HYPERLINK("http://www.twitter.com/NathanBLawrence/status/794939536690315264", "794939536690315264")</f>
        <v/>
      </c>
      <c r="B2641" s="2" t="n">
        <v>42679.68667824074</v>
      </c>
      <c r="C2641" t="n">
        <v>0</v>
      </c>
      <c r="D2641" t="n">
        <v>3</v>
      </c>
      <c r="E2641" t="s">
        <v>2646</v>
      </c>
      <c r="F2641" t="s"/>
      <c r="G2641" t="s"/>
      <c r="H2641" t="s"/>
      <c r="I2641" t="s"/>
      <c r="J2641" t="n">
        <v>0.3182</v>
      </c>
      <c r="K2641" t="n">
        <v>0</v>
      </c>
      <c r="L2641" t="n">
        <v>0.839</v>
      </c>
      <c r="M2641" t="n">
        <v>0.161</v>
      </c>
    </row>
    <row r="2642" spans="1:13">
      <c r="A2642" s="1">
        <f>HYPERLINK("http://www.twitter.com/NathanBLawrence/status/794939251804741632", "794939251804741632")</f>
        <v/>
      </c>
      <c r="B2642" s="2" t="n">
        <v>42679.68589120371</v>
      </c>
      <c r="C2642" t="n">
        <v>0</v>
      </c>
      <c r="D2642" t="n">
        <v>18</v>
      </c>
      <c r="E2642" t="s">
        <v>2647</v>
      </c>
      <c r="F2642" t="s"/>
      <c r="G2642" t="s"/>
      <c r="H2642" t="s"/>
      <c r="I2642" t="s"/>
      <c r="J2642" t="n">
        <v>-0.2411</v>
      </c>
      <c r="K2642" t="n">
        <v>0.094</v>
      </c>
      <c r="L2642" t="n">
        <v>0.906</v>
      </c>
      <c r="M2642" t="n">
        <v>0</v>
      </c>
    </row>
    <row r="2643" spans="1:13">
      <c r="A2643" s="1">
        <f>HYPERLINK("http://www.twitter.com/NathanBLawrence/status/794939035869384704", "794939035869384704")</f>
        <v/>
      </c>
      <c r="B2643" s="2" t="n">
        <v>42679.68530092593</v>
      </c>
      <c r="C2643" t="n">
        <v>0</v>
      </c>
      <c r="D2643" t="n">
        <v>1</v>
      </c>
      <c r="E2643" t="s">
        <v>2648</v>
      </c>
      <c r="F2643">
        <f>HYPERLINK("http://pbs.twimg.com/media/Cwge1X4VEAAcs0J.jpg", "http://pbs.twimg.com/media/Cwge1X4VEAAcs0J.jpg")</f>
        <v/>
      </c>
      <c r="G2643" t="s"/>
      <c r="H2643" t="s"/>
      <c r="I2643" t="s"/>
      <c r="J2643" t="n">
        <v>0</v>
      </c>
      <c r="K2643" t="n">
        <v>0</v>
      </c>
      <c r="L2643" t="n">
        <v>1</v>
      </c>
      <c r="M2643" t="n">
        <v>0</v>
      </c>
    </row>
    <row r="2644" spans="1:13">
      <c r="A2644" s="1">
        <f>HYPERLINK("http://www.twitter.com/NathanBLawrence/status/794937069374238720", "794937069374238720")</f>
        <v/>
      </c>
      <c r="B2644" s="2" t="n">
        <v>42679.67987268518</v>
      </c>
      <c r="C2644" t="n">
        <v>0</v>
      </c>
      <c r="D2644" t="n">
        <v>23</v>
      </c>
      <c r="E2644" t="s">
        <v>2649</v>
      </c>
      <c r="F2644">
        <f>HYPERLINK("https://video.twimg.com/ext_tw_video/794689771335536640/pu/vid/1280x720/1RqwPgYUJNfoSja8.mp4", "https://video.twimg.com/ext_tw_video/794689771335536640/pu/vid/1280x720/1RqwPgYUJNfoSja8.mp4")</f>
        <v/>
      </c>
      <c r="G2644" t="s"/>
      <c r="H2644" t="s"/>
      <c r="I2644" t="s"/>
      <c r="J2644" t="n">
        <v>0.6124000000000001</v>
      </c>
      <c r="K2644" t="n">
        <v>0</v>
      </c>
      <c r="L2644" t="n">
        <v>0.762</v>
      </c>
      <c r="M2644" t="n">
        <v>0.238</v>
      </c>
    </row>
    <row r="2645" spans="1:13">
      <c r="A2645" s="1">
        <f>HYPERLINK("http://www.twitter.com/NathanBLawrence/status/794936234477056000", "794936234477056000")</f>
        <v/>
      </c>
      <c r="B2645" s="2" t="n">
        <v>42679.67756944444</v>
      </c>
      <c r="C2645" t="n">
        <v>0</v>
      </c>
      <c r="D2645" t="n">
        <v>1333</v>
      </c>
      <c r="E2645" t="s">
        <v>2650</v>
      </c>
      <c r="F2645" t="s"/>
      <c r="G2645" t="s"/>
      <c r="H2645" t="s"/>
      <c r="I2645" t="s"/>
      <c r="J2645" t="n">
        <v>-0.5266999999999999</v>
      </c>
      <c r="K2645" t="n">
        <v>0.175</v>
      </c>
      <c r="L2645" t="n">
        <v>0.825</v>
      </c>
      <c r="M2645" t="n">
        <v>0</v>
      </c>
    </row>
    <row r="2646" spans="1:13">
      <c r="A2646" s="1">
        <f>HYPERLINK("http://www.twitter.com/NathanBLawrence/status/794932607343595520", "794932607343595520")</f>
        <v/>
      </c>
      <c r="B2646" s="2" t="n">
        <v>42679.66755787037</v>
      </c>
      <c r="C2646" t="n">
        <v>0</v>
      </c>
      <c r="D2646" t="n">
        <v>142</v>
      </c>
      <c r="E2646" t="s">
        <v>2651</v>
      </c>
      <c r="F2646">
        <f>HYPERLINK("http://pbs.twimg.com/media/Cwgq2M-XcAAYs0K.jpg", "http://pbs.twimg.com/media/Cwgq2M-XcAAYs0K.jpg")</f>
        <v/>
      </c>
      <c r="G2646" t="s"/>
      <c r="H2646" t="s"/>
      <c r="I2646" t="s"/>
      <c r="J2646" t="n">
        <v>0.5574</v>
      </c>
      <c r="K2646" t="n">
        <v>0</v>
      </c>
      <c r="L2646" t="n">
        <v>0.705</v>
      </c>
      <c r="M2646" t="n">
        <v>0.295</v>
      </c>
    </row>
    <row r="2647" spans="1:13">
      <c r="A2647" s="1">
        <f>HYPERLINK("http://www.twitter.com/NathanBLawrence/status/794922710132465665", "794922710132465665")</f>
        <v/>
      </c>
      <c r="B2647" s="2" t="n">
        <v>42679.64024305555</v>
      </c>
      <c r="C2647" t="n">
        <v>0</v>
      </c>
      <c r="D2647" t="n">
        <v>565</v>
      </c>
      <c r="E2647" t="s">
        <v>2652</v>
      </c>
      <c r="F2647">
        <f>HYPERLINK("http://pbs.twimg.com/media/CweCvMMXEAAgqun.jpg", "http://pbs.twimg.com/media/CweCvMMXEAAgqun.jpg")</f>
        <v/>
      </c>
      <c r="G2647" t="s"/>
      <c r="H2647" t="s"/>
      <c r="I2647" t="s"/>
      <c r="J2647" t="n">
        <v>0.25</v>
      </c>
      <c r="K2647" t="n">
        <v>0.126</v>
      </c>
      <c r="L2647" t="n">
        <v>0.6899999999999999</v>
      </c>
      <c r="M2647" t="n">
        <v>0.184</v>
      </c>
    </row>
    <row r="2648" spans="1:13">
      <c r="A2648" s="1">
        <f>HYPERLINK("http://www.twitter.com/NathanBLawrence/status/794918338463956993", "794918338463956993")</f>
        <v/>
      </c>
      <c r="B2648" s="2" t="n">
        <v>42679.62818287037</v>
      </c>
      <c r="C2648" t="n">
        <v>0</v>
      </c>
      <c r="D2648" t="n">
        <v>483</v>
      </c>
      <c r="E2648" t="s">
        <v>2653</v>
      </c>
      <c r="F2648" t="s"/>
      <c r="G2648" t="s"/>
      <c r="H2648" t="s"/>
      <c r="I2648" t="s"/>
      <c r="J2648" t="n">
        <v>0</v>
      </c>
      <c r="K2648" t="n">
        <v>0</v>
      </c>
      <c r="L2648" t="n">
        <v>1</v>
      </c>
      <c r="M2648" t="n">
        <v>0</v>
      </c>
    </row>
    <row r="2649" spans="1:13">
      <c r="A2649" s="1">
        <f>HYPERLINK("http://www.twitter.com/NathanBLawrence/status/794917592527937536", "794917592527937536")</f>
        <v/>
      </c>
      <c r="B2649" s="2" t="n">
        <v>42679.62612268519</v>
      </c>
      <c r="C2649" t="n">
        <v>0</v>
      </c>
      <c r="D2649" t="n">
        <v>2514</v>
      </c>
      <c r="E2649" t="s">
        <v>2654</v>
      </c>
      <c r="F2649" t="s"/>
      <c r="G2649" t="s"/>
      <c r="H2649" t="s"/>
      <c r="I2649" t="s"/>
      <c r="J2649" t="n">
        <v>0</v>
      </c>
      <c r="K2649" t="n">
        <v>0</v>
      </c>
      <c r="L2649" t="n">
        <v>1</v>
      </c>
      <c r="M2649" t="n">
        <v>0</v>
      </c>
    </row>
    <row r="2650" spans="1:13">
      <c r="A2650" s="1">
        <f>HYPERLINK("http://www.twitter.com/NathanBLawrence/status/794917472633782272", "794917472633782272")</f>
        <v/>
      </c>
      <c r="B2650" s="2" t="n">
        <v>42679.62578703704</v>
      </c>
      <c r="C2650" t="n">
        <v>0</v>
      </c>
      <c r="D2650" t="n">
        <v>1116</v>
      </c>
      <c r="E2650" t="s">
        <v>2655</v>
      </c>
      <c r="F2650" t="s"/>
      <c r="G2650" t="s"/>
      <c r="H2650" t="s"/>
      <c r="I2650" t="s"/>
      <c r="J2650" t="n">
        <v>0</v>
      </c>
      <c r="K2650" t="n">
        <v>0</v>
      </c>
      <c r="L2650" t="n">
        <v>1</v>
      </c>
      <c r="M2650" t="n">
        <v>0</v>
      </c>
    </row>
    <row r="2651" spans="1:13">
      <c r="A2651" s="1">
        <f>HYPERLINK("http://www.twitter.com/NathanBLawrence/status/794917224968556545", "794917224968556545")</f>
        <v/>
      </c>
      <c r="B2651" s="2" t="n">
        <v>42679.62510416667</v>
      </c>
      <c r="C2651" t="n">
        <v>0</v>
      </c>
      <c r="D2651" t="n">
        <v>138</v>
      </c>
      <c r="E2651" t="s">
        <v>2656</v>
      </c>
      <c r="F2651">
        <f>HYPERLINK("http://pbs.twimg.com/media/CwgUNvXWIAE7pgQ.jpg", "http://pbs.twimg.com/media/CwgUNvXWIAE7pgQ.jpg")</f>
        <v/>
      </c>
      <c r="G2651" t="s"/>
      <c r="H2651" t="s"/>
      <c r="I2651" t="s"/>
      <c r="J2651" t="n">
        <v>0.5828</v>
      </c>
      <c r="K2651" t="n">
        <v>0.053</v>
      </c>
      <c r="L2651" t="n">
        <v>0.732</v>
      </c>
      <c r="M2651" t="n">
        <v>0.215</v>
      </c>
    </row>
    <row r="2652" spans="1:13">
      <c r="A2652" s="1">
        <f>HYPERLINK("http://www.twitter.com/NathanBLawrence/status/794916747111440384", "794916747111440384")</f>
        <v/>
      </c>
      <c r="B2652" s="2" t="n">
        <v>42679.6237962963</v>
      </c>
      <c r="C2652" t="n">
        <v>0</v>
      </c>
      <c r="D2652" t="n">
        <v>1101</v>
      </c>
      <c r="E2652" t="s">
        <v>2657</v>
      </c>
      <c r="F2652">
        <f>HYPERLINK("http://pbs.twimg.com/media/CwgUlH-WEAAEtyz.jpg", "http://pbs.twimg.com/media/CwgUlH-WEAAEtyz.jpg")</f>
        <v/>
      </c>
      <c r="G2652" t="s"/>
      <c r="H2652" t="s"/>
      <c r="I2652" t="s"/>
      <c r="J2652" t="n">
        <v>0</v>
      </c>
      <c r="K2652" t="n">
        <v>0</v>
      </c>
      <c r="L2652" t="n">
        <v>1</v>
      </c>
      <c r="M2652" t="n">
        <v>0</v>
      </c>
    </row>
    <row r="2653" spans="1:13">
      <c r="A2653" s="1">
        <f>HYPERLINK("http://www.twitter.com/NathanBLawrence/status/794916234592681985", "794916234592681985")</f>
        <v/>
      </c>
      <c r="B2653" s="2" t="n">
        <v>42679.62237268518</v>
      </c>
      <c r="C2653" t="n">
        <v>0</v>
      </c>
      <c r="D2653" t="n">
        <v>208</v>
      </c>
      <c r="E2653" t="s">
        <v>2658</v>
      </c>
      <c r="F2653">
        <f>HYPERLINK("http://pbs.twimg.com/media/CwgV7sBWgAAWP6Q.jpg", "http://pbs.twimg.com/media/CwgV7sBWgAAWP6Q.jpg")</f>
        <v/>
      </c>
      <c r="G2653" t="s"/>
      <c r="H2653" t="s"/>
      <c r="I2653" t="s"/>
      <c r="J2653" t="n">
        <v>0.2023</v>
      </c>
      <c r="K2653" t="n">
        <v>0</v>
      </c>
      <c r="L2653" t="n">
        <v>0.872</v>
      </c>
      <c r="M2653" t="n">
        <v>0.128</v>
      </c>
    </row>
    <row r="2654" spans="1:13">
      <c r="A2654" s="1">
        <f>HYPERLINK("http://www.twitter.com/NathanBLawrence/status/794915130811228164", "794915130811228164")</f>
        <v/>
      </c>
      <c r="B2654" s="2" t="n">
        <v>42679.6193287037</v>
      </c>
      <c r="C2654" t="n">
        <v>0</v>
      </c>
      <c r="D2654" t="n">
        <v>209</v>
      </c>
      <c r="E2654" t="s">
        <v>2659</v>
      </c>
      <c r="F2654" t="s"/>
      <c r="G2654" t="s"/>
      <c r="H2654" t="s"/>
      <c r="I2654" t="s"/>
      <c r="J2654" t="n">
        <v>-0.7717000000000001</v>
      </c>
      <c r="K2654" t="n">
        <v>0.261</v>
      </c>
      <c r="L2654" t="n">
        <v>0.739</v>
      </c>
      <c r="M2654" t="n">
        <v>0</v>
      </c>
    </row>
    <row r="2655" spans="1:13">
      <c r="A2655" s="1">
        <f>HYPERLINK("http://www.twitter.com/NathanBLawrence/status/794915057088032768", "794915057088032768")</f>
        <v/>
      </c>
      <c r="B2655" s="2" t="n">
        <v>42679.61913194445</v>
      </c>
      <c r="C2655" t="n">
        <v>0</v>
      </c>
      <c r="D2655" t="n">
        <v>857</v>
      </c>
      <c r="E2655" t="s">
        <v>2660</v>
      </c>
      <c r="F2655" t="s"/>
      <c r="G2655" t="s"/>
      <c r="H2655" t="s"/>
      <c r="I2655" t="s"/>
      <c r="J2655" t="n">
        <v>0</v>
      </c>
      <c r="K2655" t="n">
        <v>0</v>
      </c>
      <c r="L2655" t="n">
        <v>1</v>
      </c>
      <c r="M2655" t="n">
        <v>0</v>
      </c>
    </row>
    <row r="2656" spans="1:13">
      <c r="A2656" s="1">
        <f>HYPERLINK("http://www.twitter.com/NathanBLawrence/status/794914406408798212", "794914406408798212")</f>
        <v/>
      </c>
      <c r="B2656" s="2" t="n">
        <v>42679.61732638889</v>
      </c>
      <c r="C2656" t="n">
        <v>0</v>
      </c>
      <c r="D2656" t="n">
        <v>11</v>
      </c>
      <c r="E2656" t="s">
        <v>2661</v>
      </c>
      <c r="F2656">
        <f>HYPERLINK("http://pbs.twimg.com/media/CwgQYMWVEAAKlKn.jpg", "http://pbs.twimg.com/media/CwgQYMWVEAAKlKn.jpg")</f>
        <v/>
      </c>
      <c r="G2656" t="s"/>
      <c r="H2656" t="s"/>
      <c r="I2656" t="s"/>
      <c r="J2656" t="n">
        <v>0</v>
      </c>
      <c r="K2656" t="n">
        <v>0</v>
      </c>
      <c r="L2656" t="n">
        <v>1</v>
      </c>
      <c r="M2656" t="n">
        <v>0</v>
      </c>
    </row>
    <row r="2657" spans="1:13">
      <c r="A2657" s="1">
        <f>HYPERLINK("http://www.twitter.com/NathanBLawrence/status/794914096021901312", "794914096021901312")</f>
        <v/>
      </c>
      <c r="B2657" s="2" t="n">
        <v>42679.61646990741</v>
      </c>
      <c r="C2657" t="n">
        <v>0</v>
      </c>
      <c r="D2657" t="n">
        <v>131</v>
      </c>
      <c r="E2657" t="s">
        <v>2662</v>
      </c>
      <c r="F2657" t="s"/>
      <c r="G2657" t="s"/>
      <c r="H2657" t="s"/>
      <c r="I2657" t="s"/>
      <c r="J2657" t="n">
        <v>-0.5766</v>
      </c>
      <c r="K2657" t="n">
        <v>0.26</v>
      </c>
      <c r="L2657" t="n">
        <v>0.621</v>
      </c>
      <c r="M2657" t="n">
        <v>0.119</v>
      </c>
    </row>
    <row r="2658" spans="1:13">
      <c r="A2658" s="1">
        <f>HYPERLINK("http://www.twitter.com/NathanBLawrence/status/794913966552137728", "794913966552137728")</f>
        <v/>
      </c>
      <c r="B2658" s="2" t="n">
        <v>42679.61612268518</v>
      </c>
      <c r="C2658" t="n">
        <v>0</v>
      </c>
      <c r="D2658" t="n">
        <v>837</v>
      </c>
      <c r="E2658" t="s">
        <v>2663</v>
      </c>
      <c r="F2658" t="s"/>
      <c r="G2658" t="s"/>
      <c r="H2658" t="s"/>
      <c r="I2658" t="s"/>
      <c r="J2658" t="n">
        <v>-0.6486</v>
      </c>
      <c r="K2658" t="n">
        <v>0.261</v>
      </c>
      <c r="L2658" t="n">
        <v>0.739</v>
      </c>
      <c r="M2658" t="n">
        <v>0</v>
      </c>
    </row>
    <row r="2659" spans="1:13">
      <c r="A2659" s="1">
        <f>HYPERLINK("http://www.twitter.com/NathanBLawrence/status/794906389885886464", "794906389885886464")</f>
        <v/>
      </c>
      <c r="B2659" s="2" t="n">
        <v>42679.59520833333</v>
      </c>
      <c r="C2659" t="n">
        <v>0</v>
      </c>
      <c r="D2659" t="n">
        <v>17208</v>
      </c>
      <c r="E2659" t="s">
        <v>2664</v>
      </c>
      <c r="F2659" t="s"/>
      <c r="G2659" t="s"/>
      <c r="H2659" t="s"/>
      <c r="I2659" t="s"/>
      <c r="J2659" t="n">
        <v>-0.1027</v>
      </c>
      <c r="K2659" t="n">
        <v>0.07199999999999999</v>
      </c>
      <c r="L2659" t="n">
        <v>0.928</v>
      </c>
      <c r="M2659" t="n">
        <v>0</v>
      </c>
    </row>
    <row r="2660" spans="1:13">
      <c r="A2660" s="1">
        <f>HYPERLINK("http://www.twitter.com/NathanBLawrence/status/794898130835820544", "794898130835820544")</f>
        <v/>
      </c>
      <c r="B2660" s="2" t="n">
        <v>42679.57241898148</v>
      </c>
      <c r="C2660" t="n">
        <v>0</v>
      </c>
      <c r="D2660" t="n">
        <v>4785</v>
      </c>
      <c r="E2660" t="s">
        <v>2665</v>
      </c>
      <c r="F2660" t="s"/>
      <c r="G2660" t="s"/>
      <c r="H2660" t="s"/>
      <c r="I2660" t="s"/>
      <c r="J2660" t="n">
        <v>-0.0772</v>
      </c>
      <c r="K2660" t="n">
        <v>0.231</v>
      </c>
      <c r="L2660" t="n">
        <v>0.603</v>
      </c>
      <c r="M2660" t="n">
        <v>0.166</v>
      </c>
    </row>
    <row r="2661" spans="1:13">
      <c r="A2661" s="1">
        <f>HYPERLINK("http://www.twitter.com/NathanBLawrence/status/794898056751841282", "794898056751841282")</f>
        <v/>
      </c>
      <c r="B2661" s="2" t="n">
        <v>42679.57221064815</v>
      </c>
      <c r="C2661" t="n">
        <v>0</v>
      </c>
      <c r="D2661" t="n">
        <v>5317</v>
      </c>
      <c r="E2661" t="s">
        <v>2666</v>
      </c>
      <c r="F2661">
        <f>HYPERLINK("http://pbs.twimg.com/media/CwgEDuDUoAAnhWp.jpg", "http://pbs.twimg.com/media/CwgEDuDUoAAnhWp.jpg")</f>
        <v/>
      </c>
      <c r="G2661" t="s"/>
      <c r="H2661" t="s"/>
      <c r="I2661" t="s"/>
      <c r="J2661" t="n">
        <v>0</v>
      </c>
      <c r="K2661" t="n">
        <v>0</v>
      </c>
      <c r="L2661" t="n">
        <v>1</v>
      </c>
      <c r="M2661" t="n">
        <v>0</v>
      </c>
    </row>
    <row r="2662" spans="1:13">
      <c r="A2662" s="1">
        <f>HYPERLINK("http://www.twitter.com/NathanBLawrence/status/794894308222574593", "794894308222574593")</f>
        <v/>
      </c>
      <c r="B2662" s="2" t="n">
        <v>42679.561875</v>
      </c>
      <c r="C2662" t="n">
        <v>0</v>
      </c>
      <c r="D2662" t="n">
        <v>46</v>
      </c>
      <c r="E2662" t="s">
        <v>2667</v>
      </c>
      <c r="F2662">
        <f>HYPERLINK("http://pbs.twimg.com/media/CwgHTkgUoAAPIBT.jpg", "http://pbs.twimg.com/media/CwgHTkgUoAAPIBT.jpg")</f>
        <v/>
      </c>
      <c r="G2662" t="s"/>
      <c r="H2662" t="s"/>
      <c r="I2662" t="s"/>
      <c r="J2662" t="n">
        <v>-0.5423</v>
      </c>
      <c r="K2662" t="n">
        <v>0.163</v>
      </c>
      <c r="L2662" t="n">
        <v>0.837</v>
      </c>
      <c r="M2662" t="n">
        <v>0</v>
      </c>
    </row>
    <row r="2663" spans="1:13">
      <c r="A2663" s="1">
        <f>HYPERLINK("http://www.twitter.com/NathanBLawrence/status/794893096513339392", "794893096513339392")</f>
        <v/>
      </c>
      <c r="B2663" s="2" t="n">
        <v>42679.5585300926</v>
      </c>
      <c r="C2663" t="n">
        <v>0</v>
      </c>
      <c r="D2663" t="n">
        <v>576</v>
      </c>
      <c r="E2663" t="s">
        <v>2668</v>
      </c>
      <c r="F2663">
        <f>HYPERLINK("http://pbs.twimg.com/media/CwgBJNzWIAAbs5_.jpg", "http://pbs.twimg.com/media/CwgBJNzWIAAbs5_.jpg")</f>
        <v/>
      </c>
      <c r="G2663" t="s"/>
      <c r="H2663" t="s"/>
      <c r="I2663" t="s"/>
      <c r="J2663" t="n">
        <v>0</v>
      </c>
      <c r="K2663" t="n">
        <v>0</v>
      </c>
      <c r="L2663" t="n">
        <v>1</v>
      </c>
      <c r="M2663" t="n">
        <v>0</v>
      </c>
    </row>
    <row r="2664" spans="1:13">
      <c r="A2664" s="1">
        <f>HYPERLINK("http://www.twitter.com/NathanBLawrence/status/794891587327234048", "794891587327234048")</f>
        <v/>
      </c>
      <c r="B2664" s="2" t="n">
        <v>42679.55436342592</v>
      </c>
      <c r="C2664" t="n">
        <v>0</v>
      </c>
      <c r="D2664" t="n">
        <v>454</v>
      </c>
      <c r="E2664" t="s">
        <v>2669</v>
      </c>
      <c r="F2664">
        <f>HYPERLINK("http://pbs.twimg.com/media/CwgDw2lW8AEp1pd.jpg", "http://pbs.twimg.com/media/CwgDw2lW8AEp1pd.jpg")</f>
        <v/>
      </c>
      <c r="G2664" t="s"/>
      <c r="H2664" t="s"/>
      <c r="I2664" t="s"/>
      <c r="J2664" t="n">
        <v>0.0258</v>
      </c>
      <c r="K2664" t="n">
        <v>0.202</v>
      </c>
      <c r="L2664" t="n">
        <v>0.632</v>
      </c>
      <c r="M2664" t="n">
        <v>0.166</v>
      </c>
    </row>
    <row r="2665" spans="1:13">
      <c r="A2665" s="1">
        <f>HYPERLINK("http://www.twitter.com/NathanBLawrence/status/794891126322954240", "794891126322954240")</f>
        <v/>
      </c>
      <c r="B2665" s="2" t="n">
        <v>42679.55309027778</v>
      </c>
      <c r="C2665" t="n">
        <v>0</v>
      </c>
      <c r="D2665" t="n">
        <v>18</v>
      </c>
      <c r="E2665" t="s">
        <v>2670</v>
      </c>
      <c r="F2665" t="s"/>
      <c r="G2665" t="s"/>
      <c r="H2665" t="s"/>
      <c r="I2665" t="s"/>
      <c r="J2665" t="n">
        <v>-0.802</v>
      </c>
      <c r="K2665" t="n">
        <v>0.255</v>
      </c>
      <c r="L2665" t="n">
        <v>0.745</v>
      </c>
      <c r="M2665" t="n">
        <v>0</v>
      </c>
    </row>
    <row r="2666" spans="1:13">
      <c r="A2666" s="1">
        <f>HYPERLINK("http://www.twitter.com/NathanBLawrence/status/794890069572276224", "794890069572276224")</f>
        <v/>
      </c>
      <c r="B2666" s="2" t="n">
        <v>42679.55017361111</v>
      </c>
      <c r="C2666" t="n">
        <v>0</v>
      </c>
      <c r="D2666" t="n">
        <v>11983</v>
      </c>
      <c r="E2666" t="s">
        <v>2671</v>
      </c>
      <c r="F2666">
        <f>HYPERLINK("http://pbs.twimg.com/media/CwgEJqBWIAA2ySW.jpg", "http://pbs.twimg.com/media/CwgEJqBWIAA2ySW.jpg")</f>
        <v/>
      </c>
      <c r="G2666" t="s"/>
      <c r="H2666" t="s"/>
      <c r="I2666" t="s"/>
      <c r="J2666" t="n">
        <v>0</v>
      </c>
      <c r="K2666" t="n">
        <v>0</v>
      </c>
      <c r="L2666" t="n">
        <v>1</v>
      </c>
      <c r="M2666" t="n">
        <v>0</v>
      </c>
    </row>
    <row r="2667" spans="1:13">
      <c r="A2667" s="1">
        <f>HYPERLINK("http://www.twitter.com/NathanBLawrence/status/794886373748707328", "794886373748707328")</f>
        <v/>
      </c>
      <c r="B2667" s="2" t="n">
        <v>42679.53997685185</v>
      </c>
      <c r="C2667" t="n">
        <v>0</v>
      </c>
      <c r="D2667" t="n">
        <v>11552</v>
      </c>
      <c r="E2667" t="s">
        <v>2672</v>
      </c>
      <c r="F2667" t="s"/>
      <c r="G2667" t="s"/>
      <c r="H2667" t="s"/>
      <c r="I2667" t="s"/>
      <c r="J2667" t="n">
        <v>0</v>
      </c>
      <c r="K2667" t="n">
        <v>0</v>
      </c>
      <c r="L2667" t="n">
        <v>1</v>
      </c>
      <c r="M2667" t="n">
        <v>0</v>
      </c>
    </row>
    <row r="2668" spans="1:13">
      <c r="A2668" s="1">
        <f>HYPERLINK("http://www.twitter.com/NathanBLawrence/status/794771729499455488", "794771729499455488")</f>
        <v/>
      </c>
      <c r="B2668" s="2" t="n">
        <v>42679.22362268518</v>
      </c>
      <c r="C2668" t="n">
        <v>0</v>
      </c>
      <c r="D2668" t="n">
        <v>3918</v>
      </c>
      <c r="E2668" t="s">
        <v>2673</v>
      </c>
      <c r="F2668">
        <f>HYPERLINK("http://pbs.twimg.com/media/CweYNdTUkAAQsXY.jpg", "http://pbs.twimg.com/media/CweYNdTUkAAQsXY.jpg")</f>
        <v/>
      </c>
      <c r="G2668" t="s"/>
      <c r="H2668" t="s"/>
      <c r="I2668" t="s"/>
      <c r="J2668" t="n">
        <v>0.3182</v>
      </c>
      <c r="K2668" t="n">
        <v>0</v>
      </c>
      <c r="L2668" t="n">
        <v>0.85</v>
      </c>
      <c r="M2668" t="n">
        <v>0.15</v>
      </c>
    </row>
    <row r="2669" spans="1:13">
      <c r="A2669" s="1">
        <f>HYPERLINK("http://www.twitter.com/NathanBLawrence/status/794769853974478848", "794769853974478848")</f>
        <v/>
      </c>
      <c r="B2669" s="2" t="n">
        <v>42679.2184375</v>
      </c>
      <c r="C2669" t="n">
        <v>0</v>
      </c>
      <c r="D2669" t="n">
        <v>8496</v>
      </c>
      <c r="E2669" t="s">
        <v>2674</v>
      </c>
      <c r="F2669">
        <f>HYPERLINK("http://pbs.twimg.com/media/CweVf6HW8AEO-j6.jpg", "http://pbs.twimg.com/media/CweVf6HW8AEO-j6.jpg")</f>
        <v/>
      </c>
      <c r="G2669" t="s"/>
      <c r="H2669" t="s"/>
      <c r="I2669" t="s"/>
      <c r="J2669" t="n">
        <v>-0.296</v>
      </c>
      <c r="K2669" t="n">
        <v>0.099</v>
      </c>
      <c r="L2669" t="n">
        <v>0.901</v>
      </c>
      <c r="M2669" t="n">
        <v>0</v>
      </c>
    </row>
    <row r="2670" spans="1:13">
      <c r="A2670" s="1">
        <f>HYPERLINK("http://www.twitter.com/NathanBLawrence/status/794766308483141632", "794766308483141632")</f>
        <v/>
      </c>
      <c r="B2670" s="2" t="n">
        <v>42679.20865740741</v>
      </c>
      <c r="C2670" t="n">
        <v>0</v>
      </c>
      <c r="D2670" t="n">
        <v>191</v>
      </c>
      <c r="E2670" t="s">
        <v>2675</v>
      </c>
      <c r="F2670">
        <f>HYPERLINK("http://pbs.twimg.com/media/Cwd8cSOXUAAWyw8.png", "http://pbs.twimg.com/media/Cwd8cSOXUAAWyw8.png")</f>
        <v/>
      </c>
      <c r="G2670" t="s"/>
      <c r="H2670" t="s"/>
      <c r="I2670" t="s"/>
      <c r="J2670" t="n">
        <v>-0.0772</v>
      </c>
      <c r="K2670" t="n">
        <v>0.091</v>
      </c>
      <c r="L2670" t="n">
        <v>0.909</v>
      </c>
      <c r="M2670" t="n">
        <v>0</v>
      </c>
    </row>
    <row r="2671" spans="1:13">
      <c r="A2671" s="1">
        <f>HYPERLINK("http://www.twitter.com/NathanBLawrence/status/794766254632538112", "794766254632538112")</f>
        <v/>
      </c>
      <c r="B2671" s="2" t="n">
        <v>42679.20850694444</v>
      </c>
      <c r="C2671" t="n">
        <v>0</v>
      </c>
      <c r="D2671" t="n">
        <v>2322</v>
      </c>
      <c r="E2671" t="s">
        <v>2676</v>
      </c>
      <c r="F2671">
        <f>HYPERLINK("http://pbs.twimg.com/media/Cwd28NOXUAA77Cv.jpg", "http://pbs.twimg.com/media/Cwd28NOXUAA77Cv.jpg")</f>
        <v/>
      </c>
      <c r="G2671">
        <f>HYPERLINK("http://pbs.twimg.com/media/Cwd28M8XAAAMCYU.jpg", "http://pbs.twimg.com/media/Cwd28M8XAAAMCYU.jpg")</f>
        <v/>
      </c>
      <c r="H2671">
        <f>HYPERLINK("http://pbs.twimg.com/media/Cwd28M5WQAA5WCL.jpg", "http://pbs.twimg.com/media/Cwd28M5WQAA5WCL.jpg")</f>
        <v/>
      </c>
      <c r="I2671">
        <f>HYPERLINK("http://pbs.twimg.com/media/Cwd3fmmWgAAiuFq.jpg", "http://pbs.twimg.com/media/Cwd3fmmWgAAiuFq.jpg")</f>
        <v/>
      </c>
      <c r="J2671" t="n">
        <v>0</v>
      </c>
      <c r="K2671" t="n">
        <v>0</v>
      </c>
      <c r="L2671" t="n">
        <v>1</v>
      </c>
      <c r="M2671" t="n">
        <v>0</v>
      </c>
    </row>
    <row r="2672" spans="1:13">
      <c r="A2672" s="1">
        <f>HYPERLINK("http://www.twitter.com/NathanBLawrence/status/794762667303063553", "794762667303063553")</f>
        <v/>
      </c>
      <c r="B2672" s="2" t="n">
        <v>42679.19861111111</v>
      </c>
      <c r="C2672" t="n">
        <v>0</v>
      </c>
      <c r="D2672" t="n">
        <v>2362</v>
      </c>
      <c r="E2672" t="s">
        <v>2677</v>
      </c>
      <c r="F2672">
        <f>HYPERLINK("https://video.twimg.com/ext_tw_video/794554897492365313/pu/vid/240x240/cNKjEywQCR-j_ZXf.mp4", "https://video.twimg.com/ext_tw_video/794554897492365313/pu/vid/240x240/cNKjEywQCR-j_ZXf.mp4")</f>
        <v/>
      </c>
      <c r="G2672" t="s"/>
      <c r="H2672" t="s"/>
      <c r="I2672" t="s"/>
      <c r="J2672" t="n">
        <v>0.871</v>
      </c>
      <c r="K2672" t="n">
        <v>0</v>
      </c>
      <c r="L2672" t="n">
        <v>0.612</v>
      </c>
      <c r="M2672" t="n">
        <v>0.388</v>
      </c>
    </row>
    <row r="2673" spans="1:13">
      <c r="A2673" s="1">
        <f>HYPERLINK("http://www.twitter.com/NathanBLawrence/status/794762116452536320", "794762116452536320")</f>
        <v/>
      </c>
      <c r="B2673" s="2" t="n">
        <v>42679.19709490741</v>
      </c>
      <c r="C2673" t="n">
        <v>0</v>
      </c>
      <c r="D2673" t="n">
        <v>6971</v>
      </c>
      <c r="E2673" t="s">
        <v>2678</v>
      </c>
      <c r="F2673" t="s"/>
      <c r="G2673" t="s"/>
      <c r="H2673" t="s"/>
      <c r="I2673" t="s"/>
      <c r="J2673" t="n">
        <v>0.296</v>
      </c>
      <c r="K2673" t="n">
        <v>0</v>
      </c>
      <c r="L2673" t="n">
        <v>0.879</v>
      </c>
      <c r="M2673" t="n">
        <v>0.121</v>
      </c>
    </row>
    <row r="2674" spans="1:13">
      <c r="A2674" s="1">
        <f>HYPERLINK("http://www.twitter.com/NathanBLawrence/status/794761585461960704", "794761585461960704")</f>
        <v/>
      </c>
      <c r="B2674" s="2" t="n">
        <v>42679.195625</v>
      </c>
      <c r="C2674" t="n">
        <v>0</v>
      </c>
      <c r="D2674" t="n">
        <v>0</v>
      </c>
      <c r="E2674" t="s">
        <v>2679</v>
      </c>
      <c r="F2674" t="s"/>
      <c r="G2674" t="s"/>
      <c r="H2674" t="s"/>
      <c r="I2674" t="s"/>
      <c r="J2674" t="n">
        <v>-0.2244</v>
      </c>
      <c r="K2674" t="n">
        <v>0.171</v>
      </c>
      <c r="L2674" t="n">
        <v>0.704</v>
      </c>
      <c r="M2674" t="n">
        <v>0.126</v>
      </c>
    </row>
    <row r="2675" spans="1:13">
      <c r="A2675" s="1">
        <f>HYPERLINK("http://www.twitter.com/NathanBLawrence/status/794758686447124481", "794758686447124481")</f>
        <v/>
      </c>
      <c r="B2675" s="2" t="n">
        <v>42679.18762731482</v>
      </c>
      <c r="C2675" t="n">
        <v>0</v>
      </c>
      <c r="D2675" t="n">
        <v>19662</v>
      </c>
      <c r="E2675" t="s">
        <v>2680</v>
      </c>
      <c r="F2675" t="s"/>
      <c r="G2675" t="s"/>
      <c r="H2675" t="s"/>
      <c r="I2675" t="s"/>
      <c r="J2675" t="n">
        <v>0</v>
      </c>
      <c r="K2675" t="n">
        <v>0</v>
      </c>
      <c r="L2675" t="n">
        <v>1</v>
      </c>
      <c r="M2675" t="n">
        <v>0</v>
      </c>
    </row>
    <row r="2676" spans="1:13">
      <c r="A2676" s="1">
        <f>HYPERLINK("http://www.twitter.com/NathanBLawrence/status/794757073561120769", "794757073561120769")</f>
        <v/>
      </c>
      <c r="B2676" s="2" t="n">
        <v>42679.1831712963</v>
      </c>
      <c r="C2676" t="n">
        <v>0</v>
      </c>
      <c r="D2676" t="n">
        <v>3830</v>
      </c>
      <c r="E2676" t="s">
        <v>2681</v>
      </c>
      <c r="F2676">
        <f>HYPERLINK("http://pbs.twimg.com/media/Cwdqp5QUQAAgrqv.jpg", "http://pbs.twimg.com/media/Cwdqp5QUQAAgrqv.jpg")</f>
        <v/>
      </c>
      <c r="G2676" t="s"/>
      <c r="H2676" t="s"/>
      <c r="I2676" t="s"/>
      <c r="J2676" t="n">
        <v>0.7096</v>
      </c>
      <c r="K2676" t="n">
        <v>0</v>
      </c>
      <c r="L2676" t="n">
        <v>0.6879999999999999</v>
      </c>
      <c r="M2676" t="n">
        <v>0.312</v>
      </c>
    </row>
    <row r="2677" spans="1:13">
      <c r="A2677" s="1">
        <f>HYPERLINK("http://www.twitter.com/NathanBLawrence/status/794756876349087744", "794756876349087744")</f>
        <v/>
      </c>
      <c r="B2677" s="2" t="n">
        <v>42679.18262731482</v>
      </c>
      <c r="C2677" t="n">
        <v>0</v>
      </c>
      <c r="D2677" t="n">
        <v>11707</v>
      </c>
      <c r="E2677" t="s">
        <v>2682</v>
      </c>
      <c r="F2677">
        <f>HYPERLINK("http://pbs.twimg.com/media/CweKOdTVIAALxtt.jpg", "http://pbs.twimg.com/media/CweKOdTVIAALxtt.jpg")</f>
        <v/>
      </c>
      <c r="G2677" t="s"/>
      <c r="H2677" t="s"/>
      <c r="I2677" t="s"/>
      <c r="J2677" t="n">
        <v>0</v>
      </c>
      <c r="K2677" t="n">
        <v>0</v>
      </c>
      <c r="L2677" t="n">
        <v>1</v>
      </c>
      <c r="M2677" t="n">
        <v>0</v>
      </c>
    </row>
    <row r="2678" spans="1:13">
      <c r="A2678" s="1">
        <f>HYPERLINK("http://www.twitter.com/NathanBLawrence/status/794756167583092736", "794756167583092736")</f>
        <v/>
      </c>
      <c r="B2678" s="2" t="n">
        <v>42679.18067129629</v>
      </c>
      <c r="C2678" t="n">
        <v>0</v>
      </c>
      <c r="D2678" t="n">
        <v>951</v>
      </c>
      <c r="E2678" t="s">
        <v>2683</v>
      </c>
      <c r="F2678" t="s"/>
      <c r="G2678" t="s"/>
      <c r="H2678" t="s"/>
      <c r="I2678" t="s"/>
      <c r="J2678" t="n">
        <v>0</v>
      </c>
      <c r="K2678" t="n">
        <v>0</v>
      </c>
      <c r="L2678" t="n">
        <v>1</v>
      </c>
      <c r="M2678" t="n">
        <v>0</v>
      </c>
    </row>
    <row r="2679" spans="1:13">
      <c r="A2679" s="1">
        <f>HYPERLINK("http://www.twitter.com/NathanBLawrence/status/794754987201036288", "794754987201036288")</f>
        <v/>
      </c>
      <c r="B2679" s="2" t="n">
        <v>42679.17741898148</v>
      </c>
      <c r="C2679" t="n">
        <v>0</v>
      </c>
      <c r="D2679" t="n">
        <v>988</v>
      </c>
      <c r="E2679" t="s">
        <v>2684</v>
      </c>
      <c r="F2679" t="s"/>
      <c r="G2679" t="s"/>
      <c r="H2679" t="s"/>
      <c r="I2679" t="s"/>
      <c r="J2679" t="n">
        <v>0</v>
      </c>
      <c r="K2679" t="n">
        <v>0</v>
      </c>
      <c r="L2679" t="n">
        <v>1</v>
      </c>
      <c r="M2679" t="n">
        <v>0</v>
      </c>
    </row>
    <row r="2680" spans="1:13">
      <c r="A2680" s="1">
        <f>HYPERLINK("http://www.twitter.com/NathanBLawrence/status/794754428293316608", "794754428293316608")</f>
        <v/>
      </c>
      <c r="B2680" s="2" t="n">
        <v>42679.17587962963</v>
      </c>
      <c r="C2680" t="n">
        <v>0</v>
      </c>
      <c r="D2680" t="n">
        <v>15</v>
      </c>
      <c r="E2680" t="s">
        <v>2685</v>
      </c>
      <c r="F2680" t="s"/>
      <c r="G2680" t="s"/>
      <c r="H2680" t="s"/>
      <c r="I2680" t="s"/>
      <c r="J2680" t="n">
        <v>-0.7026</v>
      </c>
      <c r="K2680" t="n">
        <v>0.259</v>
      </c>
      <c r="L2680" t="n">
        <v>0.613</v>
      </c>
      <c r="M2680" t="n">
        <v>0.129</v>
      </c>
    </row>
    <row r="2681" spans="1:13">
      <c r="A2681" s="1">
        <f>HYPERLINK("http://www.twitter.com/NathanBLawrence/status/794753582042087424", "794753582042087424")</f>
        <v/>
      </c>
      <c r="B2681" s="2" t="n">
        <v>42679.17354166666</v>
      </c>
      <c r="C2681" t="n">
        <v>0</v>
      </c>
      <c r="D2681" t="n">
        <v>3198</v>
      </c>
      <c r="E2681" t="s">
        <v>2686</v>
      </c>
      <c r="F2681" t="s"/>
      <c r="G2681" t="s"/>
      <c r="H2681" t="s"/>
      <c r="I2681" t="s"/>
      <c r="J2681" t="n">
        <v>-0.5423</v>
      </c>
      <c r="K2681" t="n">
        <v>0.251</v>
      </c>
      <c r="L2681" t="n">
        <v>0.649</v>
      </c>
      <c r="M2681" t="n">
        <v>0.1</v>
      </c>
    </row>
    <row r="2682" spans="1:13">
      <c r="A2682" s="1">
        <f>HYPERLINK("http://www.twitter.com/NathanBLawrence/status/794751118383448065", "794751118383448065")</f>
        <v/>
      </c>
      <c r="B2682" s="2" t="n">
        <v>42679.16674768519</v>
      </c>
      <c r="C2682" t="n">
        <v>0</v>
      </c>
      <c r="D2682" t="n">
        <v>264</v>
      </c>
      <c r="E2682" t="s">
        <v>2687</v>
      </c>
      <c r="F2682">
        <f>HYPERLINK("http://pbs.twimg.com/media/CweCsbTWQAAlgoO.jpg", "http://pbs.twimg.com/media/CweCsbTWQAAlgoO.jpg")</f>
        <v/>
      </c>
      <c r="G2682" t="s"/>
      <c r="H2682" t="s"/>
      <c r="I2682" t="s"/>
      <c r="J2682" t="n">
        <v>0</v>
      </c>
      <c r="K2682" t="n">
        <v>0</v>
      </c>
      <c r="L2682" t="n">
        <v>1</v>
      </c>
      <c r="M2682" t="n">
        <v>0</v>
      </c>
    </row>
    <row r="2683" spans="1:13">
      <c r="A2683" s="1">
        <f>HYPERLINK("http://www.twitter.com/NathanBLawrence/status/794743686584074240", "794743686584074240")</f>
        <v/>
      </c>
      <c r="B2683" s="2" t="n">
        <v>42679.14623842593</v>
      </c>
      <c r="C2683" t="n">
        <v>0</v>
      </c>
      <c r="D2683" t="n">
        <v>4649</v>
      </c>
      <c r="E2683" t="s">
        <v>2688</v>
      </c>
      <c r="F2683" t="s"/>
      <c r="G2683" t="s"/>
      <c r="H2683" t="s"/>
      <c r="I2683" t="s"/>
      <c r="J2683" t="n">
        <v>0.7351</v>
      </c>
      <c r="K2683" t="n">
        <v>0</v>
      </c>
      <c r="L2683" t="n">
        <v>0.733</v>
      </c>
      <c r="M2683" t="n">
        <v>0.267</v>
      </c>
    </row>
    <row r="2684" spans="1:13">
      <c r="A2684" s="1">
        <f>HYPERLINK("http://www.twitter.com/NathanBLawrence/status/794742591006851073", "794742591006851073")</f>
        <v/>
      </c>
      <c r="B2684" s="2" t="n">
        <v>42679.14320601852</v>
      </c>
      <c r="C2684" t="n">
        <v>0</v>
      </c>
      <c r="D2684" t="n">
        <v>862</v>
      </c>
      <c r="E2684" t="s">
        <v>2689</v>
      </c>
      <c r="F2684">
        <f>HYPERLINK("http://pbs.twimg.com/media/Cwd9qkMWEAAxwh6.jpg", "http://pbs.twimg.com/media/Cwd9qkMWEAAxwh6.jpg")</f>
        <v/>
      </c>
      <c r="G2684" t="s"/>
      <c r="H2684" t="s"/>
      <c r="I2684" t="s"/>
      <c r="J2684" t="n">
        <v>0</v>
      </c>
      <c r="K2684" t="n">
        <v>0</v>
      </c>
      <c r="L2684" t="n">
        <v>1</v>
      </c>
      <c r="M2684" t="n">
        <v>0</v>
      </c>
    </row>
    <row r="2685" spans="1:13">
      <c r="A2685" s="1">
        <f>HYPERLINK("http://www.twitter.com/NathanBLawrence/status/794742537059766272", "794742537059766272")</f>
        <v/>
      </c>
      <c r="B2685" s="2" t="n">
        <v>42679.14306712963</v>
      </c>
      <c r="C2685" t="n">
        <v>0</v>
      </c>
      <c r="D2685" t="n">
        <v>604</v>
      </c>
      <c r="E2685" t="s">
        <v>2690</v>
      </c>
      <c r="F2685" t="s"/>
      <c r="G2685" t="s"/>
      <c r="H2685" t="s"/>
      <c r="I2685" t="s"/>
      <c r="J2685" t="n">
        <v>0.6597</v>
      </c>
      <c r="K2685" t="n">
        <v>0</v>
      </c>
      <c r="L2685" t="n">
        <v>0.735</v>
      </c>
      <c r="M2685" t="n">
        <v>0.265</v>
      </c>
    </row>
    <row r="2686" spans="1:13">
      <c r="A2686" s="1">
        <f>HYPERLINK("http://www.twitter.com/NathanBLawrence/status/794736446435426304", "794736446435426304")</f>
        <v/>
      </c>
      <c r="B2686" s="2" t="n">
        <v>42679.12625</v>
      </c>
      <c r="C2686" t="n">
        <v>0</v>
      </c>
      <c r="D2686" t="n">
        <v>8453</v>
      </c>
      <c r="E2686" t="s">
        <v>2691</v>
      </c>
      <c r="F2686">
        <f>HYPERLINK("http://pbs.twimg.com/media/CwdyIwpUkAAj4Q9.jpg", "http://pbs.twimg.com/media/CwdyIwpUkAAj4Q9.jpg")</f>
        <v/>
      </c>
      <c r="G2686" t="s"/>
      <c r="H2686" t="s"/>
      <c r="I2686" t="s"/>
      <c r="J2686" t="n">
        <v>-0.4939</v>
      </c>
      <c r="K2686" t="n">
        <v>0.138</v>
      </c>
      <c r="L2686" t="n">
        <v>0.862</v>
      </c>
      <c r="M2686" t="n">
        <v>0</v>
      </c>
    </row>
    <row r="2687" spans="1:13">
      <c r="A2687" s="1">
        <f>HYPERLINK("http://www.twitter.com/NathanBLawrence/status/794728106355490816", "794728106355490816")</f>
        <v/>
      </c>
      <c r="B2687" s="2" t="n">
        <v>42679.10324074074</v>
      </c>
      <c r="C2687" t="n">
        <v>0</v>
      </c>
      <c r="D2687" t="n">
        <v>3756</v>
      </c>
      <c r="E2687" t="s">
        <v>2692</v>
      </c>
      <c r="F2687">
        <f>HYPERLINK("http://pbs.twimg.com/media/CwduuDXVIAAAlv4.jpg", "http://pbs.twimg.com/media/CwduuDXVIAAAlv4.jpg")</f>
        <v/>
      </c>
      <c r="G2687" t="s"/>
      <c r="H2687" t="s"/>
      <c r="I2687" t="s"/>
      <c r="J2687" t="n">
        <v>0</v>
      </c>
      <c r="K2687" t="n">
        <v>0</v>
      </c>
      <c r="L2687" t="n">
        <v>1</v>
      </c>
      <c r="M2687" t="n">
        <v>0</v>
      </c>
    </row>
    <row r="2688" spans="1:13">
      <c r="A2688" s="1">
        <f>HYPERLINK("http://www.twitter.com/NathanBLawrence/status/794724042439802880", "794724042439802880")</f>
        <v/>
      </c>
      <c r="B2688" s="2" t="n">
        <v>42679.09202546296</v>
      </c>
      <c r="C2688" t="n">
        <v>0</v>
      </c>
      <c r="D2688" t="n">
        <v>8183</v>
      </c>
      <c r="E2688" t="s">
        <v>2693</v>
      </c>
      <c r="F2688">
        <f>HYPERLINK("http://pbs.twimg.com/media/Cwdr4pcVQAEBCuO.jpg", "http://pbs.twimg.com/media/Cwdr4pcVQAEBCuO.jpg")</f>
        <v/>
      </c>
      <c r="G2688" t="s"/>
      <c r="H2688" t="s"/>
      <c r="I2688" t="s"/>
      <c r="J2688" t="n">
        <v>0</v>
      </c>
      <c r="K2688" t="n">
        <v>0</v>
      </c>
      <c r="L2688" t="n">
        <v>1</v>
      </c>
      <c r="M2688" t="n">
        <v>0</v>
      </c>
    </row>
    <row r="2689" spans="1:13">
      <c r="A2689" s="1">
        <f>HYPERLINK("http://www.twitter.com/NathanBLawrence/status/794721921183186944", "794721921183186944")</f>
        <v/>
      </c>
      <c r="B2689" s="2" t="n">
        <v>42679.08616898148</v>
      </c>
      <c r="C2689" t="n">
        <v>0</v>
      </c>
      <c r="D2689" t="n">
        <v>5007</v>
      </c>
      <c r="E2689" t="s">
        <v>2694</v>
      </c>
      <c r="F2689" t="s"/>
      <c r="G2689" t="s"/>
      <c r="H2689" t="s"/>
      <c r="I2689" t="s"/>
      <c r="J2689" t="n">
        <v>0.7184</v>
      </c>
      <c r="K2689" t="n">
        <v>0</v>
      </c>
      <c r="L2689" t="n">
        <v>0.72</v>
      </c>
      <c r="M2689" t="n">
        <v>0.28</v>
      </c>
    </row>
    <row r="2690" spans="1:13">
      <c r="A2690" s="1">
        <f>HYPERLINK("http://www.twitter.com/NathanBLawrence/status/794710348532219904", "794710348532219904")</f>
        <v/>
      </c>
      <c r="B2690" s="2" t="n">
        <v>42679.05423611111</v>
      </c>
      <c r="C2690" t="n">
        <v>0</v>
      </c>
      <c r="D2690" t="n">
        <v>19</v>
      </c>
      <c r="E2690" t="s">
        <v>2695</v>
      </c>
      <c r="F2690" t="s"/>
      <c r="G2690" t="s"/>
      <c r="H2690" t="s"/>
      <c r="I2690" t="s"/>
      <c r="J2690" t="n">
        <v>-0.296</v>
      </c>
      <c r="K2690" t="n">
        <v>0.196</v>
      </c>
      <c r="L2690" t="n">
        <v>0.804</v>
      </c>
      <c r="M2690" t="n">
        <v>0</v>
      </c>
    </row>
    <row r="2691" spans="1:13">
      <c r="A2691" s="1">
        <f>HYPERLINK("http://www.twitter.com/NathanBLawrence/status/794710065462870017", "794710065462870017")</f>
        <v/>
      </c>
      <c r="B2691" s="2" t="n">
        <v>42679.05346064815</v>
      </c>
      <c r="C2691" t="n">
        <v>0</v>
      </c>
      <c r="D2691" t="n">
        <v>8</v>
      </c>
      <c r="E2691" t="s">
        <v>2696</v>
      </c>
      <c r="F2691" t="s"/>
      <c r="G2691" t="s"/>
      <c r="H2691" t="s"/>
      <c r="I2691" t="s"/>
      <c r="J2691" t="n">
        <v>0.4404</v>
      </c>
      <c r="K2691" t="n">
        <v>0</v>
      </c>
      <c r="L2691" t="n">
        <v>0.884</v>
      </c>
      <c r="M2691" t="n">
        <v>0.116</v>
      </c>
    </row>
    <row r="2692" spans="1:13">
      <c r="A2692" s="1">
        <f>HYPERLINK("http://www.twitter.com/NathanBLawrence/status/794709744153989120", "794709744153989120")</f>
        <v/>
      </c>
      <c r="B2692" s="2" t="n">
        <v>42679.05256944444</v>
      </c>
      <c r="C2692" t="n">
        <v>0</v>
      </c>
      <c r="D2692" t="n">
        <v>12</v>
      </c>
      <c r="E2692" t="s">
        <v>2697</v>
      </c>
      <c r="F2692" t="s"/>
      <c r="G2692" t="s"/>
      <c r="H2692" t="s"/>
      <c r="I2692" t="s"/>
      <c r="J2692" t="n">
        <v>0</v>
      </c>
      <c r="K2692" t="n">
        <v>0</v>
      </c>
      <c r="L2692" t="n">
        <v>1</v>
      </c>
      <c r="M2692" t="n">
        <v>0</v>
      </c>
    </row>
    <row r="2693" spans="1:13">
      <c r="A2693" s="1">
        <f>HYPERLINK("http://www.twitter.com/NathanBLawrence/status/794709569406717952", "794709569406717952")</f>
        <v/>
      </c>
      <c r="B2693" s="2" t="n">
        <v>42679.05208333334</v>
      </c>
      <c r="C2693" t="n">
        <v>0</v>
      </c>
      <c r="D2693" t="n">
        <v>3206</v>
      </c>
      <c r="E2693" t="s">
        <v>2698</v>
      </c>
      <c r="F2693" t="s"/>
      <c r="G2693" t="s"/>
      <c r="H2693" t="s"/>
      <c r="I2693" t="s"/>
      <c r="J2693" t="n">
        <v>-0.4767</v>
      </c>
      <c r="K2693" t="n">
        <v>0.147</v>
      </c>
      <c r="L2693" t="n">
        <v>0.853</v>
      </c>
      <c r="M2693" t="n">
        <v>0</v>
      </c>
    </row>
    <row r="2694" spans="1:13">
      <c r="A2694" s="1">
        <f>HYPERLINK("http://www.twitter.com/NathanBLawrence/status/794709510636130304", "794709510636130304")</f>
        <v/>
      </c>
      <c r="B2694" s="2" t="n">
        <v>42679.0519212963</v>
      </c>
      <c r="C2694" t="n">
        <v>0</v>
      </c>
      <c r="D2694" t="n">
        <v>9388</v>
      </c>
      <c r="E2694" t="s">
        <v>2699</v>
      </c>
      <c r="F2694" t="s"/>
      <c r="G2694" t="s"/>
      <c r="H2694" t="s"/>
      <c r="I2694" t="s"/>
      <c r="J2694" t="n">
        <v>0.4215</v>
      </c>
      <c r="K2694" t="n">
        <v>0</v>
      </c>
      <c r="L2694" t="n">
        <v>0.833</v>
      </c>
      <c r="M2694" t="n">
        <v>0.167</v>
      </c>
    </row>
    <row r="2695" spans="1:13">
      <c r="A2695" s="1">
        <f>HYPERLINK("http://www.twitter.com/NathanBLawrence/status/794683880955445248", "794683880955445248")</f>
        <v/>
      </c>
      <c r="B2695" s="2" t="n">
        <v>42678.9812037037</v>
      </c>
      <c r="C2695" t="n">
        <v>0</v>
      </c>
      <c r="D2695" t="n">
        <v>4739</v>
      </c>
      <c r="E2695" t="s">
        <v>2700</v>
      </c>
      <c r="F2695" t="s"/>
      <c r="G2695" t="s"/>
      <c r="H2695" t="s"/>
      <c r="I2695" t="s"/>
      <c r="J2695" t="n">
        <v>0</v>
      </c>
      <c r="K2695" t="n">
        <v>0</v>
      </c>
      <c r="L2695" t="n">
        <v>1</v>
      </c>
      <c r="M2695" t="n">
        <v>0</v>
      </c>
    </row>
    <row r="2696" spans="1:13">
      <c r="A2696" s="1">
        <f>HYPERLINK("http://www.twitter.com/NathanBLawrence/status/794680648443330561", "794680648443330561")</f>
        <v/>
      </c>
      <c r="B2696" s="2" t="n">
        <v>42678.9722800926</v>
      </c>
      <c r="C2696" t="n">
        <v>0</v>
      </c>
      <c r="D2696" t="n">
        <v>427</v>
      </c>
      <c r="E2696" t="s">
        <v>2701</v>
      </c>
      <c r="F2696">
        <f>HYPERLINK("http://pbs.twimg.com/media/Cwc5hjCXEAQ31Uk.jpg", "http://pbs.twimg.com/media/Cwc5hjCXEAQ31Uk.jpg")</f>
        <v/>
      </c>
      <c r="G2696" t="s"/>
      <c r="H2696" t="s"/>
      <c r="I2696" t="s"/>
      <c r="J2696" t="n">
        <v>0</v>
      </c>
      <c r="K2696" t="n">
        <v>0</v>
      </c>
      <c r="L2696" t="n">
        <v>1</v>
      </c>
      <c r="M2696" t="n">
        <v>0</v>
      </c>
    </row>
    <row r="2697" spans="1:13">
      <c r="A2697" s="1">
        <f>HYPERLINK("http://www.twitter.com/NathanBLawrence/status/794666109828026369", "794666109828026369")</f>
        <v/>
      </c>
      <c r="B2697" s="2" t="n">
        <v>42678.93216435185</v>
      </c>
      <c r="C2697" t="n">
        <v>0</v>
      </c>
      <c r="D2697" t="n">
        <v>6</v>
      </c>
      <c r="E2697" t="s">
        <v>2702</v>
      </c>
      <c r="F2697" t="s"/>
      <c r="G2697" t="s"/>
      <c r="H2697" t="s"/>
      <c r="I2697" t="s"/>
      <c r="J2697" t="n">
        <v>0.4588</v>
      </c>
      <c r="K2697" t="n">
        <v>0</v>
      </c>
      <c r="L2697" t="n">
        <v>0.824</v>
      </c>
      <c r="M2697" t="n">
        <v>0.176</v>
      </c>
    </row>
    <row r="2698" spans="1:13">
      <c r="A2698" s="1">
        <f>HYPERLINK("http://www.twitter.com/NathanBLawrence/status/794665494750105604", "794665494750105604")</f>
        <v/>
      </c>
      <c r="B2698" s="2" t="n">
        <v>42678.93046296296</v>
      </c>
      <c r="C2698" t="n">
        <v>0</v>
      </c>
      <c r="D2698" t="n">
        <v>418</v>
      </c>
      <c r="E2698" t="s">
        <v>2703</v>
      </c>
      <c r="F2698" t="s"/>
      <c r="G2698" t="s"/>
      <c r="H2698" t="s"/>
      <c r="I2698" t="s"/>
      <c r="J2698" t="n">
        <v>0.3182</v>
      </c>
      <c r="K2698" t="n">
        <v>0</v>
      </c>
      <c r="L2698" t="n">
        <v>0.887</v>
      </c>
      <c r="M2698" t="n">
        <v>0.113</v>
      </c>
    </row>
    <row r="2699" spans="1:13">
      <c r="A2699" s="1">
        <f>HYPERLINK("http://www.twitter.com/NathanBLawrence/status/794664453891571716", "794664453891571716")</f>
        <v/>
      </c>
      <c r="B2699" s="2" t="n">
        <v>42678.92759259259</v>
      </c>
      <c r="C2699" t="n">
        <v>0</v>
      </c>
      <c r="D2699" t="n">
        <v>234</v>
      </c>
      <c r="E2699" t="s">
        <v>2704</v>
      </c>
      <c r="F2699">
        <f>HYPERLINK("http://pbs.twimg.com/media/Cwc2_LQWgAID5pf.jpg", "http://pbs.twimg.com/media/Cwc2_LQWgAID5pf.jpg")</f>
        <v/>
      </c>
      <c r="G2699" t="s"/>
      <c r="H2699" t="s"/>
      <c r="I2699" t="s"/>
      <c r="J2699" t="n">
        <v>-0.8074</v>
      </c>
      <c r="K2699" t="n">
        <v>0.258</v>
      </c>
      <c r="L2699" t="n">
        <v>0.742</v>
      </c>
      <c r="M2699" t="n">
        <v>0</v>
      </c>
    </row>
    <row r="2700" spans="1:13">
      <c r="A2700" s="1">
        <f>HYPERLINK("http://www.twitter.com/NathanBLawrence/status/794664273154805760", "794664273154805760")</f>
        <v/>
      </c>
      <c r="B2700" s="2" t="n">
        <v>42678.92709490741</v>
      </c>
      <c r="C2700" t="n">
        <v>0</v>
      </c>
      <c r="D2700" t="n">
        <v>7</v>
      </c>
      <c r="E2700" t="s">
        <v>2705</v>
      </c>
      <c r="F2700">
        <f>HYPERLINK("http://pbs.twimg.com/media/Cwc0RkNUcAA44AO.jpg", "http://pbs.twimg.com/media/Cwc0RkNUcAA44AO.jpg")</f>
        <v/>
      </c>
      <c r="G2700" t="s"/>
      <c r="H2700" t="s"/>
      <c r="I2700" t="s"/>
      <c r="J2700" t="n">
        <v>-0.3802</v>
      </c>
      <c r="K2700" t="n">
        <v>0.132</v>
      </c>
      <c r="L2700" t="n">
        <v>0.868</v>
      </c>
      <c r="M2700" t="n">
        <v>0</v>
      </c>
    </row>
    <row r="2701" spans="1:13">
      <c r="A2701" s="1">
        <f>HYPERLINK("http://www.twitter.com/NathanBLawrence/status/794656416439091201", "794656416439091201")</f>
        <v/>
      </c>
      <c r="B2701" s="2" t="n">
        <v>42678.90541666667</v>
      </c>
      <c r="C2701" t="n">
        <v>0</v>
      </c>
      <c r="D2701" t="n">
        <v>3371</v>
      </c>
      <c r="E2701" t="s">
        <v>2706</v>
      </c>
      <c r="F2701">
        <f>HYPERLINK("http://pbs.twimg.com/media/CwcsqSPXgAAf-hY.jpg", "http://pbs.twimg.com/media/CwcsqSPXgAAf-hY.jpg")</f>
        <v/>
      </c>
      <c r="G2701" t="s"/>
      <c r="H2701" t="s"/>
      <c r="I2701" t="s"/>
      <c r="J2701" t="n">
        <v>0</v>
      </c>
      <c r="K2701" t="n">
        <v>0</v>
      </c>
      <c r="L2701" t="n">
        <v>1</v>
      </c>
      <c r="M2701" t="n">
        <v>0</v>
      </c>
    </row>
    <row r="2702" spans="1:13">
      <c r="A2702" s="1">
        <f>HYPERLINK("http://www.twitter.com/NathanBLawrence/status/794655799536656385", "794655799536656385")</f>
        <v/>
      </c>
      <c r="B2702" s="2" t="n">
        <v>42678.90371527777</v>
      </c>
      <c r="C2702" t="n">
        <v>0</v>
      </c>
      <c r="D2702" t="n">
        <v>2404</v>
      </c>
      <c r="E2702" t="s">
        <v>2707</v>
      </c>
      <c r="F2702" t="s"/>
      <c r="G2702" t="s"/>
      <c r="H2702" t="s"/>
      <c r="I2702" t="s"/>
      <c r="J2702" t="n">
        <v>0</v>
      </c>
      <c r="K2702" t="n">
        <v>0</v>
      </c>
      <c r="L2702" t="n">
        <v>1</v>
      </c>
      <c r="M2702" t="n">
        <v>0</v>
      </c>
    </row>
    <row r="2703" spans="1:13">
      <c r="A2703" s="1">
        <f>HYPERLINK("http://www.twitter.com/NathanBLawrence/status/794652612696096771", "794652612696096771")</f>
        <v/>
      </c>
      <c r="B2703" s="2" t="n">
        <v>42678.89491898148</v>
      </c>
      <c r="C2703" t="n">
        <v>0</v>
      </c>
      <c r="D2703" t="n">
        <v>938</v>
      </c>
      <c r="E2703" t="s">
        <v>2708</v>
      </c>
      <c r="F2703" t="s"/>
      <c r="G2703" t="s"/>
      <c r="H2703" t="s"/>
      <c r="I2703" t="s"/>
      <c r="J2703" t="n">
        <v>-0.34</v>
      </c>
      <c r="K2703" t="n">
        <v>0.156</v>
      </c>
      <c r="L2703" t="n">
        <v>0.844</v>
      </c>
      <c r="M2703" t="n">
        <v>0</v>
      </c>
    </row>
    <row r="2704" spans="1:13">
      <c r="A2704" s="1">
        <f>HYPERLINK("http://www.twitter.com/NathanBLawrence/status/794652116459655168", "794652116459655168")</f>
        <v/>
      </c>
      <c r="B2704" s="2" t="n">
        <v>42678.89355324074</v>
      </c>
      <c r="C2704" t="n">
        <v>0</v>
      </c>
      <c r="D2704" t="n">
        <v>135</v>
      </c>
      <c r="E2704" t="s">
        <v>2709</v>
      </c>
      <c r="F2704" t="s"/>
      <c r="G2704" t="s"/>
      <c r="H2704" t="s"/>
      <c r="I2704" t="s"/>
      <c r="J2704" t="n">
        <v>-0.34</v>
      </c>
      <c r="K2704" t="n">
        <v>0.156</v>
      </c>
      <c r="L2704" t="n">
        <v>0.844</v>
      </c>
      <c r="M2704" t="n">
        <v>0</v>
      </c>
    </row>
    <row r="2705" spans="1:13">
      <c r="A2705" s="1">
        <f>HYPERLINK("http://www.twitter.com/NathanBLawrence/status/794652060927008768", "794652060927008768")</f>
        <v/>
      </c>
      <c r="B2705" s="2" t="n">
        <v>42678.8933912037</v>
      </c>
      <c r="C2705" t="n">
        <v>0</v>
      </c>
      <c r="D2705" t="n">
        <v>2415</v>
      </c>
      <c r="E2705" t="s">
        <v>2710</v>
      </c>
      <c r="F2705" t="s"/>
      <c r="G2705" t="s"/>
      <c r="H2705" t="s"/>
      <c r="I2705" t="s"/>
      <c r="J2705" t="n">
        <v>0.0516</v>
      </c>
      <c r="K2705" t="n">
        <v>0.106</v>
      </c>
      <c r="L2705" t="n">
        <v>0.78</v>
      </c>
      <c r="M2705" t="n">
        <v>0.115</v>
      </c>
    </row>
    <row r="2706" spans="1:13">
      <c r="A2706" s="1">
        <f>HYPERLINK("http://www.twitter.com/NathanBLawrence/status/794651753413312514", "794651753413312514")</f>
        <v/>
      </c>
      <c r="B2706" s="2" t="n">
        <v>42678.89254629629</v>
      </c>
      <c r="C2706" t="n">
        <v>0</v>
      </c>
      <c r="D2706" t="n">
        <v>2653</v>
      </c>
      <c r="E2706" t="s">
        <v>2711</v>
      </c>
      <c r="F2706" t="s"/>
      <c r="G2706" t="s"/>
      <c r="H2706" t="s"/>
      <c r="I2706" t="s"/>
      <c r="J2706" t="n">
        <v>0.1779</v>
      </c>
      <c r="K2706" t="n">
        <v>0</v>
      </c>
      <c r="L2706" t="n">
        <v>0.855</v>
      </c>
      <c r="M2706" t="n">
        <v>0.145</v>
      </c>
    </row>
    <row r="2707" spans="1:13">
      <c r="A2707" s="1">
        <f>HYPERLINK("http://www.twitter.com/NathanBLawrence/status/794651091409440768", "794651091409440768")</f>
        <v/>
      </c>
      <c r="B2707" s="2" t="n">
        <v>42678.89071759259</v>
      </c>
      <c r="C2707" t="n">
        <v>0</v>
      </c>
      <c r="D2707" t="n">
        <v>7</v>
      </c>
      <c r="E2707" t="s">
        <v>2712</v>
      </c>
      <c r="F2707" t="s"/>
      <c r="G2707" t="s"/>
      <c r="H2707" t="s"/>
      <c r="I2707" t="s"/>
      <c r="J2707" t="n">
        <v>-0.3818</v>
      </c>
      <c r="K2707" t="n">
        <v>0.247</v>
      </c>
      <c r="L2707" t="n">
        <v>0.753</v>
      </c>
      <c r="M2707" t="n">
        <v>0</v>
      </c>
    </row>
    <row r="2708" spans="1:13">
      <c r="A2708" s="1">
        <f>HYPERLINK("http://www.twitter.com/NathanBLawrence/status/794650466181410816", "794650466181410816")</f>
        <v/>
      </c>
      <c r="B2708" s="2" t="n">
        <v>42678.88899305555</v>
      </c>
      <c r="C2708" t="n">
        <v>0</v>
      </c>
      <c r="D2708" t="n">
        <v>17</v>
      </c>
      <c r="E2708" t="s">
        <v>2713</v>
      </c>
      <c r="F2708" t="s"/>
      <c r="G2708" t="s"/>
      <c r="H2708" t="s"/>
      <c r="I2708" t="s"/>
      <c r="J2708" t="n">
        <v>0.4404</v>
      </c>
      <c r="K2708" t="n">
        <v>0</v>
      </c>
      <c r="L2708" t="n">
        <v>0.791</v>
      </c>
      <c r="M2708" t="n">
        <v>0.209</v>
      </c>
    </row>
    <row r="2709" spans="1:13">
      <c r="A2709" s="1">
        <f>HYPERLINK("http://www.twitter.com/NathanBLawrence/status/794637641698381825", "794637641698381825")</f>
        <v/>
      </c>
      <c r="B2709" s="2" t="n">
        <v>42678.85361111111</v>
      </c>
      <c r="C2709" t="n">
        <v>0</v>
      </c>
      <c r="D2709" t="n">
        <v>317</v>
      </c>
      <c r="E2709" t="s">
        <v>2714</v>
      </c>
      <c r="F2709" t="s"/>
      <c r="G2709" t="s"/>
      <c r="H2709" t="s"/>
      <c r="I2709" t="s"/>
      <c r="J2709" t="n">
        <v>0</v>
      </c>
      <c r="K2709" t="n">
        <v>0</v>
      </c>
      <c r="L2709" t="n">
        <v>1</v>
      </c>
      <c r="M2709" t="n">
        <v>0</v>
      </c>
    </row>
    <row r="2710" spans="1:13">
      <c r="A2710" s="1">
        <f>HYPERLINK("http://www.twitter.com/NathanBLawrence/status/794637135961882625", "794637135961882625")</f>
        <v/>
      </c>
      <c r="B2710" s="2" t="n">
        <v>42678.85221064815</v>
      </c>
      <c r="C2710" t="n">
        <v>0</v>
      </c>
      <c r="D2710" t="n">
        <v>9635</v>
      </c>
      <c r="E2710" t="s">
        <v>2715</v>
      </c>
      <c r="F2710">
        <f>HYPERLINK("http://pbs.twimg.com/media/CwceGBuWEAAB_Jj.jpg", "http://pbs.twimg.com/media/CwceGBuWEAAB_Jj.jpg")</f>
        <v/>
      </c>
      <c r="G2710" t="s"/>
      <c r="H2710" t="s"/>
      <c r="I2710" t="s"/>
      <c r="J2710" t="n">
        <v>0</v>
      </c>
      <c r="K2710" t="n">
        <v>0</v>
      </c>
      <c r="L2710" t="n">
        <v>1</v>
      </c>
      <c r="M2710" t="n">
        <v>0</v>
      </c>
    </row>
    <row r="2711" spans="1:13">
      <c r="A2711" s="1">
        <f>HYPERLINK("http://www.twitter.com/NathanBLawrence/status/794636994525663232", "794636994525663232")</f>
        <v/>
      </c>
      <c r="B2711" s="2" t="n">
        <v>42678.85181712963</v>
      </c>
      <c r="C2711" t="n">
        <v>0</v>
      </c>
      <c r="D2711" t="n">
        <v>5</v>
      </c>
      <c r="E2711" t="s">
        <v>2716</v>
      </c>
      <c r="F2711" t="s"/>
      <c r="G2711" t="s"/>
      <c r="H2711" t="s"/>
      <c r="I2711" t="s"/>
      <c r="J2711" t="n">
        <v>-0.34</v>
      </c>
      <c r="K2711" t="n">
        <v>0.124</v>
      </c>
      <c r="L2711" t="n">
        <v>0.876</v>
      </c>
      <c r="M2711" t="n">
        <v>0</v>
      </c>
    </row>
    <row r="2712" spans="1:13">
      <c r="A2712" s="1">
        <f>HYPERLINK("http://www.twitter.com/NathanBLawrence/status/794636930646441984", "794636930646441984")</f>
        <v/>
      </c>
      <c r="B2712" s="2" t="n">
        <v>42678.85164351852</v>
      </c>
      <c r="C2712" t="n">
        <v>0</v>
      </c>
      <c r="D2712" t="n">
        <v>25</v>
      </c>
      <c r="E2712" t="s">
        <v>2717</v>
      </c>
      <c r="F2712" t="s"/>
      <c r="G2712" t="s"/>
      <c r="H2712" t="s"/>
      <c r="I2712" t="s"/>
      <c r="J2712" t="n">
        <v>0</v>
      </c>
      <c r="K2712" t="n">
        <v>0</v>
      </c>
      <c r="L2712" t="n">
        <v>1</v>
      </c>
      <c r="M2712" t="n">
        <v>0</v>
      </c>
    </row>
    <row r="2713" spans="1:13">
      <c r="A2713" s="1">
        <f>HYPERLINK("http://www.twitter.com/NathanBLawrence/status/794631214556741633", "794631214556741633")</f>
        <v/>
      </c>
      <c r="B2713" s="2" t="n">
        <v>42678.83586805555</v>
      </c>
      <c r="C2713" t="n">
        <v>0</v>
      </c>
      <c r="D2713" t="n">
        <v>304</v>
      </c>
      <c r="E2713" t="s">
        <v>2718</v>
      </c>
      <c r="F2713" t="s"/>
      <c r="G2713" t="s"/>
      <c r="H2713" t="s"/>
      <c r="I2713" t="s"/>
      <c r="J2713" t="n">
        <v>-0.5719</v>
      </c>
      <c r="K2713" t="n">
        <v>0.198</v>
      </c>
      <c r="L2713" t="n">
        <v>0.802</v>
      </c>
      <c r="M2713" t="n">
        <v>0</v>
      </c>
    </row>
    <row r="2714" spans="1:13">
      <c r="A2714" s="1">
        <f>HYPERLINK("http://www.twitter.com/NathanBLawrence/status/794629968097673216", "794629968097673216")</f>
        <v/>
      </c>
      <c r="B2714" s="2" t="n">
        <v>42678.83243055556</v>
      </c>
      <c r="C2714" t="n">
        <v>0</v>
      </c>
      <c r="D2714" t="n">
        <v>5</v>
      </c>
      <c r="E2714" t="s">
        <v>2719</v>
      </c>
      <c r="F2714" t="s"/>
      <c r="G2714" t="s"/>
      <c r="H2714" t="s"/>
      <c r="I2714" t="s"/>
      <c r="J2714" t="n">
        <v>0.5423</v>
      </c>
      <c r="K2714" t="n">
        <v>0</v>
      </c>
      <c r="L2714" t="n">
        <v>0.821</v>
      </c>
      <c r="M2714" t="n">
        <v>0.179</v>
      </c>
    </row>
    <row r="2715" spans="1:13">
      <c r="A2715" s="1">
        <f>HYPERLINK("http://www.twitter.com/NathanBLawrence/status/794629688358531073", "794629688358531073")</f>
        <v/>
      </c>
      <c r="B2715" s="2" t="n">
        <v>42678.8316550926</v>
      </c>
      <c r="C2715" t="n">
        <v>0</v>
      </c>
      <c r="D2715" t="n">
        <v>49</v>
      </c>
      <c r="E2715" t="s">
        <v>2720</v>
      </c>
      <c r="F2715" t="s"/>
      <c r="G2715" t="s"/>
      <c r="H2715" t="s"/>
      <c r="I2715" t="s"/>
      <c r="J2715" t="n">
        <v>-0.4603</v>
      </c>
      <c r="K2715" t="n">
        <v>0.223</v>
      </c>
      <c r="L2715" t="n">
        <v>0.628</v>
      </c>
      <c r="M2715" t="n">
        <v>0.149</v>
      </c>
    </row>
    <row r="2716" spans="1:13">
      <c r="A2716" s="1">
        <f>HYPERLINK("http://www.twitter.com/NathanBLawrence/status/794629610143186945", "794629610143186945")</f>
        <v/>
      </c>
      <c r="B2716" s="2" t="n">
        <v>42678.83144675926</v>
      </c>
      <c r="C2716" t="n">
        <v>0</v>
      </c>
      <c r="D2716" t="n">
        <v>339</v>
      </c>
      <c r="E2716" t="s">
        <v>2721</v>
      </c>
      <c r="F2716" t="s"/>
      <c r="G2716" t="s"/>
      <c r="H2716" t="s"/>
      <c r="I2716" t="s"/>
      <c r="J2716" t="n">
        <v>-0.34</v>
      </c>
      <c r="K2716" t="n">
        <v>0.118</v>
      </c>
      <c r="L2716" t="n">
        <v>0.882</v>
      </c>
      <c r="M2716" t="n">
        <v>0</v>
      </c>
    </row>
    <row r="2717" spans="1:13">
      <c r="A2717" s="1">
        <f>HYPERLINK("http://www.twitter.com/NathanBLawrence/status/794625067913248768", "794625067913248768")</f>
        <v/>
      </c>
      <c r="B2717" s="2" t="n">
        <v>42678.81891203704</v>
      </c>
      <c r="C2717" t="n">
        <v>0</v>
      </c>
      <c r="D2717" t="n">
        <v>1112</v>
      </c>
      <c r="E2717" t="s">
        <v>2722</v>
      </c>
      <c r="F2717">
        <f>HYPERLINK("https://video.twimg.com/ext_tw_video/794537288978014208/pu/vid/640x360/pVsh13bWDiEQoip-.mp4", "https://video.twimg.com/ext_tw_video/794537288978014208/pu/vid/640x360/pVsh13bWDiEQoip-.mp4")</f>
        <v/>
      </c>
      <c r="G2717" t="s"/>
      <c r="H2717" t="s"/>
      <c r="I2717" t="s"/>
      <c r="J2717" t="n">
        <v>0</v>
      </c>
      <c r="K2717" t="n">
        <v>0</v>
      </c>
      <c r="L2717" t="n">
        <v>1</v>
      </c>
      <c r="M2717" t="n">
        <v>0</v>
      </c>
    </row>
    <row r="2718" spans="1:13">
      <c r="A2718" s="1">
        <f>HYPERLINK("http://www.twitter.com/NathanBLawrence/status/794619713019998208", "794619713019998208")</f>
        <v/>
      </c>
      <c r="B2718" s="2" t="n">
        <v>42678.80413194445</v>
      </c>
      <c r="C2718" t="n">
        <v>0</v>
      </c>
      <c r="D2718" t="n">
        <v>8692</v>
      </c>
      <c r="E2718" t="s">
        <v>2723</v>
      </c>
      <c r="F2718">
        <f>HYPERLINK("http://pbs.twimg.com/media/CwcNVQvXUAElUSz.jpg", "http://pbs.twimg.com/media/CwcNVQvXUAElUSz.jpg")</f>
        <v/>
      </c>
      <c r="G2718" t="s"/>
      <c r="H2718" t="s"/>
      <c r="I2718" t="s"/>
      <c r="J2718" t="n">
        <v>0</v>
      </c>
      <c r="K2718" t="n">
        <v>0</v>
      </c>
      <c r="L2718" t="n">
        <v>1</v>
      </c>
      <c r="M2718" t="n">
        <v>0</v>
      </c>
    </row>
    <row r="2719" spans="1:13">
      <c r="A2719" s="1">
        <f>HYPERLINK("http://www.twitter.com/NathanBLawrence/status/794619671014043648", "794619671014043648")</f>
        <v/>
      </c>
      <c r="B2719" s="2" t="n">
        <v>42678.80401620371</v>
      </c>
      <c r="C2719" t="n">
        <v>0</v>
      </c>
      <c r="D2719" t="n">
        <v>7001</v>
      </c>
      <c r="E2719" t="s">
        <v>2724</v>
      </c>
      <c r="F2719">
        <f>HYPERLINK("http://pbs.twimg.com/media/CwcN2JrXUAAWh1U.jpg", "http://pbs.twimg.com/media/CwcN2JrXUAAWh1U.jpg")</f>
        <v/>
      </c>
      <c r="G2719" t="s"/>
      <c r="H2719" t="s"/>
      <c r="I2719" t="s"/>
      <c r="J2719" t="n">
        <v>-0.2732</v>
      </c>
      <c r="K2719" t="n">
        <v>0.11</v>
      </c>
      <c r="L2719" t="n">
        <v>0.89</v>
      </c>
      <c r="M2719" t="n">
        <v>0</v>
      </c>
    </row>
    <row r="2720" spans="1:13">
      <c r="A2720" s="1">
        <f>HYPERLINK("http://www.twitter.com/NathanBLawrence/status/794619166191861761", "794619166191861761")</f>
        <v/>
      </c>
      <c r="B2720" s="2" t="n">
        <v>42678.80262731481</v>
      </c>
      <c r="C2720" t="n">
        <v>0</v>
      </c>
      <c r="D2720" t="n">
        <v>970</v>
      </c>
      <c r="E2720" t="s">
        <v>2725</v>
      </c>
      <c r="F2720">
        <f>HYPERLINK("http://pbs.twimg.com/media/Cwb4MdwXUAAlRrO.jpg", "http://pbs.twimg.com/media/Cwb4MdwXUAAlRrO.jpg")</f>
        <v/>
      </c>
      <c r="G2720" t="s"/>
      <c r="H2720" t="s"/>
      <c r="I2720" t="s"/>
      <c r="J2720" t="n">
        <v>0</v>
      </c>
      <c r="K2720" t="n">
        <v>0</v>
      </c>
      <c r="L2720" t="n">
        <v>1</v>
      </c>
      <c r="M2720" t="n">
        <v>0</v>
      </c>
    </row>
    <row r="2721" spans="1:13">
      <c r="A2721" s="1">
        <f>HYPERLINK("http://www.twitter.com/NathanBLawrence/status/794618225740824576", "794618225740824576")</f>
        <v/>
      </c>
      <c r="B2721" s="2" t="n">
        <v>42678.80002314815</v>
      </c>
      <c r="C2721" t="n">
        <v>0</v>
      </c>
      <c r="D2721" t="n">
        <v>452</v>
      </c>
      <c r="E2721" t="s">
        <v>2726</v>
      </c>
      <c r="F2721" t="s"/>
      <c r="G2721" t="s"/>
      <c r="H2721" t="s"/>
      <c r="I2721" t="s"/>
      <c r="J2721" t="n">
        <v>-0.4588</v>
      </c>
      <c r="K2721" t="n">
        <v>0.25</v>
      </c>
      <c r="L2721" t="n">
        <v>0.75</v>
      </c>
      <c r="M2721" t="n">
        <v>0</v>
      </c>
    </row>
    <row r="2722" spans="1:13">
      <c r="A2722" s="1">
        <f>HYPERLINK("http://www.twitter.com/NathanBLawrence/status/794617502923833344", "794617502923833344")</f>
        <v/>
      </c>
      <c r="B2722" s="2" t="n">
        <v>42678.79803240741</v>
      </c>
      <c r="C2722" t="n">
        <v>0</v>
      </c>
      <c r="D2722" t="n">
        <v>4</v>
      </c>
      <c r="E2722" t="s">
        <v>2727</v>
      </c>
      <c r="F2722" t="s"/>
      <c r="G2722" t="s"/>
      <c r="H2722" t="s"/>
      <c r="I2722" t="s"/>
      <c r="J2722" t="n">
        <v>-0.7818000000000001</v>
      </c>
      <c r="K2722" t="n">
        <v>0.329</v>
      </c>
      <c r="L2722" t="n">
        <v>0.671</v>
      </c>
      <c r="M2722" t="n">
        <v>0</v>
      </c>
    </row>
    <row r="2723" spans="1:13">
      <c r="A2723" s="1">
        <f>HYPERLINK("http://www.twitter.com/NathanBLawrence/status/794616788747067392", "794616788747067392")</f>
        <v/>
      </c>
      <c r="B2723" s="2" t="n">
        <v>42678.79606481481</v>
      </c>
      <c r="C2723" t="n">
        <v>0</v>
      </c>
      <c r="D2723" t="n">
        <v>11055</v>
      </c>
      <c r="E2723" t="s">
        <v>2728</v>
      </c>
      <c r="F2723">
        <f>HYPERLINK("http://pbs.twimg.com/media/CwcEHNyWQAApE1S.jpg", "http://pbs.twimg.com/media/CwcEHNyWQAApE1S.jpg")</f>
        <v/>
      </c>
      <c r="G2723" t="s"/>
      <c r="H2723" t="s"/>
      <c r="I2723" t="s"/>
      <c r="J2723" t="n">
        <v>0</v>
      </c>
      <c r="K2723" t="n">
        <v>0</v>
      </c>
      <c r="L2723" t="n">
        <v>1</v>
      </c>
      <c r="M2723" t="n">
        <v>0</v>
      </c>
    </row>
    <row r="2724" spans="1:13">
      <c r="A2724" s="1">
        <f>HYPERLINK("http://www.twitter.com/NathanBLawrence/status/794614483427569664", "794614483427569664")</f>
        <v/>
      </c>
      <c r="B2724" s="2" t="n">
        <v>42678.78969907408</v>
      </c>
      <c r="C2724" t="n">
        <v>0</v>
      </c>
      <c r="D2724" t="n">
        <v>67</v>
      </c>
      <c r="E2724" t="s">
        <v>2729</v>
      </c>
      <c r="F2724">
        <f>HYPERLINK("http://pbs.twimg.com/media/CwbuaKKXEAE0qUp.jpg", "http://pbs.twimg.com/media/CwbuaKKXEAE0qUp.jpg")</f>
        <v/>
      </c>
      <c r="G2724" t="s"/>
      <c r="H2724" t="s"/>
      <c r="I2724" t="s"/>
      <c r="J2724" t="n">
        <v>0.3612</v>
      </c>
      <c r="K2724" t="n">
        <v>0</v>
      </c>
      <c r="L2724" t="n">
        <v>0.865</v>
      </c>
      <c r="M2724" t="n">
        <v>0.135</v>
      </c>
    </row>
    <row r="2725" spans="1:13">
      <c r="A2725" s="1">
        <f>HYPERLINK("http://www.twitter.com/NathanBLawrence/status/794614232033525760", "794614232033525760")</f>
        <v/>
      </c>
      <c r="B2725" s="2" t="n">
        <v>42678.78900462963</v>
      </c>
      <c r="C2725" t="n">
        <v>0</v>
      </c>
      <c r="D2725" t="n">
        <v>530</v>
      </c>
      <c r="E2725" t="s">
        <v>2730</v>
      </c>
      <c r="F2725" t="s"/>
      <c r="G2725" t="s"/>
      <c r="H2725" t="s"/>
      <c r="I2725" t="s"/>
      <c r="J2725" t="n">
        <v>-0.128</v>
      </c>
      <c r="K2725" t="n">
        <v>0.08599999999999999</v>
      </c>
      <c r="L2725" t="n">
        <v>0.914</v>
      </c>
      <c r="M2725" t="n">
        <v>0</v>
      </c>
    </row>
    <row r="2726" spans="1:13">
      <c r="A2726" s="1">
        <f>HYPERLINK("http://www.twitter.com/NathanBLawrence/status/794614076974301184", "794614076974301184")</f>
        <v/>
      </c>
      <c r="B2726" s="2" t="n">
        <v>42678.78857638889</v>
      </c>
      <c r="C2726" t="n">
        <v>0</v>
      </c>
      <c r="D2726" t="n">
        <v>4274</v>
      </c>
      <c r="E2726" t="s">
        <v>2731</v>
      </c>
      <c r="F2726" t="s"/>
      <c r="G2726" t="s"/>
      <c r="H2726" t="s"/>
      <c r="I2726" t="s"/>
      <c r="J2726" t="n">
        <v>0.7351</v>
      </c>
      <c r="K2726" t="n">
        <v>0</v>
      </c>
      <c r="L2726" t="n">
        <v>0.733</v>
      </c>
      <c r="M2726" t="n">
        <v>0.267</v>
      </c>
    </row>
    <row r="2727" spans="1:13">
      <c r="A2727" s="1">
        <f>HYPERLINK("http://www.twitter.com/NathanBLawrence/status/794604417156714497", "794604417156714497")</f>
        <v/>
      </c>
      <c r="B2727" s="2" t="n">
        <v>42678.7619212963</v>
      </c>
      <c r="C2727" t="n">
        <v>0</v>
      </c>
      <c r="D2727" t="n">
        <v>348</v>
      </c>
      <c r="E2727" t="s">
        <v>2732</v>
      </c>
      <c r="F2727" t="s"/>
      <c r="G2727" t="s"/>
      <c r="H2727" t="s"/>
      <c r="I2727" t="s"/>
      <c r="J2727" t="n">
        <v>0.0258</v>
      </c>
      <c r="K2727" t="n">
        <v>0.137</v>
      </c>
      <c r="L2727" t="n">
        <v>0.722</v>
      </c>
      <c r="M2727" t="n">
        <v>0.141</v>
      </c>
    </row>
    <row r="2728" spans="1:13">
      <c r="A2728" s="1">
        <f>HYPERLINK("http://www.twitter.com/NathanBLawrence/status/794604077900435456", "794604077900435456")</f>
        <v/>
      </c>
      <c r="B2728" s="2" t="n">
        <v>42678.7609837963</v>
      </c>
      <c r="C2728" t="n">
        <v>0</v>
      </c>
      <c r="D2728" t="n">
        <v>6858</v>
      </c>
      <c r="E2728" t="s">
        <v>2733</v>
      </c>
      <c r="F2728" t="s"/>
      <c r="G2728" t="s"/>
      <c r="H2728" t="s"/>
      <c r="I2728" t="s"/>
      <c r="J2728" t="n">
        <v>0</v>
      </c>
      <c r="K2728" t="n">
        <v>0</v>
      </c>
      <c r="L2728" t="n">
        <v>1</v>
      </c>
      <c r="M2728" t="n">
        <v>0</v>
      </c>
    </row>
    <row r="2729" spans="1:13">
      <c r="A2729" s="1">
        <f>HYPERLINK("http://www.twitter.com/NathanBLawrence/status/794600729113595906", "794600729113595906")</f>
        <v/>
      </c>
      <c r="B2729" s="2" t="n">
        <v>42678.75174768519</v>
      </c>
      <c r="C2729" t="n">
        <v>0</v>
      </c>
      <c r="D2729" t="n">
        <v>6464</v>
      </c>
      <c r="E2729" t="s">
        <v>2734</v>
      </c>
      <c r="F2729">
        <f>HYPERLINK("http://pbs.twimg.com/media/Cwb8iO1W8AAzJ-b.jpg", "http://pbs.twimg.com/media/Cwb8iO1W8AAzJ-b.jpg")</f>
        <v/>
      </c>
      <c r="G2729" t="s"/>
      <c r="H2729" t="s"/>
      <c r="I2729" t="s"/>
      <c r="J2729" t="n">
        <v>-0.2023</v>
      </c>
      <c r="K2729" t="n">
        <v>0.08599999999999999</v>
      </c>
      <c r="L2729" t="n">
        <v>0.861</v>
      </c>
      <c r="M2729" t="n">
        <v>0.053</v>
      </c>
    </row>
    <row r="2730" spans="1:13">
      <c r="A2730" s="1">
        <f>HYPERLINK("http://www.twitter.com/NathanBLawrence/status/794593582950645760", "794593582950645760")</f>
        <v/>
      </c>
      <c r="B2730" s="2" t="n">
        <v>42678.73202546296</v>
      </c>
      <c r="C2730" t="n">
        <v>0</v>
      </c>
      <c r="D2730" t="n">
        <v>16</v>
      </c>
      <c r="E2730" t="s">
        <v>2735</v>
      </c>
      <c r="F2730" t="s"/>
      <c r="G2730" t="s"/>
      <c r="H2730" t="s"/>
      <c r="I2730" t="s"/>
      <c r="J2730" t="n">
        <v>-0.4588</v>
      </c>
      <c r="K2730" t="n">
        <v>0.214</v>
      </c>
      <c r="L2730" t="n">
        <v>0.786</v>
      </c>
      <c r="M2730" t="n">
        <v>0</v>
      </c>
    </row>
    <row r="2731" spans="1:13">
      <c r="A2731" s="1">
        <f>HYPERLINK("http://www.twitter.com/NathanBLawrence/status/794593236262129666", "794593236262129666")</f>
        <v/>
      </c>
      <c r="B2731" s="2" t="n">
        <v>42678.73107638889</v>
      </c>
      <c r="C2731" t="n">
        <v>0</v>
      </c>
      <c r="D2731" t="n">
        <v>41</v>
      </c>
      <c r="E2731" t="s">
        <v>2736</v>
      </c>
      <c r="F2731">
        <f>HYPERLINK("http://pbs.twimg.com/media/CwbZj0oXcAQe9NT.jpg", "http://pbs.twimg.com/media/CwbZj0oXcAQe9NT.jpg")</f>
        <v/>
      </c>
      <c r="G2731" t="s"/>
      <c r="H2731" t="s"/>
      <c r="I2731" t="s"/>
      <c r="J2731" t="n">
        <v>0</v>
      </c>
      <c r="K2731" t="n">
        <v>0</v>
      </c>
      <c r="L2731" t="n">
        <v>1</v>
      </c>
      <c r="M2731" t="n">
        <v>0</v>
      </c>
    </row>
    <row r="2732" spans="1:13">
      <c r="A2732" s="1">
        <f>HYPERLINK("http://www.twitter.com/NathanBLawrence/status/794593004283564032", "794593004283564032")</f>
        <v/>
      </c>
      <c r="B2732" s="2" t="n">
        <v>42678.73042824074</v>
      </c>
      <c r="C2732" t="n">
        <v>0</v>
      </c>
      <c r="D2732" t="n">
        <v>1576</v>
      </c>
      <c r="E2732" t="s">
        <v>2737</v>
      </c>
      <c r="F2732">
        <f>HYPERLINK("http://pbs.twimg.com/media/CwbkBuXXgAEN45X.jpg", "http://pbs.twimg.com/media/CwbkBuXXgAEN45X.jpg")</f>
        <v/>
      </c>
      <c r="G2732" t="s"/>
      <c r="H2732" t="s"/>
      <c r="I2732" t="s"/>
      <c r="J2732" t="n">
        <v>-0.128</v>
      </c>
      <c r="K2732" t="n">
        <v>0.103</v>
      </c>
      <c r="L2732" t="n">
        <v>0.897</v>
      </c>
      <c r="M2732" t="n">
        <v>0</v>
      </c>
    </row>
    <row r="2733" spans="1:13">
      <c r="A2733" s="1">
        <f>HYPERLINK("http://www.twitter.com/NathanBLawrence/status/794592887535112192", "794592887535112192")</f>
        <v/>
      </c>
      <c r="B2733" s="2" t="n">
        <v>42678.73010416667</v>
      </c>
      <c r="C2733" t="n">
        <v>0</v>
      </c>
      <c r="D2733" t="n">
        <v>1293</v>
      </c>
      <c r="E2733" t="s">
        <v>2738</v>
      </c>
      <c r="F2733" t="s"/>
      <c r="G2733" t="s"/>
      <c r="H2733" t="s"/>
      <c r="I2733" t="s"/>
      <c r="J2733" t="n">
        <v>0</v>
      </c>
      <c r="K2733" t="n">
        <v>0</v>
      </c>
      <c r="L2733" t="n">
        <v>1</v>
      </c>
      <c r="M2733" t="n">
        <v>0</v>
      </c>
    </row>
    <row r="2734" spans="1:13">
      <c r="A2734" s="1">
        <f>HYPERLINK("http://www.twitter.com/NathanBLawrence/status/794592798112497664", "794592798112497664")</f>
        <v/>
      </c>
      <c r="B2734" s="2" t="n">
        <v>42678.72986111111</v>
      </c>
      <c r="C2734" t="n">
        <v>0</v>
      </c>
      <c r="D2734" t="n">
        <v>388</v>
      </c>
      <c r="E2734" t="s">
        <v>2739</v>
      </c>
      <c r="F2734" t="s"/>
      <c r="G2734" t="s"/>
      <c r="H2734" t="s"/>
      <c r="I2734" t="s"/>
      <c r="J2734" t="n">
        <v>0</v>
      </c>
      <c r="K2734" t="n">
        <v>0</v>
      </c>
      <c r="L2734" t="n">
        <v>1</v>
      </c>
      <c r="M2734" t="n">
        <v>0</v>
      </c>
    </row>
    <row r="2735" spans="1:13">
      <c r="A2735" s="1">
        <f>HYPERLINK("http://www.twitter.com/NathanBLawrence/status/794587636417499138", "794587636417499138")</f>
        <v/>
      </c>
      <c r="B2735" s="2" t="n">
        <v>42678.71561342593</v>
      </c>
      <c r="C2735" t="n">
        <v>0</v>
      </c>
      <c r="D2735" t="n">
        <v>2055</v>
      </c>
      <c r="E2735" t="s">
        <v>2740</v>
      </c>
      <c r="F2735">
        <f>HYPERLINK("http://pbs.twimg.com/media/Cwbgx4OXEAA43CT.jpg", "http://pbs.twimg.com/media/Cwbgx4OXEAA43CT.jpg")</f>
        <v/>
      </c>
      <c r="G2735" t="s"/>
      <c r="H2735" t="s"/>
      <c r="I2735" t="s"/>
      <c r="J2735" t="n">
        <v>-0.6705</v>
      </c>
      <c r="K2735" t="n">
        <v>0.224</v>
      </c>
      <c r="L2735" t="n">
        <v>0.776</v>
      </c>
      <c r="M2735" t="n">
        <v>0</v>
      </c>
    </row>
    <row r="2736" spans="1:13">
      <c r="A2736" s="1">
        <f>HYPERLINK("http://www.twitter.com/NathanBLawrence/status/794585757990129664", "794585757990129664")</f>
        <v/>
      </c>
      <c r="B2736" s="2" t="n">
        <v>42678.71043981481</v>
      </c>
      <c r="C2736" t="n">
        <v>0</v>
      </c>
      <c r="D2736" t="n">
        <v>3702</v>
      </c>
      <c r="E2736" t="s">
        <v>2741</v>
      </c>
      <c r="F2736" t="s"/>
      <c r="G2736" t="s"/>
      <c r="H2736" t="s"/>
      <c r="I2736" t="s"/>
      <c r="J2736" t="n">
        <v>-0.5859</v>
      </c>
      <c r="K2736" t="n">
        <v>0.22</v>
      </c>
      <c r="L2736" t="n">
        <v>0.78</v>
      </c>
      <c r="M2736" t="n">
        <v>0</v>
      </c>
    </row>
    <row r="2737" spans="1:13">
      <c r="A2737" s="1">
        <f>HYPERLINK("http://www.twitter.com/NathanBLawrence/status/794582453373595648", "794582453373595648")</f>
        <v/>
      </c>
      <c r="B2737" s="2" t="n">
        <v>42678.70131944444</v>
      </c>
      <c r="C2737" t="n">
        <v>0</v>
      </c>
      <c r="D2737" t="n">
        <v>10062</v>
      </c>
      <c r="E2737" t="s">
        <v>2742</v>
      </c>
      <c r="F2737" t="s"/>
      <c r="G2737" t="s"/>
      <c r="H2737" t="s"/>
      <c r="I2737" t="s"/>
      <c r="J2737" t="n">
        <v>0.8279</v>
      </c>
      <c r="K2737" t="n">
        <v>0</v>
      </c>
      <c r="L2737" t="n">
        <v>0.696</v>
      </c>
      <c r="M2737" t="n">
        <v>0.304</v>
      </c>
    </row>
    <row r="2738" spans="1:13">
      <c r="A2738" s="1">
        <f>HYPERLINK("http://www.twitter.com/NathanBLawrence/status/794582099080740864", "794582099080740864")</f>
        <v/>
      </c>
      <c r="B2738" s="2" t="n">
        <v>42678.70033564815</v>
      </c>
      <c r="C2738" t="n">
        <v>0</v>
      </c>
      <c r="D2738" t="n">
        <v>890</v>
      </c>
      <c r="E2738" t="s">
        <v>2743</v>
      </c>
      <c r="F2738" t="s"/>
      <c r="G2738" t="s"/>
      <c r="H2738" t="s"/>
      <c r="I2738" t="s"/>
      <c r="J2738" t="n">
        <v>0</v>
      </c>
      <c r="K2738" t="n">
        <v>0</v>
      </c>
      <c r="L2738" t="n">
        <v>1</v>
      </c>
      <c r="M2738" t="n">
        <v>0</v>
      </c>
    </row>
    <row r="2739" spans="1:13">
      <c r="A2739" s="1">
        <f>HYPERLINK("http://www.twitter.com/NathanBLawrence/status/794580410093211648", "794580410093211648")</f>
        <v/>
      </c>
      <c r="B2739" s="2" t="n">
        <v>42678.69568287037</v>
      </c>
      <c r="C2739" t="n">
        <v>0</v>
      </c>
      <c r="D2739" t="n">
        <v>2358</v>
      </c>
      <c r="E2739" t="s">
        <v>2744</v>
      </c>
      <c r="F2739">
        <f>HYPERLINK("http://pbs.twimg.com/media/CwboNX0UsAEY4OJ.jpg", "http://pbs.twimg.com/media/CwboNX0UsAEY4OJ.jpg")</f>
        <v/>
      </c>
      <c r="G2739" t="s"/>
      <c r="H2739" t="s"/>
      <c r="I2739" t="s"/>
      <c r="J2739" t="n">
        <v>0</v>
      </c>
      <c r="K2739" t="n">
        <v>0</v>
      </c>
      <c r="L2739" t="n">
        <v>1</v>
      </c>
      <c r="M2739" t="n">
        <v>0</v>
      </c>
    </row>
    <row r="2740" spans="1:13">
      <c r="A2740" s="1">
        <f>HYPERLINK("http://www.twitter.com/NathanBLawrence/status/794577266139426816", "794577266139426816")</f>
        <v/>
      </c>
      <c r="B2740" s="2" t="n">
        <v>42678.68700231481</v>
      </c>
      <c r="C2740" t="n">
        <v>0</v>
      </c>
      <c r="D2740" t="n">
        <v>11494</v>
      </c>
      <c r="E2740" t="s">
        <v>2745</v>
      </c>
      <c r="F2740">
        <f>HYPERLINK("https://video.twimg.com/amplify_video/794356625830199304/vid/640x360/NKCFPpg3vbXWHjZ2.mp4", "https://video.twimg.com/amplify_video/794356625830199304/vid/640x360/NKCFPpg3vbXWHjZ2.mp4")</f>
        <v/>
      </c>
      <c r="G2740" t="s"/>
      <c r="H2740" t="s"/>
      <c r="I2740" t="s"/>
      <c r="J2740" t="n">
        <v>-0.8668</v>
      </c>
      <c r="K2740" t="n">
        <v>0.327</v>
      </c>
      <c r="L2740" t="n">
        <v>0.673</v>
      </c>
      <c r="M2740" t="n">
        <v>0</v>
      </c>
    </row>
    <row r="2741" spans="1:13">
      <c r="A2741" s="1">
        <f>HYPERLINK("http://www.twitter.com/NathanBLawrence/status/794577209860227073", "794577209860227073")</f>
        <v/>
      </c>
      <c r="B2741" s="2" t="n">
        <v>42678.68685185185</v>
      </c>
      <c r="C2741" t="n">
        <v>0</v>
      </c>
      <c r="D2741" t="n">
        <v>7539</v>
      </c>
      <c r="E2741" t="s">
        <v>2746</v>
      </c>
      <c r="F2741" t="s"/>
      <c r="G2741" t="s"/>
      <c r="H2741" t="s"/>
      <c r="I2741" t="s"/>
      <c r="J2741" t="n">
        <v>0</v>
      </c>
      <c r="K2741" t="n">
        <v>0</v>
      </c>
      <c r="L2741" t="n">
        <v>1</v>
      </c>
      <c r="M2741" t="n">
        <v>0</v>
      </c>
    </row>
    <row r="2742" spans="1:13">
      <c r="A2742" s="1">
        <f>HYPERLINK("http://www.twitter.com/NathanBLawrence/status/794574975122276352", "794574975122276352")</f>
        <v/>
      </c>
      <c r="B2742" s="2" t="n">
        <v>42678.68068287037</v>
      </c>
      <c r="C2742" t="n">
        <v>0</v>
      </c>
      <c r="D2742" t="n">
        <v>7098</v>
      </c>
      <c r="E2742" t="s">
        <v>2747</v>
      </c>
      <c r="F2742" t="s"/>
      <c r="G2742" t="s"/>
      <c r="H2742" t="s"/>
      <c r="I2742" t="s"/>
      <c r="J2742" t="n">
        <v>0.5266999999999999</v>
      </c>
      <c r="K2742" t="n">
        <v>0</v>
      </c>
      <c r="L2742" t="n">
        <v>0.726</v>
      </c>
      <c r="M2742" t="n">
        <v>0.274</v>
      </c>
    </row>
    <row r="2743" spans="1:13">
      <c r="A2743" s="1">
        <f>HYPERLINK("http://www.twitter.com/NathanBLawrence/status/794573414123978752", "794573414123978752")</f>
        <v/>
      </c>
      <c r="B2743" s="2" t="n">
        <v>42678.67637731481</v>
      </c>
      <c r="C2743" t="n">
        <v>0</v>
      </c>
      <c r="D2743" t="n">
        <v>553</v>
      </c>
      <c r="E2743" t="s">
        <v>2748</v>
      </c>
      <c r="F2743">
        <f>HYPERLINK("http://pbs.twimg.com/media/CwZL5TKWIAAVX8t.jpg", "http://pbs.twimg.com/media/CwZL5TKWIAAVX8t.jpg")</f>
        <v/>
      </c>
      <c r="G2743" t="s"/>
      <c r="H2743" t="s"/>
      <c r="I2743" t="s"/>
      <c r="J2743" t="n">
        <v>-0.4019</v>
      </c>
      <c r="K2743" t="n">
        <v>0.209</v>
      </c>
      <c r="L2743" t="n">
        <v>0.664</v>
      </c>
      <c r="M2743" t="n">
        <v>0.128</v>
      </c>
    </row>
    <row r="2744" spans="1:13">
      <c r="A2744" s="1">
        <f>HYPERLINK("http://www.twitter.com/NathanBLawrence/status/794572644590841856", "794572644590841856")</f>
        <v/>
      </c>
      <c r="B2744" s="2" t="n">
        <v>42678.67424768519</v>
      </c>
      <c r="C2744" t="n">
        <v>0</v>
      </c>
      <c r="D2744" t="n">
        <v>3</v>
      </c>
      <c r="E2744" t="s">
        <v>2749</v>
      </c>
      <c r="F2744" t="s"/>
      <c r="G2744" t="s"/>
      <c r="H2744" t="s"/>
      <c r="I2744" t="s"/>
      <c r="J2744" t="n">
        <v>0.4215</v>
      </c>
      <c r="K2744" t="n">
        <v>0</v>
      </c>
      <c r="L2744" t="n">
        <v>0.859</v>
      </c>
      <c r="M2744" t="n">
        <v>0.141</v>
      </c>
    </row>
    <row r="2745" spans="1:13">
      <c r="A2745" s="1">
        <f>HYPERLINK("http://www.twitter.com/NathanBLawrence/status/794570138301272065", "794570138301272065")</f>
        <v/>
      </c>
      <c r="B2745" s="2" t="n">
        <v>42678.66733796296</v>
      </c>
      <c r="C2745" t="n">
        <v>0</v>
      </c>
      <c r="D2745" t="n">
        <v>68</v>
      </c>
      <c r="E2745" t="s">
        <v>2750</v>
      </c>
      <c r="F2745" t="s"/>
      <c r="G2745" t="s"/>
      <c r="H2745" t="s"/>
      <c r="I2745" t="s"/>
      <c r="J2745" t="n">
        <v>0</v>
      </c>
      <c r="K2745" t="n">
        <v>0</v>
      </c>
      <c r="L2745" t="n">
        <v>1</v>
      </c>
      <c r="M2745" t="n">
        <v>0</v>
      </c>
    </row>
    <row r="2746" spans="1:13">
      <c r="A2746" s="1">
        <f>HYPERLINK("http://www.twitter.com/NathanBLawrence/status/794570053370843136", "794570053370843136")</f>
        <v/>
      </c>
      <c r="B2746" s="2" t="n">
        <v>42678.66709490741</v>
      </c>
      <c r="C2746" t="n">
        <v>0</v>
      </c>
      <c r="D2746" t="n">
        <v>2129</v>
      </c>
      <c r="E2746" t="s">
        <v>2751</v>
      </c>
      <c r="F2746" t="s"/>
      <c r="G2746" t="s"/>
      <c r="H2746" t="s"/>
      <c r="I2746" t="s"/>
      <c r="J2746" t="n">
        <v>-0.7983</v>
      </c>
      <c r="K2746" t="n">
        <v>0.347</v>
      </c>
      <c r="L2746" t="n">
        <v>0.466</v>
      </c>
      <c r="M2746" t="n">
        <v>0.188</v>
      </c>
    </row>
    <row r="2747" spans="1:13">
      <c r="A2747" s="1">
        <f>HYPERLINK("http://www.twitter.com/NathanBLawrence/status/794569910428966912", "794569910428966912")</f>
        <v/>
      </c>
      <c r="B2747" s="2" t="n">
        <v>42678.66670138889</v>
      </c>
      <c r="C2747" t="n">
        <v>0</v>
      </c>
      <c r="D2747" t="n">
        <v>282</v>
      </c>
      <c r="E2747" t="s">
        <v>2752</v>
      </c>
      <c r="F2747">
        <f>HYPERLINK("http://pbs.twimg.com/media/CwbfD5wVQAAmacJ.jpg", "http://pbs.twimg.com/media/CwbfD5wVQAAmacJ.jpg")</f>
        <v/>
      </c>
      <c r="G2747" t="s"/>
      <c r="H2747" t="s"/>
      <c r="I2747" t="s"/>
      <c r="J2747" t="n">
        <v>0.4939</v>
      </c>
      <c r="K2747" t="n">
        <v>0</v>
      </c>
      <c r="L2747" t="n">
        <v>0.802</v>
      </c>
      <c r="M2747" t="n">
        <v>0.198</v>
      </c>
    </row>
    <row r="2748" spans="1:13">
      <c r="A2748" s="1">
        <f>HYPERLINK("http://www.twitter.com/NathanBLawrence/status/794569345573584896", "794569345573584896")</f>
        <v/>
      </c>
      <c r="B2748" s="2" t="n">
        <v>42678.66515046296</v>
      </c>
      <c r="C2748" t="n">
        <v>0</v>
      </c>
      <c r="D2748" t="n">
        <v>3256</v>
      </c>
      <c r="E2748" t="s">
        <v>2753</v>
      </c>
      <c r="F2748">
        <f>HYPERLINK("http://pbs.twimg.com/media/CwXuZJ0W8AIg6P3.jpg", "http://pbs.twimg.com/media/CwXuZJ0W8AIg6P3.jpg")</f>
        <v/>
      </c>
      <c r="G2748" t="s"/>
      <c r="H2748" t="s"/>
      <c r="I2748" t="s"/>
      <c r="J2748" t="n">
        <v>-0.8891</v>
      </c>
      <c r="K2748" t="n">
        <v>0.452</v>
      </c>
      <c r="L2748" t="n">
        <v>0.548</v>
      </c>
      <c r="M2748" t="n">
        <v>0</v>
      </c>
    </row>
    <row r="2749" spans="1:13">
      <c r="A2749" s="1">
        <f>HYPERLINK("http://www.twitter.com/NathanBLawrence/status/794566881306812416", "794566881306812416")</f>
        <v/>
      </c>
      <c r="B2749" s="2" t="n">
        <v>42678.65834490741</v>
      </c>
      <c r="C2749" t="n">
        <v>0</v>
      </c>
      <c r="D2749" t="n">
        <v>41</v>
      </c>
      <c r="E2749" t="s">
        <v>2754</v>
      </c>
      <c r="F2749" t="s"/>
      <c r="G2749" t="s"/>
      <c r="H2749" t="s"/>
      <c r="I2749" t="s"/>
      <c r="J2749" t="n">
        <v>0</v>
      </c>
      <c r="K2749" t="n">
        <v>0</v>
      </c>
      <c r="L2749" t="n">
        <v>1</v>
      </c>
      <c r="M2749" t="n">
        <v>0</v>
      </c>
    </row>
    <row r="2750" spans="1:13">
      <c r="A2750" s="1">
        <f>HYPERLINK("http://www.twitter.com/NathanBLawrence/status/794565938599247872", "794565938599247872")</f>
        <v/>
      </c>
      <c r="B2750" s="2" t="n">
        <v>42678.65574074074</v>
      </c>
      <c r="C2750" t="n">
        <v>0</v>
      </c>
      <c r="D2750" t="n">
        <v>189</v>
      </c>
      <c r="E2750" t="s">
        <v>2755</v>
      </c>
      <c r="F2750" t="s"/>
      <c r="G2750" t="s"/>
      <c r="H2750" t="s"/>
      <c r="I2750" t="s"/>
      <c r="J2750" t="n">
        <v>0</v>
      </c>
      <c r="K2750" t="n">
        <v>0</v>
      </c>
      <c r="L2750" t="n">
        <v>1</v>
      </c>
      <c r="M2750" t="n">
        <v>0</v>
      </c>
    </row>
    <row r="2751" spans="1:13">
      <c r="A2751" s="1">
        <f>HYPERLINK("http://www.twitter.com/NathanBLawrence/status/794564545968640000", "794564545968640000")</f>
        <v/>
      </c>
      <c r="B2751" s="2" t="n">
        <v>42678.65189814815</v>
      </c>
      <c r="C2751" t="n">
        <v>0</v>
      </c>
      <c r="D2751" t="n">
        <v>334</v>
      </c>
      <c r="E2751" t="s">
        <v>2756</v>
      </c>
      <c r="F2751" t="s"/>
      <c r="G2751" t="s"/>
      <c r="H2751" t="s"/>
      <c r="I2751" t="s"/>
      <c r="J2751" t="n">
        <v>0</v>
      </c>
      <c r="K2751" t="n">
        <v>0</v>
      </c>
      <c r="L2751" t="n">
        <v>1</v>
      </c>
      <c r="M2751" t="n">
        <v>0</v>
      </c>
    </row>
    <row r="2752" spans="1:13">
      <c r="A2752" s="1">
        <f>HYPERLINK("http://www.twitter.com/NathanBLawrence/status/794564082716114944", "794564082716114944")</f>
        <v/>
      </c>
      <c r="B2752" s="2" t="n">
        <v>42678.650625</v>
      </c>
      <c r="C2752" t="n">
        <v>0</v>
      </c>
      <c r="D2752" t="n">
        <v>5128</v>
      </c>
      <c r="E2752" t="s">
        <v>2757</v>
      </c>
      <c r="F2752" t="s"/>
      <c r="G2752" t="s"/>
      <c r="H2752" t="s"/>
      <c r="I2752" t="s"/>
      <c r="J2752" t="n">
        <v>-0.5859</v>
      </c>
      <c r="K2752" t="n">
        <v>0.29</v>
      </c>
      <c r="L2752" t="n">
        <v>0.552</v>
      </c>
      <c r="M2752" t="n">
        <v>0.159</v>
      </c>
    </row>
    <row r="2753" spans="1:13">
      <c r="A2753" s="1">
        <f>HYPERLINK("http://www.twitter.com/NathanBLawrence/status/794563582079877120", "794563582079877120")</f>
        <v/>
      </c>
      <c r="B2753" s="2" t="n">
        <v>42678.64923611111</v>
      </c>
      <c r="C2753" t="n">
        <v>0</v>
      </c>
      <c r="D2753" t="n">
        <v>488</v>
      </c>
      <c r="E2753" t="s">
        <v>2758</v>
      </c>
      <c r="F2753">
        <f>HYPERLINK("http://pbs.twimg.com/media/Cwa6w6yVQAExHyZ.jpg", "http://pbs.twimg.com/media/Cwa6w6yVQAExHyZ.jpg")</f>
        <v/>
      </c>
      <c r="G2753" t="s"/>
      <c r="H2753" t="s"/>
      <c r="I2753" t="s"/>
      <c r="J2753" t="n">
        <v>-0.5266999999999999</v>
      </c>
      <c r="K2753" t="n">
        <v>0.24</v>
      </c>
      <c r="L2753" t="n">
        <v>0.637</v>
      </c>
      <c r="M2753" t="n">
        <v>0.123</v>
      </c>
    </row>
    <row r="2754" spans="1:13">
      <c r="A2754" s="1">
        <f>HYPERLINK("http://www.twitter.com/NathanBLawrence/status/794563412382486528", "794563412382486528")</f>
        <v/>
      </c>
      <c r="B2754" s="2" t="n">
        <v>42678.64877314815</v>
      </c>
      <c r="C2754" t="n">
        <v>0</v>
      </c>
      <c r="D2754" t="n">
        <v>292</v>
      </c>
      <c r="E2754" t="s">
        <v>2759</v>
      </c>
      <c r="F2754">
        <f>HYPERLINK("http://pbs.twimg.com/media/CwbACT1XgAAS4pZ.jpg", "http://pbs.twimg.com/media/CwbACT1XgAAS4pZ.jpg")</f>
        <v/>
      </c>
      <c r="G2754" t="s"/>
      <c r="H2754" t="s"/>
      <c r="I2754" t="s"/>
      <c r="J2754" t="n">
        <v>-0.2732</v>
      </c>
      <c r="K2754" t="n">
        <v>0.095</v>
      </c>
      <c r="L2754" t="n">
        <v>0.905</v>
      </c>
      <c r="M2754" t="n">
        <v>0</v>
      </c>
    </row>
    <row r="2755" spans="1:13">
      <c r="A2755" s="1">
        <f>HYPERLINK("http://www.twitter.com/NathanBLawrence/status/794563290105950208", "794563290105950208")</f>
        <v/>
      </c>
      <c r="B2755" s="2" t="n">
        <v>42678.6484375</v>
      </c>
      <c r="C2755" t="n">
        <v>0</v>
      </c>
      <c r="D2755" t="n">
        <v>440</v>
      </c>
      <c r="E2755" t="s">
        <v>2760</v>
      </c>
      <c r="F2755" t="s"/>
      <c r="G2755" t="s"/>
      <c r="H2755" t="s"/>
      <c r="I2755" t="s"/>
      <c r="J2755" t="n">
        <v>-0.2924</v>
      </c>
      <c r="K2755" t="n">
        <v>0.08699999999999999</v>
      </c>
      <c r="L2755" t="n">
        <v>0.913</v>
      </c>
      <c r="M2755" t="n">
        <v>0</v>
      </c>
    </row>
    <row r="2756" spans="1:13">
      <c r="A2756" s="1">
        <f>HYPERLINK("http://www.twitter.com/NathanBLawrence/status/794562984890617856", "794562984890617856")</f>
        <v/>
      </c>
      <c r="B2756" s="2" t="n">
        <v>42678.64759259259</v>
      </c>
      <c r="C2756" t="n">
        <v>0</v>
      </c>
      <c r="D2756" t="n">
        <v>200</v>
      </c>
      <c r="E2756" t="s">
        <v>2761</v>
      </c>
      <c r="F2756">
        <f>HYPERLINK("http://pbs.twimg.com/media/CwbJcQiUcAAGoD-.jpg", "http://pbs.twimg.com/media/CwbJcQiUcAAGoD-.jpg")</f>
        <v/>
      </c>
      <c r="G2756" t="s"/>
      <c r="H2756" t="s"/>
      <c r="I2756" t="s"/>
      <c r="J2756" t="n">
        <v>-0.2244</v>
      </c>
      <c r="K2756" t="n">
        <v>0.167</v>
      </c>
      <c r="L2756" t="n">
        <v>0.711</v>
      </c>
      <c r="M2756" t="n">
        <v>0.122</v>
      </c>
    </row>
    <row r="2757" spans="1:13">
      <c r="A2757" s="1">
        <f>HYPERLINK("http://www.twitter.com/NathanBLawrence/status/794562858331668480", "794562858331668480")</f>
        <v/>
      </c>
      <c r="B2757" s="2" t="n">
        <v>42678.64724537037</v>
      </c>
      <c r="C2757" t="n">
        <v>0</v>
      </c>
      <c r="D2757" t="n">
        <v>191</v>
      </c>
      <c r="E2757" t="s">
        <v>2762</v>
      </c>
      <c r="F2757" t="s"/>
      <c r="G2757" t="s"/>
      <c r="H2757" t="s"/>
      <c r="I2757" t="s"/>
      <c r="J2757" t="n">
        <v>-0.7579</v>
      </c>
      <c r="K2757" t="n">
        <v>0.333</v>
      </c>
      <c r="L2757" t="n">
        <v>0.667</v>
      </c>
      <c r="M2757" t="n">
        <v>0</v>
      </c>
    </row>
    <row r="2758" spans="1:13">
      <c r="A2758" s="1">
        <f>HYPERLINK("http://www.twitter.com/NathanBLawrence/status/794562638109773826", "794562638109773826")</f>
        <v/>
      </c>
      <c r="B2758" s="2" t="n">
        <v>42678.64663194444</v>
      </c>
      <c r="C2758" t="n">
        <v>0</v>
      </c>
      <c r="D2758" t="n">
        <v>2923</v>
      </c>
      <c r="E2758" t="s">
        <v>2763</v>
      </c>
      <c r="F2758" t="s"/>
      <c r="G2758" t="s"/>
      <c r="H2758" t="s"/>
      <c r="I2758" t="s"/>
      <c r="J2758" t="n">
        <v>0</v>
      </c>
      <c r="K2758" t="n">
        <v>0</v>
      </c>
      <c r="L2758" t="n">
        <v>1</v>
      </c>
      <c r="M2758" t="n">
        <v>0</v>
      </c>
    </row>
    <row r="2759" spans="1:13">
      <c r="A2759" s="1">
        <f>HYPERLINK("http://www.twitter.com/NathanBLawrence/status/794561043011760128", "794561043011760128")</f>
        <v/>
      </c>
      <c r="B2759" s="2" t="n">
        <v>42678.64223379629</v>
      </c>
      <c r="C2759" t="n">
        <v>0</v>
      </c>
      <c r="D2759" t="n">
        <v>1522</v>
      </c>
      <c r="E2759" t="s">
        <v>2764</v>
      </c>
      <c r="F2759">
        <f>HYPERLINK("http://pbs.twimg.com/media/CwbKz3KXUAAFOal.jpg", "http://pbs.twimg.com/media/CwbKz3KXUAAFOal.jpg")</f>
        <v/>
      </c>
      <c r="G2759" t="s"/>
      <c r="H2759" t="s"/>
      <c r="I2759" t="s"/>
      <c r="J2759" t="n">
        <v>-0.3182</v>
      </c>
      <c r="K2759" t="n">
        <v>0.161</v>
      </c>
      <c r="L2759" t="n">
        <v>0.839</v>
      </c>
      <c r="M2759" t="n">
        <v>0</v>
      </c>
    </row>
    <row r="2760" spans="1:13">
      <c r="A2760" s="1">
        <f>HYPERLINK("http://www.twitter.com/NathanBLawrence/status/794557052785987584", "794557052785987584")</f>
        <v/>
      </c>
      <c r="B2760" s="2" t="n">
        <v>42678.63122685185</v>
      </c>
      <c r="C2760" t="n">
        <v>0</v>
      </c>
      <c r="D2760" t="n">
        <v>1937</v>
      </c>
      <c r="E2760" t="s">
        <v>2765</v>
      </c>
      <c r="F2760" t="s"/>
      <c r="G2760" t="s"/>
      <c r="H2760" t="s"/>
      <c r="I2760" t="s"/>
      <c r="J2760" t="n">
        <v>-0.5106000000000001</v>
      </c>
      <c r="K2760" t="n">
        <v>0.235</v>
      </c>
      <c r="L2760" t="n">
        <v>0.765</v>
      </c>
      <c r="M2760" t="n">
        <v>0</v>
      </c>
    </row>
    <row r="2761" spans="1:13">
      <c r="A2761" s="1">
        <f>HYPERLINK("http://www.twitter.com/NathanBLawrence/status/794556907818274816", "794556907818274816")</f>
        <v/>
      </c>
      <c r="B2761" s="2" t="n">
        <v>42678.63082175926</v>
      </c>
      <c r="C2761" t="n">
        <v>0</v>
      </c>
      <c r="D2761" t="n">
        <v>4781</v>
      </c>
      <c r="E2761" t="s">
        <v>2766</v>
      </c>
      <c r="F2761">
        <f>HYPERLINK("https://video.twimg.com/amplify_video/794506188209537024/vid/1280x720/0HF9Lr2jaPm-GLF5.mp4", "https://video.twimg.com/amplify_video/794506188209537024/vid/1280x720/0HF9Lr2jaPm-GLF5.mp4")</f>
        <v/>
      </c>
      <c r="G2761" t="s"/>
      <c r="H2761" t="s"/>
      <c r="I2761" t="s"/>
      <c r="J2761" t="n">
        <v>0</v>
      </c>
      <c r="K2761" t="n">
        <v>0</v>
      </c>
      <c r="L2761" t="n">
        <v>1</v>
      </c>
      <c r="M2761" t="n">
        <v>0</v>
      </c>
    </row>
    <row r="2762" spans="1:13">
      <c r="A2762" s="1">
        <f>HYPERLINK("http://www.twitter.com/NathanBLawrence/status/794556832194949120", "794556832194949120")</f>
        <v/>
      </c>
      <c r="B2762" s="2" t="n">
        <v>42678.63061342593</v>
      </c>
      <c r="C2762" t="n">
        <v>0</v>
      </c>
      <c r="D2762" t="n">
        <v>169</v>
      </c>
      <c r="E2762" t="s">
        <v>2767</v>
      </c>
      <c r="F2762">
        <f>HYPERLINK("http://pbs.twimg.com/media/CwbN29cXgAEljhK.jpg", "http://pbs.twimg.com/media/CwbN29cXgAEljhK.jpg")</f>
        <v/>
      </c>
      <c r="G2762" t="s"/>
      <c r="H2762" t="s"/>
      <c r="I2762" t="s"/>
      <c r="J2762" t="n">
        <v>-0.1129</v>
      </c>
      <c r="K2762" t="n">
        <v>0.083</v>
      </c>
      <c r="L2762" t="n">
        <v>0.856</v>
      </c>
      <c r="M2762" t="n">
        <v>0.062</v>
      </c>
    </row>
    <row r="2763" spans="1:13">
      <c r="A2763" s="1">
        <f>HYPERLINK("http://www.twitter.com/NathanBLawrence/status/794556176746905601", "794556176746905601")</f>
        <v/>
      </c>
      <c r="B2763" s="2" t="n">
        <v>42678.62880787037</v>
      </c>
      <c r="C2763" t="n">
        <v>0</v>
      </c>
      <c r="D2763" t="n">
        <v>525</v>
      </c>
      <c r="E2763" t="s">
        <v>2768</v>
      </c>
      <c r="F2763">
        <f>HYPERLINK("http://pbs.twimg.com/media/CwbOw9WUsAAs_vy.jpg", "http://pbs.twimg.com/media/CwbOw9WUsAAs_vy.jpg")</f>
        <v/>
      </c>
      <c r="G2763" t="s"/>
      <c r="H2763" t="s"/>
      <c r="I2763" t="s"/>
      <c r="J2763" t="n">
        <v>0</v>
      </c>
      <c r="K2763" t="n">
        <v>0</v>
      </c>
      <c r="L2763" t="n">
        <v>1</v>
      </c>
      <c r="M2763" t="n">
        <v>0</v>
      </c>
    </row>
    <row r="2764" spans="1:13">
      <c r="A2764" s="1">
        <f>HYPERLINK("http://www.twitter.com/NathanBLawrence/status/794556036044746756", "794556036044746756")</f>
        <v/>
      </c>
      <c r="B2764" s="2" t="n">
        <v>42678.62841435185</v>
      </c>
      <c r="C2764" t="n">
        <v>0</v>
      </c>
      <c r="D2764" t="n">
        <v>2706</v>
      </c>
      <c r="E2764" t="s">
        <v>2769</v>
      </c>
      <c r="F2764" t="s"/>
      <c r="G2764" t="s"/>
      <c r="H2764" t="s"/>
      <c r="I2764" t="s"/>
      <c r="J2764" t="n">
        <v>0</v>
      </c>
      <c r="K2764" t="n">
        <v>0</v>
      </c>
      <c r="L2764" t="n">
        <v>1</v>
      </c>
      <c r="M2764" t="n">
        <v>0</v>
      </c>
    </row>
    <row r="2765" spans="1:13">
      <c r="A2765" s="1">
        <f>HYPERLINK("http://www.twitter.com/NathanBLawrence/status/794554982754304000", "794554982754304000")</f>
        <v/>
      </c>
      <c r="B2765" s="2" t="n">
        <v>42678.62550925926</v>
      </c>
      <c r="C2765" t="n">
        <v>0</v>
      </c>
      <c r="D2765" t="n">
        <v>3506</v>
      </c>
      <c r="E2765" t="s">
        <v>2770</v>
      </c>
      <c r="F2765" t="s"/>
      <c r="G2765" t="s"/>
      <c r="H2765" t="s"/>
      <c r="I2765" t="s"/>
      <c r="J2765" t="n">
        <v>0.1779</v>
      </c>
      <c r="K2765" t="n">
        <v>0</v>
      </c>
      <c r="L2765" t="n">
        <v>0.9340000000000001</v>
      </c>
      <c r="M2765" t="n">
        <v>0.066</v>
      </c>
    </row>
    <row r="2766" spans="1:13">
      <c r="A2766" s="1">
        <f>HYPERLINK("http://www.twitter.com/NathanBLawrence/status/794554749462974464", "794554749462974464")</f>
        <v/>
      </c>
      <c r="B2766" s="2" t="n">
        <v>42678.62487268518</v>
      </c>
      <c r="C2766" t="n">
        <v>0</v>
      </c>
      <c r="D2766" t="n">
        <v>110</v>
      </c>
      <c r="E2766" t="s">
        <v>2771</v>
      </c>
      <c r="F2766">
        <f>HYPERLINK("https://video.twimg.com/ext_tw_video/794548221712433152/pu/vid/640x360/M0gp8pRiUpJWOIga.mp4", "https://video.twimg.com/ext_tw_video/794548221712433152/pu/vid/640x360/M0gp8pRiUpJWOIga.mp4")</f>
        <v/>
      </c>
      <c r="G2766" t="s"/>
      <c r="H2766" t="s"/>
      <c r="I2766" t="s"/>
      <c r="J2766" t="n">
        <v>-0.6808999999999999</v>
      </c>
      <c r="K2766" t="n">
        <v>0.271</v>
      </c>
      <c r="L2766" t="n">
        <v>0.594</v>
      </c>
      <c r="M2766" t="n">
        <v>0.135</v>
      </c>
    </row>
    <row r="2767" spans="1:13">
      <c r="A2767" s="1">
        <f>HYPERLINK("http://www.twitter.com/NathanBLawrence/status/794554494289932288", "794554494289932288")</f>
        <v/>
      </c>
      <c r="B2767" s="2" t="n">
        <v>42678.62416666667</v>
      </c>
      <c r="C2767" t="n">
        <v>0</v>
      </c>
      <c r="D2767" t="n">
        <v>5854</v>
      </c>
      <c r="E2767" t="s">
        <v>2772</v>
      </c>
      <c r="F2767">
        <f>HYPERLINK("http://pbs.twimg.com/media/CwaQIxIWEAA1_lo.jpg", "http://pbs.twimg.com/media/CwaQIxIWEAA1_lo.jpg")</f>
        <v/>
      </c>
      <c r="G2767" t="s"/>
      <c r="H2767" t="s"/>
      <c r="I2767" t="s"/>
      <c r="J2767" t="n">
        <v>0</v>
      </c>
      <c r="K2767" t="n">
        <v>0</v>
      </c>
      <c r="L2767" t="n">
        <v>1</v>
      </c>
      <c r="M2767" t="n">
        <v>0</v>
      </c>
    </row>
    <row r="2768" spans="1:13">
      <c r="A2768" s="1">
        <f>HYPERLINK("http://www.twitter.com/NathanBLawrence/status/794554335522852868", "794554335522852868")</f>
        <v/>
      </c>
      <c r="B2768" s="2" t="n">
        <v>42678.62372685185</v>
      </c>
      <c r="C2768" t="n">
        <v>0</v>
      </c>
      <c r="D2768" t="n">
        <v>5931</v>
      </c>
      <c r="E2768" t="s">
        <v>2773</v>
      </c>
      <c r="F2768" t="s"/>
      <c r="G2768" t="s"/>
      <c r="H2768" t="s"/>
      <c r="I2768" t="s"/>
      <c r="J2768" t="n">
        <v>0</v>
      </c>
      <c r="K2768" t="n">
        <v>0</v>
      </c>
      <c r="L2768" t="n">
        <v>1</v>
      </c>
      <c r="M2768" t="n">
        <v>0</v>
      </c>
    </row>
    <row r="2769" spans="1:13">
      <c r="A2769" s="1">
        <f>HYPERLINK("http://www.twitter.com/NathanBLawrence/status/794554014658625537", "794554014658625537")</f>
        <v/>
      </c>
      <c r="B2769" s="2" t="n">
        <v>42678.62283564815</v>
      </c>
      <c r="C2769" t="n">
        <v>0</v>
      </c>
      <c r="D2769" t="n">
        <v>204</v>
      </c>
      <c r="E2769" t="s">
        <v>2774</v>
      </c>
      <c r="F2769">
        <f>HYPERLINK("http://pbs.twimg.com/media/CwbJIF9WgAInI0G.jpg", "http://pbs.twimg.com/media/CwbJIF9WgAInI0G.jpg")</f>
        <v/>
      </c>
      <c r="G2769" t="s"/>
      <c r="H2769" t="s"/>
      <c r="I2769" t="s"/>
      <c r="J2769" t="n">
        <v>0</v>
      </c>
      <c r="K2769" t="n">
        <v>0</v>
      </c>
      <c r="L2769" t="n">
        <v>1</v>
      </c>
      <c r="M2769" t="n">
        <v>0</v>
      </c>
    </row>
    <row r="2770" spans="1:13">
      <c r="A2770" s="1">
        <f>HYPERLINK("http://www.twitter.com/NathanBLawrence/status/794553896232505344", "794553896232505344")</f>
        <v/>
      </c>
      <c r="B2770" s="2" t="n">
        <v>42678.62251157407</v>
      </c>
      <c r="C2770" t="n">
        <v>0</v>
      </c>
      <c r="D2770" t="n">
        <v>109</v>
      </c>
      <c r="E2770" t="s">
        <v>2775</v>
      </c>
      <c r="F2770">
        <f>HYPERLINK("http://pbs.twimg.com/media/CwbL5ufXUAAhrQF.jpg", "http://pbs.twimg.com/media/CwbL5ufXUAAhrQF.jpg")</f>
        <v/>
      </c>
      <c r="G2770" t="s"/>
      <c r="H2770" t="s"/>
      <c r="I2770" t="s"/>
      <c r="J2770" t="n">
        <v>-0.1406</v>
      </c>
      <c r="K2770" t="n">
        <v>0.06900000000000001</v>
      </c>
      <c r="L2770" t="n">
        <v>0.931</v>
      </c>
      <c r="M2770" t="n">
        <v>0</v>
      </c>
    </row>
    <row r="2771" spans="1:13">
      <c r="A2771" s="1">
        <f>HYPERLINK("http://www.twitter.com/NathanBLawrence/status/794547710766387200", "794547710766387200")</f>
        <v/>
      </c>
      <c r="B2771" s="2" t="n">
        <v>42678.60543981481</v>
      </c>
      <c r="C2771" t="n">
        <v>0</v>
      </c>
      <c r="D2771" t="n">
        <v>2188</v>
      </c>
      <c r="E2771" t="s">
        <v>2776</v>
      </c>
      <c r="F2771" t="s"/>
      <c r="G2771" t="s"/>
      <c r="H2771" t="s"/>
      <c r="I2771" t="s"/>
      <c r="J2771" t="n">
        <v>0.2023</v>
      </c>
      <c r="K2771" t="n">
        <v>0</v>
      </c>
      <c r="L2771" t="n">
        <v>0.924</v>
      </c>
      <c r="M2771" t="n">
        <v>0.076</v>
      </c>
    </row>
    <row r="2772" spans="1:13">
      <c r="A2772" s="1">
        <f>HYPERLINK("http://www.twitter.com/NathanBLawrence/status/794547600594567168", "794547600594567168")</f>
        <v/>
      </c>
      <c r="B2772" s="2" t="n">
        <v>42678.60513888889</v>
      </c>
      <c r="C2772" t="n">
        <v>0</v>
      </c>
      <c r="D2772" t="n">
        <v>3887</v>
      </c>
      <c r="E2772" t="s">
        <v>2777</v>
      </c>
      <c r="F2772">
        <f>HYPERLINK("http://pbs.twimg.com/media/CwbLr3SXAAALQYQ.jpg", "http://pbs.twimg.com/media/CwbLr3SXAAALQYQ.jpg")</f>
        <v/>
      </c>
      <c r="G2772" t="s"/>
      <c r="H2772" t="s"/>
      <c r="I2772" t="s"/>
      <c r="J2772" t="n">
        <v>-0.3818</v>
      </c>
      <c r="K2772" t="n">
        <v>0.175</v>
      </c>
      <c r="L2772" t="n">
        <v>0.825</v>
      </c>
      <c r="M2772" t="n">
        <v>0</v>
      </c>
    </row>
    <row r="2773" spans="1:13">
      <c r="A2773" s="1">
        <f>HYPERLINK("http://www.twitter.com/NathanBLawrence/status/794541419251703808", "794541419251703808")</f>
        <v/>
      </c>
      <c r="B2773" s="2" t="n">
        <v>42678.5880787037</v>
      </c>
      <c r="C2773" t="n">
        <v>0</v>
      </c>
      <c r="D2773" t="n">
        <v>448</v>
      </c>
      <c r="E2773" t="s">
        <v>2778</v>
      </c>
      <c r="F2773">
        <f>HYPERLINK("http://pbs.twimg.com/media/CwaWKyuWEAAizf0.jpg", "http://pbs.twimg.com/media/CwaWKyuWEAAizf0.jpg")</f>
        <v/>
      </c>
      <c r="G2773" t="s"/>
      <c r="H2773" t="s"/>
      <c r="I2773" t="s"/>
      <c r="J2773" t="n">
        <v>-0.7717000000000001</v>
      </c>
      <c r="K2773" t="n">
        <v>0.233</v>
      </c>
      <c r="L2773" t="n">
        <v>0.767</v>
      </c>
      <c r="M2773" t="n">
        <v>0</v>
      </c>
    </row>
    <row r="2774" spans="1:13">
      <c r="A2774" s="1">
        <f>HYPERLINK("http://www.twitter.com/NathanBLawrence/status/794541078607036416", "794541078607036416")</f>
        <v/>
      </c>
      <c r="B2774" s="2" t="n">
        <v>42678.5871412037</v>
      </c>
      <c r="C2774" t="n">
        <v>0</v>
      </c>
      <c r="D2774" t="n">
        <v>1105</v>
      </c>
      <c r="E2774" t="s">
        <v>2779</v>
      </c>
      <c r="F2774" t="s"/>
      <c r="G2774" t="s"/>
      <c r="H2774" t="s"/>
      <c r="I2774" t="s"/>
      <c r="J2774" t="n">
        <v>0</v>
      </c>
      <c r="K2774" t="n">
        <v>0</v>
      </c>
      <c r="L2774" t="n">
        <v>1</v>
      </c>
      <c r="M2774" t="n">
        <v>0</v>
      </c>
    </row>
    <row r="2775" spans="1:13">
      <c r="A2775" s="1">
        <f>HYPERLINK("http://www.twitter.com/NathanBLawrence/status/794541047799914496", "794541047799914496")</f>
        <v/>
      </c>
      <c r="B2775" s="2" t="n">
        <v>42678.58706018519</v>
      </c>
      <c r="C2775" t="n">
        <v>0</v>
      </c>
      <c r="D2775" t="n">
        <v>3246</v>
      </c>
      <c r="E2775" t="s">
        <v>2780</v>
      </c>
      <c r="F2775" t="s"/>
      <c r="G2775" t="s"/>
      <c r="H2775" t="s"/>
      <c r="I2775" t="s"/>
      <c r="J2775" t="n">
        <v>-0.3818</v>
      </c>
      <c r="K2775" t="n">
        <v>0.115</v>
      </c>
      <c r="L2775" t="n">
        <v>0.885</v>
      </c>
      <c r="M2775" t="n">
        <v>0</v>
      </c>
    </row>
    <row r="2776" spans="1:13">
      <c r="A2776" s="1">
        <f>HYPERLINK("http://www.twitter.com/NathanBLawrence/status/794540970784092160", "794540970784092160")</f>
        <v/>
      </c>
      <c r="B2776" s="2" t="n">
        <v>42678.58684027778</v>
      </c>
      <c r="C2776" t="n">
        <v>0</v>
      </c>
      <c r="D2776" t="n">
        <v>1282</v>
      </c>
      <c r="E2776" t="s">
        <v>2781</v>
      </c>
      <c r="F2776">
        <f>HYPERLINK("http://pbs.twimg.com/media/CwazxoSWEAApl6o.jpg", "http://pbs.twimg.com/media/CwazxoSWEAApl6o.jpg")</f>
        <v/>
      </c>
      <c r="G2776">
        <f>HYPERLINK("http://pbs.twimg.com/media/CwazxrmW8AAStbe.jpg", "http://pbs.twimg.com/media/CwazxrmW8AAStbe.jpg")</f>
        <v/>
      </c>
      <c r="H2776" t="s"/>
      <c r="I2776" t="s"/>
      <c r="J2776" t="n">
        <v>-0.2023</v>
      </c>
      <c r="K2776" t="n">
        <v>0.218</v>
      </c>
      <c r="L2776" t="n">
        <v>0.648</v>
      </c>
      <c r="M2776" t="n">
        <v>0.134</v>
      </c>
    </row>
    <row r="2777" spans="1:13">
      <c r="A2777" s="1">
        <f>HYPERLINK("http://www.twitter.com/NathanBLawrence/status/794540546781888512", "794540546781888512")</f>
        <v/>
      </c>
      <c r="B2777" s="2" t="n">
        <v>42678.5856712963</v>
      </c>
      <c r="C2777" t="n">
        <v>0</v>
      </c>
      <c r="D2777" t="n">
        <v>2416</v>
      </c>
      <c r="E2777" t="s">
        <v>2782</v>
      </c>
      <c r="F2777" t="s"/>
      <c r="G2777" t="s"/>
      <c r="H2777" t="s"/>
      <c r="I2777" t="s"/>
      <c r="J2777" t="n">
        <v>0.743</v>
      </c>
      <c r="K2777" t="n">
        <v>0</v>
      </c>
      <c r="L2777" t="n">
        <v>0.741</v>
      </c>
      <c r="M2777" t="n">
        <v>0.259</v>
      </c>
    </row>
    <row r="2778" spans="1:13">
      <c r="A2778" s="1">
        <f>HYPERLINK("http://www.twitter.com/NathanBLawrence/status/794540187506221056", "794540187506221056")</f>
        <v/>
      </c>
      <c r="B2778" s="2" t="n">
        <v>42678.5846875</v>
      </c>
      <c r="C2778" t="n">
        <v>0</v>
      </c>
      <c r="D2778" t="n">
        <v>7926</v>
      </c>
      <c r="E2778" t="s">
        <v>2783</v>
      </c>
      <c r="F2778" t="s"/>
      <c r="G2778" t="s"/>
      <c r="H2778" t="s"/>
      <c r="I2778" t="s"/>
      <c r="J2778" t="n">
        <v>-0.4939</v>
      </c>
      <c r="K2778" t="n">
        <v>0.262</v>
      </c>
      <c r="L2778" t="n">
        <v>0.738</v>
      </c>
      <c r="M2778" t="n">
        <v>0</v>
      </c>
    </row>
    <row r="2779" spans="1:13">
      <c r="A2779" s="1">
        <f>HYPERLINK("http://www.twitter.com/NathanBLawrence/status/794539982396407808", "794539982396407808")</f>
        <v/>
      </c>
      <c r="B2779" s="2" t="n">
        <v>42678.58412037037</v>
      </c>
      <c r="C2779" t="n">
        <v>0</v>
      </c>
      <c r="D2779" t="n">
        <v>3686</v>
      </c>
      <c r="E2779" t="s">
        <v>2784</v>
      </c>
      <c r="F2779" t="s"/>
      <c r="G2779" t="s"/>
      <c r="H2779" t="s"/>
      <c r="I2779" t="s"/>
      <c r="J2779" t="n">
        <v>0</v>
      </c>
      <c r="K2779" t="n">
        <v>0</v>
      </c>
      <c r="L2779" t="n">
        <v>1</v>
      </c>
      <c r="M2779" t="n">
        <v>0</v>
      </c>
    </row>
    <row r="2780" spans="1:13">
      <c r="A2780" s="1">
        <f>HYPERLINK("http://www.twitter.com/NathanBLawrence/status/794539585137061888", "794539585137061888")</f>
        <v/>
      </c>
      <c r="B2780" s="2" t="n">
        <v>42678.58302083334</v>
      </c>
      <c r="C2780" t="n">
        <v>0</v>
      </c>
      <c r="D2780" t="n">
        <v>8</v>
      </c>
      <c r="E2780" t="s">
        <v>2785</v>
      </c>
      <c r="F2780" t="s"/>
      <c r="G2780" t="s"/>
      <c r="H2780" t="s"/>
      <c r="I2780" t="s"/>
      <c r="J2780" t="n">
        <v>0.4927</v>
      </c>
      <c r="K2780" t="n">
        <v>0</v>
      </c>
      <c r="L2780" t="n">
        <v>0.803</v>
      </c>
      <c r="M2780" t="n">
        <v>0.197</v>
      </c>
    </row>
    <row r="2781" spans="1:13">
      <c r="A2781" s="1">
        <f>HYPERLINK("http://www.twitter.com/NathanBLawrence/status/794538491572994049", "794538491572994049")</f>
        <v/>
      </c>
      <c r="B2781" s="2" t="n">
        <v>42678.58</v>
      </c>
      <c r="C2781" t="n">
        <v>0</v>
      </c>
      <c r="D2781" t="n">
        <v>1007</v>
      </c>
      <c r="E2781" t="s">
        <v>2786</v>
      </c>
      <c r="F2781" t="s"/>
      <c r="G2781" t="s"/>
      <c r="H2781" t="s"/>
      <c r="I2781" t="s"/>
      <c r="J2781" t="n">
        <v>-0.4939</v>
      </c>
      <c r="K2781" t="n">
        <v>0.192</v>
      </c>
      <c r="L2781" t="n">
        <v>0.759</v>
      </c>
      <c r="M2781" t="n">
        <v>0.049</v>
      </c>
    </row>
    <row r="2782" spans="1:13">
      <c r="A2782" s="1">
        <f>HYPERLINK("http://www.twitter.com/NathanBLawrence/status/794538457783644160", "794538457783644160")</f>
        <v/>
      </c>
      <c r="B2782" s="2" t="n">
        <v>42678.57990740741</v>
      </c>
      <c r="C2782" t="n">
        <v>0</v>
      </c>
      <c r="D2782" t="n">
        <v>1293</v>
      </c>
      <c r="E2782" t="s">
        <v>2787</v>
      </c>
      <c r="F2782" t="s"/>
      <c r="G2782" t="s"/>
      <c r="H2782" t="s"/>
      <c r="I2782" t="s"/>
      <c r="J2782" t="n">
        <v>-0.4404</v>
      </c>
      <c r="K2782" t="n">
        <v>0.121</v>
      </c>
      <c r="L2782" t="n">
        <v>0.879</v>
      </c>
      <c r="M2782" t="n">
        <v>0</v>
      </c>
    </row>
    <row r="2783" spans="1:13">
      <c r="A2783" s="1">
        <f>HYPERLINK("http://www.twitter.com/NathanBLawrence/status/794538368268783616", "794538368268783616")</f>
        <v/>
      </c>
      <c r="B2783" s="2" t="n">
        <v>42678.57966435186</v>
      </c>
      <c r="C2783" t="n">
        <v>0</v>
      </c>
      <c r="D2783" t="n">
        <v>850</v>
      </c>
      <c r="E2783" t="s">
        <v>2788</v>
      </c>
      <c r="F2783" t="s"/>
      <c r="G2783" t="s"/>
      <c r="H2783" t="s"/>
      <c r="I2783" t="s"/>
      <c r="J2783" t="n">
        <v>-0.5423</v>
      </c>
      <c r="K2783" t="n">
        <v>0.176</v>
      </c>
      <c r="L2783" t="n">
        <v>0.824</v>
      </c>
      <c r="M2783" t="n">
        <v>0</v>
      </c>
    </row>
    <row r="2784" spans="1:13">
      <c r="A2784" s="1">
        <f>HYPERLINK("http://www.twitter.com/NathanBLawrence/status/794538321720451072", "794538321720451072")</f>
        <v/>
      </c>
      <c r="B2784" s="2" t="n">
        <v>42678.57953703704</v>
      </c>
      <c r="C2784" t="n">
        <v>0</v>
      </c>
      <c r="D2784" t="n">
        <v>544</v>
      </c>
      <c r="E2784" t="s">
        <v>2789</v>
      </c>
      <c r="F2784" t="s"/>
      <c r="G2784" t="s"/>
      <c r="H2784" t="s"/>
      <c r="I2784" t="s"/>
      <c r="J2784" t="n">
        <v>-0.2263</v>
      </c>
      <c r="K2784" t="n">
        <v>0.083</v>
      </c>
      <c r="L2784" t="n">
        <v>0.917</v>
      </c>
      <c r="M2784" t="n">
        <v>0</v>
      </c>
    </row>
    <row r="2785" spans="1:13">
      <c r="A2785" s="1">
        <f>HYPERLINK("http://www.twitter.com/NathanBLawrence/status/794538100311502848", "794538100311502848")</f>
        <v/>
      </c>
      <c r="B2785" s="2" t="n">
        <v>42678.57892361111</v>
      </c>
      <c r="C2785" t="n">
        <v>0</v>
      </c>
      <c r="D2785" t="n">
        <v>31</v>
      </c>
      <c r="E2785" t="s">
        <v>2790</v>
      </c>
      <c r="F2785" t="s"/>
      <c r="G2785" t="s"/>
      <c r="H2785" t="s"/>
      <c r="I2785" t="s"/>
      <c r="J2785" t="n">
        <v>0.4118</v>
      </c>
      <c r="K2785" t="n">
        <v>0.125</v>
      </c>
      <c r="L2785" t="n">
        <v>0.659</v>
      </c>
      <c r="M2785" t="n">
        <v>0.216</v>
      </c>
    </row>
    <row r="2786" spans="1:13">
      <c r="A2786" s="1">
        <f>HYPERLINK("http://www.twitter.com/NathanBLawrence/status/794536392478949376", "794536392478949376")</f>
        <v/>
      </c>
      <c r="B2786" s="2" t="n">
        <v>42678.57421296297</v>
      </c>
      <c r="C2786" t="n">
        <v>0</v>
      </c>
      <c r="D2786" t="n">
        <v>11</v>
      </c>
      <c r="E2786" t="s">
        <v>2791</v>
      </c>
      <c r="F2786" t="s"/>
      <c r="G2786" t="s"/>
      <c r="H2786" t="s"/>
      <c r="I2786" t="s"/>
      <c r="J2786" t="n">
        <v>-0.4404</v>
      </c>
      <c r="K2786" t="n">
        <v>0.108</v>
      </c>
      <c r="L2786" t="n">
        <v>0.892</v>
      </c>
      <c r="M2786" t="n">
        <v>0</v>
      </c>
    </row>
    <row r="2787" spans="1:13">
      <c r="A2787" s="1">
        <f>HYPERLINK("http://www.twitter.com/NathanBLawrence/status/794535797357625344", "794535797357625344")</f>
        <v/>
      </c>
      <c r="B2787" s="2" t="n">
        <v>42678.57256944444</v>
      </c>
      <c r="C2787" t="n">
        <v>0</v>
      </c>
      <c r="D2787" t="n">
        <v>331</v>
      </c>
      <c r="E2787" t="s">
        <v>2792</v>
      </c>
      <c r="F2787" t="s"/>
      <c r="G2787" t="s"/>
      <c r="H2787" t="s"/>
      <c r="I2787" t="s"/>
      <c r="J2787" t="n">
        <v>0.4215</v>
      </c>
      <c r="K2787" t="n">
        <v>0</v>
      </c>
      <c r="L2787" t="n">
        <v>0.865</v>
      </c>
      <c r="M2787" t="n">
        <v>0.135</v>
      </c>
    </row>
    <row r="2788" spans="1:13">
      <c r="A2788" s="1">
        <f>HYPERLINK("http://www.twitter.com/NathanBLawrence/status/794535054873534464", "794535054873534464")</f>
        <v/>
      </c>
      <c r="B2788" s="2" t="n">
        <v>42678.57052083333</v>
      </c>
      <c r="C2788" t="n">
        <v>0</v>
      </c>
      <c r="D2788" t="n">
        <v>346</v>
      </c>
      <c r="E2788" t="s">
        <v>2793</v>
      </c>
      <c r="F2788">
        <f>HYPERLINK("http://pbs.twimg.com/media/Cwa-WTqUoAAEVWd.jpg", "http://pbs.twimg.com/media/Cwa-WTqUoAAEVWd.jpg")</f>
        <v/>
      </c>
      <c r="G2788" t="s"/>
      <c r="H2788" t="s"/>
      <c r="I2788" t="s"/>
      <c r="J2788" t="n">
        <v>0</v>
      </c>
      <c r="K2788" t="n">
        <v>0</v>
      </c>
      <c r="L2788" t="n">
        <v>1</v>
      </c>
      <c r="M2788" t="n">
        <v>0</v>
      </c>
    </row>
    <row r="2789" spans="1:13">
      <c r="A2789" s="1">
        <f>HYPERLINK("http://www.twitter.com/NathanBLawrence/status/794533472354336768", "794533472354336768")</f>
        <v/>
      </c>
      <c r="B2789" s="2" t="n">
        <v>42678.5661574074</v>
      </c>
      <c r="C2789" t="n">
        <v>0</v>
      </c>
      <c r="D2789" t="n">
        <v>2748</v>
      </c>
      <c r="E2789" t="s">
        <v>2794</v>
      </c>
      <c r="F2789">
        <f>HYPERLINK("http://pbs.twimg.com/media/CwZM5zzW8AAp9fW.jpg", "http://pbs.twimg.com/media/CwZM5zzW8AAp9fW.jpg")</f>
        <v/>
      </c>
      <c r="G2789" t="s"/>
      <c r="H2789" t="s"/>
      <c r="I2789" t="s"/>
      <c r="J2789" t="n">
        <v>0</v>
      </c>
      <c r="K2789" t="n">
        <v>0</v>
      </c>
      <c r="L2789" t="n">
        <v>1</v>
      </c>
      <c r="M2789" t="n">
        <v>0</v>
      </c>
    </row>
    <row r="2790" spans="1:13">
      <c r="A2790" s="1">
        <f>HYPERLINK("http://www.twitter.com/NathanBLawrence/status/794533444273471489", "794533444273471489")</f>
        <v/>
      </c>
      <c r="B2790" s="2" t="n">
        <v>42678.56607638889</v>
      </c>
      <c r="C2790" t="n">
        <v>0</v>
      </c>
      <c r="D2790" t="n">
        <v>3456</v>
      </c>
      <c r="E2790" t="s">
        <v>2795</v>
      </c>
      <c r="F2790" t="s"/>
      <c r="G2790" t="s"/>
      <c r="H2790" t="s"/>
      <c r="I2790" t="s"/>
      <c r="J2790" t="n">
        <v>0</v>
      </c>
      <c r="K2790" t="n">
        <v>0</v>
      </c>
      <c r="L2790" t="n">
        <v>1</v>
      </c>
      <c r="M2790" t="n">
        <v>0</v>
      </c>
    </row>
    <row r="2791" spans="1:13">
      <c r="A2791" s="1">
        <f>HYPERLINK("http://www.twitter.com/NathanBLawrence/status/794533372026638336", "794533372026638336")</f>
        <v/>
      </c>
      <c r="B2791" s="2" t="n">
        <v>42678.56587962963</v>
      </c>
      <c r="C2791" t="n">
        <v>0</v>
      </c>
      <c r="D2791" t="n">
        <v>7397</v>
      </c>
      <c r="E2791" t="s">
        <v>2796</v>
      </c>
      <c r="F2791">
        <f>HYPERLINK("http://pbs.twimg.com/media/CwZcXy9WgAA401l.jpg", "http://pbs.twimg.com/media/CwZcXy9WgAA401l.jpg")</f>
        <v/>
      </c>
      <c r="G2791" t="s"/>
      <c r="H2791" t="s"/>
      <c r="I2791" t="s"/>
      <c r="J2791" t="n">
        <v>0</v>
      </c>
      <c r="K2791" t="n">
        <v>0</v>
      </c>
      <c r="L2791" t="n">
        <v>1</v>
      </c>
      <c r="M2791" t="n">
        <v>0</v>
      </c>
    </row>
    <row r="2792" spans="1:13">
      <c r="A2792" s="1">
        <f>HYPERLINK("http://www.twitter.com/NathanBLawrence/status/794533189242982400", "794533189242982400")</f>
        <v/>
      </c>
      <c r="B2792" s="2" t="n">
        <v>42678.56537037037</v>
      </c>
      <c r="C2792" t="n">
        <v>0</v>
      </c>
      <c r="D2792" t="n">
        <v>5983</v>
      </c>
      <c r="E2792" t="s">
        <v>2797</v>
      </c>
      <c r="F2792">
        <f>HYPERLINK("http://pbs.twimg.com/media/CwZgszmXgAAiuql.jpg", "http://pbs.twimg.com/media/CwZgszmXgAAiuql.jpg")</f>
        <v/>
      </c>
      <c r="G2792" t="s"/>
      <c r="H2792" t="s"/>
      <c r="I2792" t="s"/>
      <c r="J2792" t="n">
        <v>-0.34</v>
      </c>
      <c r="K2792" t="n">
        <v>0.103</v>
      </c>
      <c r="L2792" t="n">
        <v>0.897</v>
      </c>
      <c r="M2792" t="n">
        <v>0</v>
      </c>
    </row>
    <row r="2793" spans="1:13">
      <c r="A2793" s="1">
        <f>HYPERLINK("http://www.twitter.com/NathanBLawrence/status/794533116106907648", "794533116106907648")</f>
        <v/>
      </c>
      <c r="B2793" s="2" t="n">
        <v>42678.56517361111</v>
      </c>
      <c r="C2793" t="n">
        <v>0</v>
      </c>
      <c r="D2793" t="n">
        <v>4746</v>
      </c>
      <c r="E2793" t="s">
        <v>2798</v>
      </c>
      <c r="F2793">
        <f>HYPERLINK("http://pbs.twimg.com/media/CwZjcG6XgAAABGZ.jpg", "http://pbs.twimg.com/media/CwZjcG6XgAAABGZ.jpg")</f>
        <v/>
      </c>
      <c r="G2793" t="s"/>
      <c r="H2793" t="s"/>
      <c r="I2793" t="s"/>
      <c r="J2793" t="n">
        <v>0.0772</v>
      </c>
      <c r="K2793" t="n">
        <v>0.089</v>
      </c>
      <c r="L2793" t="n">
        <v>0.8120000000000001</v>
      </c>
      <c r="M2793" t="n">
        <v>0.1</v>
      </c>
    </row>
    <row r="2794" spans="1:13">
      <c r="A2794" s="1">
        <f>HYPERLINK("http://www.twitter.com/NathanBLawrence/status/794533069415940096", "794533069415940096")</f>
        <v/>
      </c>
      <c r="B2794" s="2" t="n">
        <v>42678.56504629629</v>
      </c>
      <c r="C2794" t="n">
        <v>0</v>
      </c>
      <c r="D2794" t="n">
        <v>4326</v>
      </c>
      <c r="E2794" t="s">
        <v>2799</v>
      </c>
      <c r="F2794">
        <f>HYPERLINK("http://pbs.twimg.com/media/CwZkhtLXgAAlYkT.jpg", "http://pbs.twimg.com/media/CwZkhtLXgAAlYkT.jpg")</f>
        <v/>
      </c>
      <c r="G2794" t="s"/>
      <c r="H2794" t="s"/>
      <c r="I2794" t="s"/>
      <c r="J2794" t="n">
        <v>0</v>
      </c>
      <c r="K2794" t="n">
        <v>0</v>
      </c>
      <c r="L2794" t="n">
        <v>1</v>
      </c>
      <c r="M2794" t="n">
        <v>0</v>
      </c>
    </row>
    <row r="2795" spans="1:13">
      <c r="A2795" s="1">
        <f>HYPERLINK("http://www.twitter.com/NathanBLawrence/status/794532969528627200", "794532969528627200")</f>
        <v/>
      </c>
      <c r="B2795" s="2" t="n">
        <v>42678.56476851852</v>
      </c>
      <c r="C2795" t="n">
        <v>0</v>
      </c>
      <c r="D2795" t="n">
        <v>10011</v>
      </c>
      <c r="E2795" t="s">
        <v>2800</v>
      </c>
      <c r="F2795">
        <f>HYPERLINK("http://pbs.twimg.com/media/CwZnP6XWIAAlf7g.jpg", "http://pbs.twimg.com/media/CwZnP6XWIAAlf7g.jpg")</f>
        <v/>
      </c>
      <c r="G2795" t="s"/>
      <c r="H2795" t="s"/>
      <c r="I2795" t="s"/>
      <c r="J2795" t="n">
        <v>-0.765</v>
      </c>
      <c r="K2795" t="n">
        <v>0.268</v>
      </c>
      <c r="L2795" t="n">
        <v>0.732</v>
      </c>
      <c r="M2795" t="n">
        <v>0</v>
      </c>
    </row>
    <row r="2796" spans="1:13">
      <c r="A2796" s="1">
        <f>HYPERLINK("http://www.twitter.com/NathanBLawrence/status/794532910925758466", "794532910925758466")</f>
        <v/>
      </c>
      <c r="B2796" s="2" t="n">
        <v>42678.56460648148</v>
      </c>
      <c r="C2796" t="n">
        <v>0</v>
      </c>
      <c r="D2796" t="n">
        <v>4122</v>
      </c>
      <c r="E2796" t="s">
        <v>2801</v>
      </c>
      <c r="F2796">
        <f>HYPERLINK("http://pbs.twimg.com/media/CwZpUlgXUAIoCfd.jpg", "http://pbs.twimg.com/media/CwZpUlgXUAIoCfd.jpg")</f>
        <v/>
      </c>
      <c r="G2796" t="s"/>
      <c r="H2796" t="s"/>
      <c r="I2796" t="s"/>
      <c r="J2796" t="n">
        <v>0.5423</v>
      </c>
      <c r="K2796" t="n">
        <v>0.08799999999999999</v>
      </c>
      <c r="L2796" t="n">
        <v>0.659</v>
      </c>
      <c r="M2796" t="n">
        <v>0.253</v>
      </c>
    </row>
    <row r="2797" spans="1:13">
      <c r="A2797" s="1">
        <f>HYPERLINK("http://www.twitter.com/NathanBLawrence/status/794532854365569024", "794532854365569024")</f>
        <v/>
      </c>
      <c r="B2797" s="2" t="n">
        <v>42678.56444444445</v>
      </c>
      <c r="C2797" t="n">
        <v>0</v>
      </c>
      <c r="D2797" t="n">
        <v>6774</v>
      </c>
      <c r="E2797" t="s">
        <v>2802</v>
      </c>
      <c r="F2797">
        <f>HYPERLINK("http://pbs.twimg.com/media/CwZqzAwXAAA9yj2.jpg", "http://pbs.twimg.com/media/CwZqzAwXAAA9yj2.jpg")</f>
        <v/>
      </c>
      <c r="G2797" t="s"/>
      <c r="H2797" t="s"/>
      <c r="I2797" t="s"/>
      <c r="J2797" t="n">
        <v>-0.7783</v>
      </c>
      <c r="K2797" t="n">
        <v>0.236</v>
      </c>
      <c r="L2797" t="n">
        <v>0.764</v>
      </c>
      <c r="M2797" t="n">
        <v>0</v>
      </c>
    </row>
    <row r="2798" spans="1:13">
      <c r="A2798" s="1">
        <f>HYPERLINK("http://www.twitter.com/NathanBLawrence/status/794532565877198848", "794532565877198848")</f>
        <v/>
      </c>
      <c r="B2798" s="2" t="n">
        <v>42678.56365740741</v>
      </c>
      <c r="C2798" t="n">
        <v>0</v>
      </c>
      <c r="D2798" t="n">
        <v>8064</v>
      </c>
      <c r="E2798" t="s">
        <v>2803</v>
      </c>
      <c r="F2798" t="s"/>
      <c r="G2798" t="s"/>
      <c r="H2798" t="s"/>
      <c r="I2798" t="s"/>
      <c r="J2798" t="n">
        <v>0.1779</v>
      </c>
      <c r="K2798" t="n">
        <v>0</v>
      </c>
      <c r="L2798" t="n">
        <v>0.914</v>
      </c>
      <c r="M2798" t="n">
        <v>0.08599999999999999</v>
      </c>
    </row>
    <row r="2799" spans="1:13">
      <c r="A2799" s="1">
        <f>HYPERLINK("http://www.twitter.com/NathanBLawrence/status/794532407894482944", "794532407894482944")</f>
        <v/>
      </c>
      <c r="B2799" s="2" t="n">
        <v>42678.56321759259</v>
      </c>
      <c r="C2799" t="n">
        <v>0</v>
      </c>
      <c r="D2799" t="n">
        <v>8657</v>
      </c>
      <c r="E2799" t="s">
        <v>2804</v>
      </c>
      <c r="F2799">
        <f>HYPERLINK("https://video.twimg.com/amplify_video/794230360951308288/vid/720x720/ezzcDzA2Y7Vdg4E4.mp4", "https://video.twimg.com/amplify_video/794230360951308288/vid/720x720/ezzcDzA2Y7Vdg4E4.mp4")</f>
        <v/>
      </c>
      <c r="G2799" t="s"/>
      <c r="H2799" t="s"/>
      <c r="I2799" t="s"/>
      <c r="J2799" t="n">
        <v>-0.4228</v>
      </c>
      <c r="K2799" t="n">
        <v>0.118</v>
      </c>
      <c r="L2799" t="n">
        <v>0.882</v>
      </c>
      <c r="M2799" t="n">
        <v>0</v>
      </c>
    </row>
    <row r="2800" spans="1:13">
      <c r="A2800" s="1">
        <f>HYPERLINK("http://www.twitter.com/NathanBLawrence/status/794531758054129666", "794531758054129666")</f>
        <v/>
      </c>
      <c r="B2800" s="2" t="n">
        <v>42678.56142361111</v>
      </c>
      <c r="C2800" t="n">
        <v>0</v>
      </c>
      <c r="D2800" t="n">
        <v>5099</v>
      </c>
      <c r="E2800" t="s">
        <v>2805</v>
      </c>
      <c r="F2800" t="s"/>
      <c r="G2800" t="s"/>
      <c r="H2800" t="s"/>
      <c r="I2800" t="s"/>
      <c r="J2800" t="n">
        <v>0.25</v>
      </c>
      <c r="K2800" t="n">
        <v>0</v>
      </c>
      <c r="L2800" t="n">
        <v>0.913</v>
      </c>
      <c r="M2800" t="n">
        <v>0.08699999999999999</v>
      </c>
    </row>
    <row r="2801" spans="1:13">
      <c r="A2801" s="1">
        <f>HYPERLINK("http://www.twitter.com/NathanBLawrence/status/794531548146057217", "794531548146057217")</f>
        <v/>
      </c>
      <c r="B2801" s="2" t="n">
        <v>42678.56084490741</v>
      </c>
      <c r="C2801" t="n">
        <v>0</v>
      </c>
      <c r="D2801" t="n">
        <v>2292</v>
      </c>
      <c r="E2801" t="s">
        <v>2806</v>
      </c>
      <c r="F2801" t="s"/>
      <c r="G2801" t="s"/>
      <c r="H2801" t="s"/>
      <c r="I2801" t="s"/>
      <c r="J2801" t="n">
        <v>-0.128</v>
      </c>
      <c r="K2801" t="n">
        <v>0.08599999999999999</v>
      </c>
      <c r="L2801" t="n">
        <v>0.914</v>
      </c>
      <c r="M2801" t="n">
        <v>0</v>
      </c>
    </row>
    <row r="2802" spans="1:13">
      <c r="A2802" s="1">
        <f>HYPERLINK("http://www.twitter.com/NathanBLawrence/status/794531466256334848", "794531466256334848")</f>
        <v/>
      </c>
      <c r="B2802" s="2" t="n">
        <v>42678.56061342593</v>
      </c>
      <c r="C2802" t="n">
        <v>0</v>
      </c>
      <c r="D2802" t="n">
        <v>1590</v>
      </c>
      <c r="E2802" t="s">
        <v>2807</v>
      </c>
      <c r="F2802">
        <f>HYPERLINK("http://pbs.twimg.com/media/Cwa7lVTWEAE3Rso.jpg", "http://pbs.twimg.com/media/Cwa7lVTWEAE3Rso.jpg")</f>
        <v/>
      </c>
      <c r="G2802" t="s"/>
      <c r="H2802" t="s"/>
      <c r="I2802" t="s"/>
      <c r="J2802" t="n">
        <v>-0.0258</v>
      </c>
      <c r="K2802" t="n">
        <v>0.099</v>
      </c>
      <c r="L2802" t="n">
        <v>0.901</v>
      </c>
      <c r="M2802" t="n">
        <v>0</v>
      </c>
    </row>
    <row r="2803" spans="1:13">
      <c r="A2803" s="1">
        <f>HYPERLINK("http://www.twitter.com/NathanBLawrence/status/794531438410354688", "794531438410354688")</f>
        <v/>
      </c>
      <c r="B2803" s="2" t="n">
        <v>42678.56054398148</v>
      </c>
      <c r="C2803" t="n">
        <v>0</v>
      </c>
      <c r="D2803" t="n">
        <v>1823</v>
      </c>
      <c r="E2803" t="s">
        <v>2808</v>
      </c>
      <c r="F2803">
        <f>HYPERLINK("http://pbs.twimg.com/media/CwaxwjXWEAA-VVT.jpg", "http://pbs.twimg.com/media/CwaxwjXWEAA-VVT.jpg")</f>
        <v/>
      </c>
      <c r="G2803" t="s"/>
      <c r="H2803" t="s"/>
      <c r="I2803" t="s"/>
      <c r="J2803" t="n">
        <v>0</v>
      </c>
      <c r="K2803" t="n">
        <v>0</v>
      </c>
      <c r="L2803" t="n">
        <v>1</v>
      </c>
      <c r="M2803" t="n">
        <v>0</v>
      </c>
    </row>
    <row r="2804" spans="1:13">
      <c r="A2804" s="1">
        <f>HYPERLINK("http://www.twitter.com/NathanBLawrence/status/794528266212118528", "794528266212118528")</f>
        <v/>
      </c>
      <c r="B2804" s="2" t="n">
        <v>42678.5517824074</v>
      </c>
      <c r="C2804" t="n">
        <v>0</v>
      </c>
      <c r="D2804" t="n">
        <v>12075</v>
      </c>
      <c r="E2804" t="s">
        <v>2809</v>
      </c>
      <c r="F2804">
        <f>HYPERLINK("http://pbs.twimg.com/media/CwZ0NiEW8AA69Sg.jpg", "http://pbs.twimg.com/media/CwZ0NiEW8AA69Sg.jpg")</f>
        <v/>
      </c>
      <c r="G2804" t="s"/>
      <c r="H2804" t="s"/>
      <c r="I2804" t="s"/>
      <c r="J2804" t="n">
        <v>0.1779</v>
      </c>
      <c r="K2804" t="n">
        <v>0</v>
      </c>
      <c r="L2804" t="n">
        <v>0.922</v>
      </c>
      <c r="M2804" t="n">
        <v>0.078</v>
      </c>
    </row>
    <row r="2805" spans="1:13">
      <c r="A2805" s="1">
        <f>HYPERLINK("http://www.twitter.com/NathanBLawrence/status/794527919313821696", "794527919313821696")</f>
        <v/>
      </c>
      <c r="B2805" s="2" t="n">
        <v>42678.55083333333</v>
      </c>
      <c r="C2805" t="n">
        <v>0</v>
      </c>
      <c r="D2805" t="n">
        <v>8905</v>
      </c>
      <c r="E2805" t="s">
        <v>2810</v>
      </c>
      <c r="F2805">
        <f>HYPERLINK("http://pbs.twimg.com/media/Cwa61MjVIAAbwA1.jpg", "http://pbs.twimg.com/media/Cwa61MjVIAAbwA1.jpg")</f>
        <v/>
      </c>
      <c r="G2805" t="s"/>
      <c r="H2805" t="s"/>
      <c r="I2805" t="s"/>
      <c r="J2805" t="n">
        <v>0</v>
      </c>
      <c r="K2805" t="n">
        <v>0</v>
      </c>
      <c r="L2805" t="n">
        <v>1</v>
      </c>
      <c r="M2805" t="n">
        <v>0</v>
      </c>
    </row>
    <row r="2806" spans="1:13">
      <c r="A2806" s="1">
        <f>HYPERLINK("http://www.twitter.com/NathanBLawrence/status/794527780268453888", "794527780268453888")</f>
        <v/>
      </c>
      <c r="B2806" s="2" t="n">
        <v>42678.55045138889</v>
      </c>
      <c r="C2806" t="n">
        <v>0</v>
      </c>
      <c r="D2806" t="n">
        <v>7814</v>
      </c>
      <c r="E2806" t="s">
        <v>2811</v>
      </c>
      <c r="F2806">
        <f>HYPERLINK("http://pbs.twimg.com/media/CwaJUKhXEAAPScY.jpg", "http://pbs.twimg.com/media/CwaJUKhXEAAPScY.jpg")</f>
        <v/>
      </c>
      <c r="G2806" t="s"/>
      <c r="H2806" t="s"/>
      <c r="I2806" t="s"/>
      <c r="J2806" t="n">
        <v>0</v>
      </c>
      <c r="K2806" t="n">
        <v>0</v>
      </c>
      <c r="L2806" t="n">
        <v>1</v>
      </c>
      <c r="M2806" t="n">
        <v>0</v>
      </c>
    </row>
    <row r="2807" spans="1:13">
      <c r="A2807" s="1">
        <f>HYPERLINK("http://www.twitter.com/NathanBLawrence/status/794527557538299904", "794527557538299904")</f>
        <v/>
      </c>
      <c r="B2807" s="2" t="n">
        <v>42678.54982638889</v>
      </c>
      <c r="C2807" t="n">
        <v>0</v>
      </c>
      <c r="D2807" t="n">
        <v>229</v>
      </c>
      <c r="E2807" t="s">
        <v>2812</v>
      </c>
      <c r="F2807" t="s"/>
      <c r="G2807" t="s"/>
      <c r="H2807" t="s"/>
      <c r="I2807" t="s"/>
      <c r="J2807" t="n">
        <v>-0.2182</v>
      </c>
      <c r="K2807" t="n">
        <v>0.207</v>
      </c>
      <c r="L2807" t="n">
        <v>0.793</v>
      </c>
      <c r="M2807" t="n">
        <v>0</v>
      </c>
    </row>
    <row r="2808" spans="1:13">
      <c r="A2808" s="1">
        <f>HYPERLINK("http://www.twitter.com/NathanBLawrence/status/794367481569681408", "794367481569681408")</f>
        <v/>
      </c>
      <c r="B2808" s="2" t="n">
        <v>42678.10810185185</v>
      </c>
      <c r="C2808" t="n">
        <v>0</v>
      </c>
      <c r="D2808" t="n">
        <v>1925</v>
      </c>
      <c r="E2808" t="s">
        <v>2813</v>
      </c>
      <c r="F2808">
        <f>HYPERLINK("http://pbs.twimg.com/media/CwXJNsTXUAAD-Yf.jpg", "http://pbs.twimg.com/media/CwXJNsTXUAAD-Yf.jpg")</f>
        <v/>
      </c>
      <c r="G2808" t="s"/>
      <c r="H2808" t="s"/>
      <c r="I2808" t="s"/>
      <c r="J2808" t="n">
        <v>0</v>
      </c>
      <c r="K2808" t="n">
        <v>0</v>
      </c>
      <c r="L2808" t="n">
        <v>1</v>
      </c>
      <c r="M2808" t="n">
        <v>0</v>
      </c>
    </row>
    <row r="2809" spans="1:13">
      <c r="A2809" s="1">
        <f>HYPERLINK("http://www.twitter.com/NathanBLawrence/status/794365472556752896", "794365472556752896")</f>
        <v/>
      </c>
      <c r="B2809" s="2" t="n">
        <v>42678.10255787037</v>
      </c>
      <c r="C2809" t="n">
        <v>0</v>
      </c>
      <c r="D2809" t="n">
        <v>12229</v>
      </c>
      <c r="E2809" t="s">
        <v>2814</v>
      </c>
      <c r="F2809" t="s"/>
      <c r="G2809" t="s"/>
      <c r="H2809" t="s"/>
      <c r="I2809" t="s"/>
      <c r="J2809" t="n">
        <v>-0.8462</v>
      </c>
      <c r="K2809" t="n">
        <v>0.324</v>
      </c>
      <c r="L2809" t="n">
        <v>0.676</v>
      </c>
      <c r="M2809" t="n">
        <v>0</v>
      </c>
    </row>
    <row r="2810" spans="1:13">
      <c r="A2810" s="1">
        <f>HYPERLINK("http://www.twitter.com/NathanBLawrence/status/794363744528699393", "794363744528699393")</f>
        <v/>
      </c>
      <c r="B2810" s="2" t="n">
        <v>42678.09778935185</v>
      </c>
      <c r="C2810" t="n">
        <v>0</v>
      </c>
      <c r="D2810" t="n">
        <v>1838</v>
      </c>
      <c r="E2810" t="s">
        <v>2815</v>
      </c>
      <c r="F2810" t="s"/>
      <c r="G2810" t="s"/>
      <c r="H2810" t="s"/>
      <c r="I2810" t="s"/>
      <c r="J2810" t="n">
        <v>0</v>
      </c>
      <c r="K2810" t="n">
        <v>0</v>
      </c>
      <c r="L2810" t="n">
        <v>1</v>
      </c>
      <c r="M2810" t="n">
        <v>0</v>
      </c>
    </row>
    <row r="2811" spans="1:13">
      <c r="A2811" s="1">
        <f>HYPERLINK("http://www.twitter.com/NathanBLawrence/status/794363667357700098", "794363667357700098")</f>
        <v/>
      </c>
      <c r="B2811" s="2" t="n">
        <v>42678.09758101852</v>
      </c>
      <c r="C2811" t="n">
        <v>0</v>
      </c>
      <c r="D2811" t="n">
        <v>3351</v>
      </c>
      <c r="E2811" t="s">
        <v>2816</v>
      </c>
      <c r="F2811">
        <f>HYPERLINK("http://pbs.twimg.com/media/CwT1Q2WW8AAeewQ.jpg", "http://pbs.twimg.com/media/CwT1Q2WW8AAeewQ.jpg")</f>
        <v/>
      </c>
      <c r="G2811">
        <f>HYPERLINK("http://pbs.twimg.com/media/CwT1SHoXAAAQsqW.jpg", "http://pbs.twimg.com/media/CwT1SHoXAAAQsqW.jpg")</f>
        <v/>
      </c>
      <c r="H2811" t="s"/>
      <c r="I2811" t="s"/>
      <c r="J2811" t="n">
        <v>0</v>
      </c>
      <c r="K2811" t="n">
        <v>0</v>
      </c>
      <c r="L2811" t="n">
        <v>1</v>
      </c>
      <c r="M2811" t="n">
        <v>0</v>
      </c>
    </row>
    <row r="2812" spans="1:13">
      <c r="A2812" s="1">
        <f>HYPERLINK("http://www.twitter.com/NathanBLawrence/status/794355216434872320", "794355216434872320")</f>
        <v/>
      </c>
      <c r="B2812" s="2" t="n">
        <v>42678.07425925926</v>
      </c>
      <c r="C2812" t="n">
        <v>0</v>
      </c>
      <c r="D2812" t="n">
        <v>2582</v>
      </c>
      <c r="E2812" t="s">
        <v>2817</v>
      </c>
      <c r="F2812" t="s"/>
      <c r="G2812" t="s"/>
      <c r="H2812" t="s"/>
      <c r="I2812" t="s"/>
      <c r="J2812" t="n">
        <v>0</v>
      </c>
      <c r="K2812" t="n">
        <v>0</v>
      </c>
      <c r="L2812" t="n">
        <v>1</v>
      </c>
      <c r="M2812" t="n">
        <v>0</v>
      </c>
    </row>
    <row r="2813" spans="1:13">
      <c r="A2813" s="1">
        <f>HYPERLINK("http://www.twitter.com/NathanBLawrence/status/794350219836018688", "794350219836018688")</f>
        <v/>
      </c>
      <c r="B2813" s="2" t="n">
        <v>42678.06047453704</v>
      </c>
      <c r="C2813" t="n">
        <v>0</v>
      </c>
      <c r="D2813" t="n">
        <v>5172</v>
      </c>
      <c r="E2813" t="s">
        <v>2818</v>
      </c>
      <c r="F2813" t="s"/>
      <c r="G2813" t="s"/>
      <c r="H2813" t="s"/>
      <c r="I2813" t="s"/>
      <c r="J2813" t="n">
        <v>0.25</v>
      </c>
      <c r="K2813" t="n">
        <v>0</v>
      </c>
      <c r="L2813" t="n">
        <v>0.9</v>
      </c>
      <c r="M2813" t="n">
        <v>0.1</v>
      </c>
    </row>
    <row r="2814" spans="1:13">
      <c r="A2814" s="1">
        <f>HYPERLINK("http://www.twitter.com/NathanBLawrence/status/794348096184422400", "794348096184422400")</f>
        <v/>
      </c>
      <c r="B2814" s="2" t="n">
        <v>42678.05461805555</v>
      </c>
      <c r="C2814" t="n">
        <v>0</v>
      </c>
      <c r="D2814" t="n">
        <v>1885</v>
      </c>
      <c r="E2814" t="s">
        <v>2819</v>
      </c>
      <c r="F2814" t="s"/>
      <c r="G2814" t="s"/>
      <c r="H2814" t="s"/>
      <c r="I2814" t="s"/>
      <c r="J2814" t="n">
        <v>-0.7003</v>
      </c>
      <c r="K2814" t="n">
        <v>0.279</v>
      </c>
      <c r="L2814" t="n">
        <v>0.721</v>
      </c>
      <c r="M2814" t="n">
        <v>0</v>
      </c>
    </row>
    <row r="2815" spans="1:13">
      <c r="A2815" s="1">
        <f>HYPERLINK("http://www.twitter.com/NathanBLawrence/status/794345985405239307", "794345985405239307")</f>
        <v/>
      </c>
      <c r="B2815" s="2" t="n">
        <v>42678.04878472222</v>
      </c>
      <c r="C2815" t="n">
        <v>0</v>
      </c>
      <c r="D2815" t="n">
        <v>435</v>
      </c>
      <c r="E2815" t="s">
        <v>2820</v>
      </c>
      <c r="F2815" t="s"/>
      <c r="G2815" t="s"/>
      <c r="H2815" t="s"/>
      <c r="I2815" t="s"/>
      <c r="J2815" t="n">
        <v>0</v>
      </c>
      <c r="K2815" t="n">
        <v>0</v>
      </c>
      <c r="L2815" t="n">
        <v>1</v>
      </c>
      <c r="M2815" t="n">
        <v>0</v>
      </c>
    </row>
    <row r="2816" spans="1:13">
      <c r="A2816" s="1">
        <f>HYPERLINK("http://www.twitter.com/NathanBLawrence/status/794345573973377024", "794345573973377024")</f>
        <v/>
      </c>
      <c r="B2816" s="2" t="n">
        <v>42678.04765046296</v>
      </c>
      <c r="C2816" t="n">
        <v>0</v>
      </c>
      <c r="D2816" t="n">
        <v>577</v>
      </c>
      <c r="E2816" t="s">
        <v>2821</v>
      </c>
      <c r="F2816" t="s"/>
      <c r="G2816" t="s"/>
      <c r="H2816" t="s"/>
      <c r="I2816" t="s"/>
      <c r="J2816" t="n">
        <v>-0.4767</v>
      </c>
      <c r="K2816" t="n">
        <v>0.17</v>
      </c>
      <c r="L2816" t="n">
        <v>0.747</v>
      </c>
      <c r="M2816" t="n">
        <v>0.083</v>
      </c>
    </row>
    <row r="2817" spans="1:13">
      <c r="A2817" s="1">
        <f>HYPERLINK("http://www.twitter.com/NathanBLawrence/status/794344216788746240", "794344216788746240")</f>
        <v/>
      </c>
      <c r="B2817" s="2" t="n">
        <v>42678.04391203704</v>
      </c>
      <c r="C2817" t="n">
        <v>0</v>
      </c>
      <c r="D2817" t="n">
        <v>48</v>
      </c>
      <c r="E2817" t="s">
        <v>2822</v>
      </c>
      <c r="F2817">
        <f>HYPERLINK("http://pbs.twimg.com/media/CwYLnc6UUAAZpe8.jpg", "http://pbs.twimg.com/media/CwYLnc6UUAAZpe8.jpg")</f>
        <v/>
      </c>
      <c r="G2817" t="s"/>
      <c r="H2817" t="s"/>
      <c r="I2817" t="s"/>
      <c r="J2817" t="n">
        <v>0.4019</v>
      </c>
      <c r="K2817" t="n">
        <v>0</v>
      </c>
      <c r="L2817" t="n">
        <v>0.838</v>
      </c>
      <c r="M2817" t="n">
        <v>0.162</v>
      </c>
    </row>
    <row r="2818" spans="1:13">
      <c r="A2818" s="1">
        <f>HYPERLINK("http://www.twitter.com/NathanBLawrence/status/794343813196050432", "794343813196050432")</f>
        <v/>
      </c>
      <c r="B2818" s="2" t="n">
        <v>42678.04278935185</v>
      </c>
      <c r="C2818" t="n">
        <v>0</v>
      </c>
      <c r="D2818" t="n">
        <v>469</v>
      </c>
      <c r="E2818" t="s">
        <v>2823</v>
      </c>
      <c r="F2818" t="s"/>
      <c r="G2818" t="s"/>
      <c r="H2818" t="s"/>
      <c r="I2818" t="s"/>
      <c r="J2818" t="n">
        <v>-0.3182</v>
      </c>
      <c r="K2818" t="n">
        <v>0.08699999999999999</v>
      </c>
      <c r="L2818" t="n">
        <v>0.913</v>
      </c>
      <c r="M2818" t="n">
        <v>0</v>
      </c>
    </row>
    <row r="2819" spans="1:13">
      <c r="A2819" s="1">
        <f>HYPERLINK("http://www.twitter.com/NathanBLawrence/status/794343762168135680", "794343762168135680")</f>
        <v/>
      </c>
      <c r="B2819" s="2" t="n">
        <v>42678.04265046296</v>
      </c>
      <c r="C2819" t="n">
        <v>0</v>
      </c>
      <c r="D2819" t="n">
        <v>3291</v>
      </c>
      <c r="E2819" t="s">
        <v>2824</v>
      </c>
      <c r="F2819">
        <f>HYPERLINK("http://pbs.twimg.com/media/CwXRZtGXAAM2ZEL.jpg", "http://pbs.twimg.com/media/CwXRZtGXAAM2ZEL.jpg")</f>
        <v/>
      </c>
      <c r="G2819" t="s"/>
      <c r="H2819" t="s"/>
      <c r="I2819" t="s"/>
      <c r="J2819" t="n">
        <v>0</v>
      </c>
      <c r="K2819" t="n">
        <v>0</v>
      </c>
      <c r="L2819" t="n">
        <v>1</v>
      </c>
      <c r="M2819" t="n">
        <v>0</v>
      </c>
    </row>
    <row r="2820" spans="1:13">
      <c r="A2820" s="1">
        <f>HYPERLINK("http://www.twitter.com/NathanBLawrence/status/794329853176619008", "794329853176619008")</f>
        <v/>
      </c>
      <c r="B2820" s="2" t="n">
        <v>42678.00427083333</v>
      </c>
      <c r="C2820" t="n">
        <v>0</v>
      </c>
      <c r="D2820" t="n">
        <v>366</v>
      </c>
      <c r="E2820" t="s">
        <v>2825</v>
      </c>
      <c r="F2820" t="s"/>
      <c r="G2820" t="s"/>
      <c r="H2820" t="s"/>
      <c r="I2820" t="s"/>
      <c r="J2820" t="n">
        <v>-0.8298</v>
      </c>
      <c r="K2820" t="n">
        <v>0.463</v>
      </c>
      <c r="L2820" t="n">
        <v>0.537</v>
      </c>
      <c r="M2820" t="n">
        <v>0</v>
      </c>
    </row>
    <row r="2821" spans="1:13">
      <c r="A2821" s="1">
        <f>HYPERLINK("http://www.twitter.com/NathanBLawrence/status/794329828166012929", "794329828166012929")</f>
        <v/>
      </c>
      <c r="B2821" s="2" t="n">
        <v>42678.00420138889</v>
      </c>
      <c r="C2821" t="n">
        <v>0</v>
      </c>
      <c r="D2821" t="n">
        <v>229</v>
      </c>
      <c r="E2821" t="s">
        <v>2826</v>
      </c>
      <c r="F2821" t="s"/>
      <c r="G2821" t="s"/>
      <c r="H2821" t="s"/>
      <c r="I2821" t="s"/>
      <c r="J2821" t="n">
        <v>0</v>
      </c>
      <c r="K2821" t="n">
        <v>0</v>
      </c>
      <c r="L2821" t="n">
        <v>1</v>
      </c>
      <c r="M2821" t="n">
        <v>0</v>
      </c>
    </row>
    <row r="2822" spans="1:13">
      <c r="A2822" s="1">
        <f>HYPERLINK("http://www.twitter.com/NathanBLawrence/status/794327943262584832", "794327943262584832")</f>
        <v/>
      </c>
      <c r="B2822" s="2" t="n">
        <v>42677.99900462963</v>
      </c>
      <c r="C2822" t="n">
        <v>0</v>
      </c>
      <c r="D2822" t="n">
        <v>510</v>
      </c>
      <c r="E2822" t="s">
        <v>2827</v>
      </c>
      <c r="F2822" t="s"/>
      <c r="G2822" t="s"/>
      <c r="H2822" t="s"/>
      <c r="I2822" t="s"/>
      <c r="J2822" t="n">
        <v>0</v>
      </c>
      <c r="K2822" t="n">
        <v>0</v>
      </c>
      <c r="L2822" t="n">
        <v>1</v>
      </c>
      <c r="M2822" t="n">
        <v>0</v>
      </c>
    </row>
    <row r="2823" spans="1:13">
      <c r="A2823" s="1">
        <f>HYPERLINK("http://www.twitter.com/NathanBLawrence/status/794325917556318208", "794325917556318208")</f>
        <v/>
      </c>
      <c r="B2823" s="2" t="n">
        <v>42677.99341435185</v>
      </c>
      <c r="C2823" t="n">
        <v>0</v>
      </c>
      <c r="D2823" t="n">
        <v>516</v>
      </c>
      <c r="E2823" t="s">
        <v>2828</v>
      </c>
      <c r="F2823" t="s"/>
      <c r="G2823" t="s"/>
      <c r="H2823" t="s"/>
      <c r="I2823" t="s"/>
      <c r="J2823" t="n">
        <v>0</v>
      </c>
      <c r="K2823" t="n">
        <v>0</v>
      </c>
      <c r="L2823" t="n">
        <v>1</v>
      </c>
      <c r="M2823" t="n">
        <v>0</v>
      </c>
    </row>
    <row r="2824" spans="1:13">
      <c r="A2824" s="1">
        <f>HYPERLINK("http://www.twitter.com/NathanBLawrence/status/794324639593861120", "794324639593861120")</f>
        <v/>
      </c>
      <c r="B2824" s="2" t="n">
        <v>42677.98988425926</v>
      </c>
      <c r="C2824" t="n">
        <v>0</v>
      </c>
      <c r="D2824" t="n">
        <v>6582</v>
      </c>
      <c r="E2824" t="s">
        <v>2829</v>
      </c>
      <c r="F2824">
        <f>HYPERLINK("http://pbs.twimg.com/media/CwXGyHrXcAAXzch.jpg", "http://pbs.twimg.com/media/CwXGyHrXcAAXzch.jpg")</f>
        <v/>
      </c>
      <c r="G2824">
        <f>HYPERLINK("http://pbs.twimg.com/media/CwXJXrWXAAMS4Qx.jpg", "http://pbs.twimg.com/media/CwXJXrWXAAMS4Qx.jpg")</f>
        <v/>
      </c>
      <c r="H2824">
        <f>HYPERLINK("http://pbs.twimg.com/media/CwXJXriXAAI915o.jpg", "http://pbs.twimg.com/media/CwXJXriXAAI915o.jpg")</f>
        <v/>
      </c>
      <c r="I2824">
        <f>HYPERLINK("http://pbs.twimg.com/media/CwXJXrnXAAA13ht.jpg", "http://pbs.twimg.com/media/CwXJXrnXAAA13ht.jpg")</f>
        <v/>
      </c>
      <c r="J2824" t="n">
        <v>0.5719</v>
      </c>
      <c r="K2824" t="n">
        <v>0</v>
      </c>
      <c r="L2824" t="n">
        <v>0.85</v>
      </c>
      <c r="M2824" t="n">
        <v>0.15</v>
      </c>
    </row>
    <row r="2825" spans="1:13">
      <c r="A2825" s="1">
        <f>HYPERLINK("http://www.twitter.com/NathanBLawrence/status/794316492703571968", "794316492703571968")</f>
        <v/>
      </c>
      <c r="B2825" s="2" t="n">
        <v>42677.96740740741</v>
      </c>
      <c r="C2825" t="n">
        <v>0</v>
      </c>
      <c r="D2825" t="n">
        <v>1827</v>
      </c>
      <c r="E2825" t="s">
        <v>2830</v>
      </c>
      <c r="F2825">
        <f>HYPERLINK("http://pbs.twimg.com/amplify_video_thumb/794300055788220416/img/qgDl3bY9ECcVTOVr.jpg", "http://pbs.twimg.com/amplify_video_thumb/794300055788220416/img/qgDl3bY9ECcVTOVr.jpg")</f>
        <v/>
      </c>
      <c r="G2825" t="s"/>
      <c r="H2825" t="s"/>
      <c r="I2825" t="s"/>
      <c r="J2825" t="n">
        <v>0</v>
      </c>
      <c r="K2825" t="n">
        <v>0</v>
      </c>
      <c r="L2825" t="n">
        <v>1</v>
      </c>
      <c r="M2825" t="n">
        <v>0</v>
      </c>
    </row>
    <row r="2826" spans="1:13">
      <c r="A2826" s="1">
        <f>HYPERLINK("http://www.twitter.com/NathanBLawrence/status/794312967365894144", "794312967365894144")</f>
        <v/>
      </c>
      <c r="B2826" s="2" t="n">
        <v>42677.95767361111</v>
      </c>
      <c r="C2826" t="n">
        <v>0</v>
      </c>
      <c r="D2826" t="n">
        <v>311</v>
      </c>
      <c r="E2826" t="s">
        <v>2831</v>
      </c>
      <c r="F2826">
        <f>HYPERLINK("http://pbs.twimg.com/media/CwX211RUcAATElG.jpg", "http://pbs.twimg.com/media/CwX211RUcAATElG.jpg")</f>
        <v/>
      </c>
      <c r="G2826" t="s"/>
      <c r="H2826" t="s"/>
      <c r="I2826" t="s"/>
      <c r="J2826" t="n">
        <v>0</v>
      </c>
      <c r="K2826" t="n">
        <v>0</v>
      </c>
      <c r="L2826" t="n">
        <v>1</v>
      </c>
      <c r="M2826" t="n">
        <v>0</v>
      </c>
    </row>
    <row r="2827" spans="1:13">
      <c r="A2827" s="1">
        <f>HYPERLINK("http://www.twitter.com/NathanBLawrence/status/794312933450727424", "794312933450727424")</f>
        <v/>
      </c>
      <c r="B2827" s="2" t="n">
        <v>42677.95758101852</v>
      </c>
      <c r="C2827" t="n">
        <v>0</v>
      </c>
      <c r="D2827" t="n">
        <v>700</v>
      </c>
      <c r="E2827" t="s">
        <v>2832</v>
      </c>
      <c r="F2827">
        <f>HYPERLINK("http://pbs.twimg.com/media/CwX2JiZUAAAWOAK.jpg", "http://pbs.twimg.com/media/CwX2JiZUAAAWOAK.jpg")</f>
        <v/>
      </c>
      <c r="G2827" t="s"/>
      <c r="H2827" t="s"/>
      <c r="I2827" t="s"/>
      <c r="J2827" t="n">
        <v>-0.5266999999999999</v>
      </c>
      <c r="K2827" t="n">
        <v>0.145</v>
      </c>
      <c r="L2827" t="n">
        <v>0.855</v>
      </c>
      <c r="M2827" t="n">
        <v>0</v>
      </c>
    </row>
    <row r="2828" spans="1:13">
      <c r="A2828" s="1">
        <f>HYPERLINK("http://www.twitter.com/NathanBLawrence/status/794312436203470848", "794312436203470848")</f>
        <v/>
      </c>
      <c r="B2828" s="2" t="n">
        <v>42677.95621527778</v>
      </c>
      <c r="C2828" t="n">
        <v>0</v>
      </c>
      <c r="D2828" t="n">
        <v>2605</v>
      </c>
      <c r="E2828" t="s">
        <v>2833</v>
      </c>
      <c r="F2828" t="s"/>
      <c r="G2828" t="s"/>
      <c r="H2828" t="s"/>
      <c r="I2828" t="s"/>
      <c r="J2828" t="n">
        <v>0.7184</v>
      </c>
      <c r="K2828" t="n">
        <v>0</v>
      </c>
      <c r="L2828" t="n">
        <v>0.625</v>
      </c>
      <c r="M2828" t="n">
        <v>0.375</v>
      </c>
    </row>
    <row r="2829" spans="1:13">
      <c r="A2829" s="1">
        <f>HYPERLINK("http://www.twitter.com/NathanBLawrence/status/794307296624922624", "794307296624922624")</f>
        <v/>
      </c>
      <c r="B2829" s="2" t="n">
        <v>42677.94202546297</v>
      </c>
      <c r="C2829" t="n">
        <v>0</v>
      </c>
      <c r="D2829" t="n">
        <v>319</v>
      </c>
      <c r="E2829" t="s">
        <v>2834</v>
      </c>
      <c r="F2829" t="s"/>
      <c r="G2829" t="s"/>
      <c r="H2829" t="s"/>
      <c r="I2829" t="s"/>
      <c r="J2829" t="n">
        <v>-0.3595</v>
      </c>
      <c r="K2829" t="n">
        <v>0.266</v>
      </c>
      <c r="L2829" t="n">
        <v>0.589</v>
      </c>
      <c r="M2829" t="n">
        <v>0.144</v>
      </c>
    </row>
    <row r="2830" spans="1:13">
      <c r="A2830" s="1">
        <f>HYPERLINK("http://www.twitter.com/NathanBLawrence/status/794306466576355328", "794306466576355328")</f>
        <v/>
      </c>
      <c r="B2830" s="2" t="n">
        <v>42677.93973379629</v>
      </c>
      <c r="C2830" t="n">
        <v>0</v>
      </c>
      <c r="D2830" t="n">
        <v>7480</v>
      </c>
      <c r="E2830" t="s">
        <v>2835</v>
      </c>
      <c r="F2830">
        <f>HYPERLINK("http://pbs.twimg.com/media/CwXwy4aWQAASLK6.jpg", "http://pbs.twimg.com/media/CwXwy4aWQAASLK6.jpg")</f>
        <v/>
      </c>
      <c r="G2830" t="s"/>
      <c r="H2830" t="s"/>
      <c r="I2830" t="s"/>
      <c r="J2830" t="n">
        <v>0.25</v>
      </c>
      <c r="K2830" t="n">
        <v>0.067</v>
      </c>
      <c r="L2830" t="n">
        <v>0.8169999999999999</v>
      </c>
      <c r="M2830" t="n">
        <v>0.115</v>
      </c>
    </row>
    <row r="2831" spans="1:13">
      <c r="A2831" s="1">
        <f>HYPERLINK("http://www.twitter.com/NathanBLawrence/status/794304984292569088", "794304984292569088")</f>
        <v/>
      </c>
      <c r="B2831" s="2" t="n">
        <v>42677.93564814814</v>
      </c>
      <c r="C2831" t="n">
        <v>0</v>
      </c>
      <c r="D2831" t="n">
        <v>19</v>
      </c>
      <c r="E2831" t="s">
        <v>2836</v>
      </c>
      <c r="F2831">
        <f>HYPERLINK("http://pbs.twimg.com/media/CwXlmtkW8AAUaDL.jpg", "http://pbs.twimg.com/media/CwXlmtkW8AAUaDL.jpg")</f>
        <v/>
      </c>
      <c r="G2831" t="s"/>
      <c r="H2831" t="s"/>
      <c r="I2831" t="s"/>
      <c r="J2831" t="n">
        <v>-0.4738</v>
      </c>
      <c r="K2831" t="n">
        <v>0.14</v>
      </c>
      <c r="L2831" t="n">
        <v>0.86</v>
      </c>
      <c r="M2831" t="n">
        <v>0</v>
      </c>
    </row>
    <row r="2832" spans="1:13">
      <c r="A2832" s="1">
        <f>HYPERLINK("http://www.twitter.com/NathanBLawrence/status/794302430838026240", "794302430838026240")</f>
        <v/>
      </c>
      <c r="B2832" s="2" t="n">
        <v>42677.92859953704</v>
      </c>
      <c r="C2832" t="n">
        <v>0</v>
      </c>
      <c r="D2832" t="n">
        <v>77</v>
      </c>
      <c r="E2832" t="s">
        <v>2837</v>
      </c>
      <c r="F2832" t="s"/>
      <c r="G2832" t="s"/>
      <c r="H2832" t="s"/>
      <c r="I2832" t="s"/>
      <c r="J2832" t="n">
        <v>0.6369</v>
      </c>
      <c r="K2832" t="n">
        <v>0.052</v>
      </c>
      <c r="L2832" t="n">
        <v>0.726</v>
      </c>
      <c r="M2832" t="n">
        <v>0.222</v>
      </c>
    </row>
    <row r="2833" spans="1:13">
      <c r="A2833" s="1">
        <f>HYPERLINK("http://www.twitter.com/NathanBLawrence/status/794299272103501824", "794299272103501824")</f>
        <v/>
      </c>
      <c r="B2833" s="2" t="n">
        <v>42677.91988425926</v>
      </c>
      <c r="C2833" t="n">
        <v>0</v>
      </c>
      <c r="D2833" t="n">
        <v>7402</v>
      </c>
      <c r="E2833" t="s">
        <v>2838</v>
      </c>
      <c r="F2833">
        <f>HYPERLINK("http://pbs.twimg.com/media/CwXnqCyWIAICmuV.jpg", "http://pbs.twimg.com/media/CwXnqCyWIAICmuV.jpg")</f>
        <v/>
      </c>
      <c r="G2833" t="s"/>
      <c r="H2833" t="s"/>
      <c r="I2833" t="s"/>
      <c r="J2833" t="n">
        <v>0.4767</v>
      </c>
      <c r="K2833" t="n">
        <v>0</v>
      </c>
      <c r="L2833" t="n">
        <v>0.829</v>
      </c>
      <c r="M2833" t="n">
        <v>0.171</v>
      </c>
    </row>
    <row r="2834" spans="1:13">
      <c r="A2834" s="1">
        <f>HYPERLINK("http://www.twitter.com/NathanBLawrence/status/794296264846254080", "794296264846254080")</f>
        <v/>
      </c>
      <c r="B2834" s="2" t="n">
        <v>42677.91158564815</v>
      </c>
      <c r="C2834" t="n">
        <v>0</v>
      </c>
      <c r="D2834" t="n">
        <v>10734</v>
      </c>
      <c r="E2834" t="s">
        <v>2839</v>
      </c>
      <c r="F2834" t="s"/>
      <c r="G2834" t="s"/>
      <c r="H2834" t="s"/>
      <c r="I2834" t="s"/>
      <c r="J2834" t="n">
        <v>0</v>
      </c>
      <c r="K2834" t="n">
        <v>0</v>
      </c>
      <c r="L2834" t="n">
        <v>1</v>
      </c>
      <c r="M2834" t="n">
        <v>0</v>
      </c>
    </row>
    <row r="2835" spans="1:13">
      <c r="A2835" s="1">
        <f>HYPERLINK("http://www.twitter.com/NathanBLawrence/status/794293158603431936", "794293158603431936")</f>
        <v/>
      </c>
      <c r="B2835" s="2" t="n">
        <v>42677.90300925926</v>
      </c>
      <c r="C2835" t="n">
        <v>0</v>
      </c>
      <c r="D2835" t="n">
        <v>7124</v>
      </c>
      <c r="E2835" t="s">
        <v>2840</v>
      </c>
      <c r="F2835" t="s"/>
      <c r="G2835" t="s"/>
      <c r="H2835" t="s"/>
      <c r="I2835" t="s"/>
      <c r="J2835" t="n">
        <v>0</v>
      </c>
      <c r="K2835" t="n">
        <v>0</v>
      </c>
      <c r="L2835" t="n">
        <v>1</v>
      </c>
      <c r="M2835" t="n">
        <v>0</v>
      </c>
    </row>
    <row r="2836" spans="1:13">
      <c r="A2836" s="1">
        <f>HYPERLINK("http://www.twitter.com/NathanBLawrence/status/794290436902776833", "794290436902776833")</f>
        <v/>
      </c>
      <c r="B2836" s="2" t="n">
        <v>42677.89550925926</v>
      </c>
      <c r="C2836" t="n">
        <v>0</v>
      </c>
      <c r="D2836" t="n">
        <v>4163</v>
      </c>
      <c r="E2836" t="s">
        <v>2841</v>
      </c>
      <c r="F2836" t="s"/>
      <c r="G2836" t="s"/>
      <c r="H2836" t="s"/>
      <c r="I2836" t="s"/>
      <c r="J2836" t="n">
        <v>0</v>
      </c>
      <c r="K2836" t="n">
        <v>0</v>
      </c>
      <c r="L2836" t="n">
        <v>1</v>
      </c>
      <c r="M2836" t="n">
        <v>0</v>
      </c>
    </row>
    <row r="2837" spans="1:13">
      <c r="A2837" s="1">
        <f>HYPERLINK("http://www.twitter.com/NathanBLawrence/status/794285553202012160", "794285553202012160")</f>
        <v/>
      </c>
      <c r="B2837" s="2" t="n">
        <v>42677.88202546296</v>
      </c>
      <c r="C2837" t="n">
        <v>0</v>
      </c>
      <c r="D2837" t="n">
        <v>40035</v>
      </c>
      <c r="E2837" t="s">
        <v>2842</v>
      </c>
      <c r="F2837" t="s"/>
      <c r="G2837" t="s"/>
      <c r="H2837" t="s"/>
      <c r="I2837" t="s"/>
      <c r="J2837" t="n">
        <v>0.4199</v>
      </c>
      <c r="K2837" t="n">
        <v>0.103</v>
      </c>
      <c r="L2837" t="n">
        <v>0.6870000000000001</v>
      </c>
      <c r="M2837" t="n">
        <v>0.21</v>
      </c>
    </row>
    <row r="2838" spans="1:13">
      <c r="A2838" s="1">
        <f>HYPERLINK("http://www.twitter.com/NathanBLawrence/status/794284660628983808", "794284660628983808")</f>
        <v/>
      </c>
      <c r="B2838" s="2" t="n">
        <v>42677.87956018518</v>
      </c>
      <c r="C2838" t="n">
        <v>0</v>
      </c>
      <c r="D2838" t="n">
        <v>55</v>
      </c>
      <c r="E2838" t="s">
        <v>2843</v>
      </c>
      <c r="F2838">
        <f>HYPERLINK("http://pbs.twimg.com/media/CwXaAAzXEAEA_pb.jpg", "http://pbs.twimg.com/media/CwXaAAzXEAEA_pb.jpg")</f>
        <v/>
      </c>
      <c r="G2838" t="s"/>
      <c r="H2838" t="s"/>
      <c r="I2838" t="s"/>
      <c r="J2838" t="n">
        <v>0.3612</v>
      </c>
      <c r="K2838" t="n">
        <v>0</v>
      </c>
      <c r="L2838" t="n">
        <v>0.884</v>
      </c>
      <c r="M2838" t="n">
        <v>0.116</v>
      </c>
    </row>
    <row r="2839" spans="1:13">
      <c r="A2839" s="1">
        <f>HYPERLINK("http://www.twitter.com/NathanBLawrence/status/794284444932677632", "794284444932677632")</f>
        <v/>
      </c>
      <c r="B2839" s="2" t="n">
        <v>42677.8789699074</v>
      </c>
      <c r="C2839" t="n">
        <v>0</v>
      </c>
      <c r="D2839" t="n">
        <v>13</v>
      </c>
      <c r="E2839" t="s">
        <v>2844</v>
      </c>
      <c r="F2839">
        <f>HYPERLINK("http://pbs.twimg.com/media/CwXZ5VHVEAARO8z.jpg", "http://pbs.twimg.com/media/CwXZ5VHVEAARO8z.jpg")</f>
        <v/>
      </c>
      <c r="G2839" t="s"/>
      <c r="H2839" t="s"/>
      <c r="I2839" t="s"/>
      <c r="J2839" t="n">
        <v>-0.5996</v>
      </c>
      <c r="K2839" t="n">
        <v>0.353</v>
      </c>
      <c r="L2839" t="n">
        <v>0.647</v>
      </c>
      <c r="M2839" t="n">
        <v>0</v>
      </c>
    </row>
    <row r="2840" spans="1:13">
      <c r="A2840" s="1">
        <f>HYPERLINK("http://www.twitter.com/NathanBLawrence/status/794284302557003777", "794284302557003777")</f>
        <v/>
      </c>
      <c r="B2840" s="2" t="n">
        <v>42677.87857638889</v>
      </c>
      <c r="C2840" t="n">
        <v>0</v>
      </c>
      <c r="D2840" t="n">
        <v>55</v>
      </c>
      <c r="E2840" t="s">
        <v>2845</v>
      </c>
      <c r="F2840">
        <f>HYPERLINK("http://pbs.twimg.com/media/CwXZAsIXgAAQlyD.jpg", "http://pbs.twimg.com/media/CwXZAsIXgAAQlyD.jpg")</f>
        <v/>
      </c>
      <c r="G2840" t="s"/>
      <c r="H2840" t="s"/>
      <c r="I2840" t="s"/>
      <c r="J2840" t="n">
        <v>0</v>
      </c>
      <c r="K2840" t="n">
        <v>0</v>
      </c>
      <c r="L2840" t="n">
        <v>1</v>
      </c>
      <c r="M2840" t="n">
        <v>0</v>
      </c>
    </row>
    <row r="2841" spans="1:13">
      <c r="A2841" s="1">
        <f>HYPERLINK("http://www.twitter.com/NathanBLawrence/status/794284036000616448", "794284036000616448")</f>
        <v/>
      </c>
      <c r="B2841" s="2" t="n">
        <v>42677.87783564815</v>
      </c>
      <c r="C2841" t="n">
        <v>0</v>
      </c>
      <c r="D2841" t="n">
        <v>58</v>
      </c>
      <c r="E2841" t="s">
        <v>2846</v>
      </c>
      <c r="F2841">
        <f>HYPERLINK("http://pbs.twimg.com/media/CwXbv_zUQAA9HQw.jpg", "http://pbs.twimg.com/media/CwXbv_zUQAA9HQw.jpg")</f>
        <v/>
      </c>
      <c r="G2841" t="s"/>
      <c r="H2841" t="s"/>
      <c r="I2841" t="s"/>
      <c r="J2841" t="n">
        <v>0.6249</v>
      </c>
      <c r="K2841" t="n">
        <v>0</v>
      </c>
      <c r="L2841" t="n">
        <v>0.594</v>
      </c>
      <c r="M2841" t="n">
        <v>0.406</v>
      </c>
    </row>
    <row r="2842" spans="1:13">
      <c r="A2842" s="1">
        <f>HYPERLINK("http://www.twitter.com/NathanBLawrence/status/794282325102075904", "794282325102075904")</f>
        <v/>
      </c>
      <c r="B2842" s="2" t="n">
        <v>42677.873125</v>
      </c>
      <c r="C2842" t="n">
        <v>0</v>
      </c>
      <c r="D2842" t="n">
        <v>37</v>
      </c>
      <c r="E2842" t="s">
        <v>2847</v>
      </c>
      <c r="F2842" t="s"/>
      <c r="G2842" t="s"/>
      <c r="H2842" t="s"/>
      <c r="I2842" t="s"/>
      <c r="J2842" t="n">
        <v>0.128</v>
      </c>
      <c r="K2842" t="n">
        <v>0</v>
      </c>
      <c r="L2842" t="n">
        <v>0.889</v>
      </c>
      <c r="M2842" t="n">
        <v>0.111</v>
      </c>
    </row>
    <row r="2843" spans="1:13">
      <c r="A2843" s="1">
        <f>HYPERLINK("http://www.twitter.com/NathanBLawrence/status/794282272123781120", "794282272123781120")</f>
        <v/>
      </c>
      <c r="B2843" s="2" t="n">
        <v>42677.87297453704</v>
      </c>
      <c r="C2843" t="n">
        <v>0</v>
      </c>
      <c r="D2843" t="n">
        <v>38</v>
      </c>
      <c r="E2843" t="s">
        <v>2848</v>
      </c>
      <c r="F2843" t="s"/>
      <c r="G2843" t="s"/>
      <c r="H2843" t="s"/>
      <c r="I2843" t="s"/>
      <c r="J2843" t="n">
        <v>0</v>
      </c>
      <c r="K2843" t="n">
        <v>0</v>
      </c>
      <c r="L2843" t="n">
        <v>1</v>
      </c>
      <c r="M2843" t="n">
        <v>0</v>
      </c>
    </row>
    <row r="2844" spans="1:13">
      <c r="A2844" s="1">
        <f>HYPERLINK("http://www.twitter.com/NathanBLawrence/status/794282180545363968", "794282180545363968")</f>
        <v/>
      </c>
      <c r="B2844" s="2" t="n">
        <v>42677.87271990741</v>
      </c>
      <c r="C2844" t="n">
        <v>0</v>
      </c>
      <c r="D2844" t="n">
        <v>13</v>
      </c>
      <c r="E2844" t="s">
        <v>2849</v>
      </c>
      <c r="F2844">
        <f>HYPERLINK("http://pbs.twimg.com/media/CwXYvbOUQAA6sJ-.jpg", "http://pbs.twimg.com/media/CwXYvbOUQAA6sJ-.jpg")</f>
        <v/>
      </c>
      <c r="G2844" t="s"/>
      <c r="H2844" t="s"/>
      <c r="I2844" t="s"/>
      <c r="J2844" t="n">
        <v>-0.4404</v>
      </c>
      <c r="K2844" t="n">
        <v>0.162</v>
      </c>
      <c r="L2844" t="n">
        <v>0.838</v>
      </c>
      <c r="M2844" t="n">
        <v>0</v>
      </c>
    </row>
    <row r="2845" spans="1:13">
      <c r="A2845" s="1">
        <f>HYPERLINK("http://www.twitter.com/NathanBLawrence/status/794281896075149312", "794281896075149312")</f>
        <v/>
      </c>
      <c r="B2845" s="2" t="n">
        <v>42677.87193287037</v>
      </c>
      <c r="C2845" t="n">
        <v>0</v>
      </c>
      <c r="D2845" t="n">
        <v>732</v>
      </c>
      <c r="E2845" t="s">
        <v>2850</v>
      </c>
      <c r="F2845">
        <f>HYPERLINK("https://video.twimg.com/ext_tw_video/794261795405852673/pu/vid/1280x720/G0pW-DNLp_jn2rNW.mp4", "https://video.twimg.com/ext_tw_video/794261795405852673/pu/vid/1280x720/G0pW-DNLp_jn2rNW.mp4")</f>
        <v/>
      </c>
      <c r="G2845" t="s"/>
      <c r="H2845" t="s"/>
      <c r="I2845" t="s"/>
      <c r="J2845" t="n">
        <v>-0.5994</v>
      </c>
      <c r="K2845" t="n">
        <v>0.246</v>
      </c>
      <c r="L2845" t="n">
        <v>0.754</v>
      </c>
      <c r="M2845" t="n">
        <v>0</v>
      </c>
    </row>
    <row r="2846" spans="1:13">
      <c r="A2846" s="1">
        <f>HYPERLINK("http://www.twitter.com/NathanBLawrence/status/794281523612553216", "794281523612553216")</f>
        <v/>
      </c>
      <c r="B2846" s="2" t="n">
        <v>42677.87090277778</v>
      </c>
      <c r="C2846" t="n">
        <v>0</v>
      </c>
      <c r="D2846" t="n">
        <v>613</v>
      </c>
      <c r="E2846" t="s">
        <v>2851</v>
      </c>
      <c r="F2846" t="s"/>
      <c r="G2846" t="s"/>
      <c r="H2846" t="s"/>
      <c r="I2846" t="s"/>
      <c r="J2846" t="n">
        <v>-0.3382</v>
      </c>
      <c r="K2846" t="n">
        <v>0.102</v>
      </c>
      <c r="L2846" t="n">
        <v>0.898</v>
      </c>
      <c r="M2846" t="n">
        <v>0</v>
      </c>
    </row>
    <row r="2847" spans="1:13">
      <c r="A2847" s="1">
        <f>HYPERLINK("http://www.twitter.com/NathanBLawrence/status/794281479735889920", "794281479735889920")</f>
        <v/>
      </c>
      <c r="B2847" s="2" t="n">
        <v>42677.87078703703</v>
      </c>
      <c r="C2847" t="n">
        <v>0</v>
      </c>
      <c r="D2847" t="n">
        <v>517</v>
      </c>
      <c r="E2847" t="s">
        <v>2852</v>
      </c>
      <c r="F2847" t="s"/>
      <c r="G2847" t="s"/>
      <c r="H2847" t="s"/>
      <c r="I2847" t="s"/>
      <c r="J2847" t="n">
        <v>-0.8442</v>
      </c>
      <c r="K2847" t="n">
        <v>0.378</v>
      </c>
      <c r="L2847" t="n">
        <v>0.622</v>
      </c>
      <c r="M2847" t="n">
        <v>0</v>
      </c>
    </row>
    <row r="2848" spans="1:13">
      <c r="A2848" s="1">
        <f>HYPERLINK("http://www.twitter.com/NathanBLawrence/status/794278430824988672", "794278430824988672")</f>
        <v/>
      </c>
      <c r="B2848" s="2" t="n">
        <v>42677.86237268519</v>
      </c>
      <c r="C2848" t="n">
        <v>0</v>
      </c>
      <c r="D2848" t="n">
        <v>414</v>
      </c>
      <c r="E2848" t="s">
        <v>2853</v>
      </c>
      <c r="F2848">
        <f>HYPERLINK("http://pbs.twimg.com/media/CwXJcfXXUAAtTEl.jpg", "http://pbs.twimg.com/media/CwXJcfXXUAAtTEl.jpg")</f>
        <v/>
      </c>
      <c r="G2848" t="s"/>
      <c r="H2848" t="s"/>
      <c r="I2848" t="s"/>
      <c r="J2848" t="n">
        <v>-0.1779</v>
      </c>
      <c r="K2848" t="n">
        <v>0.116</v>
      </c>
      <c r="L2848" t="n">
        <v>0.884</v>
      </c>
      <c r="M2848" t="n">
        <v>0</v>
      </c>
    </row>
    <row r="2849" spans="1:13">
      <c r="A2849" s="1">
        <f>HYPERLINK("http://www.twitter.com/NathanBLawrence/status/794277892251262976", "794277892251262976")</f>
        <v/>
      </c>
      <c r="B2849" s="2" t="n">
        <v>42677.8608912037</v>
      </c>
      <c r="C2849" t="n">
        <v>0</v>
      </c>
      <c r="D2849" t="n">
        <v>7654</v>
      </c>
      <c r="E2849" t="s">
        <v>2854</v>
      </c>
      <c r="F2849" t="s"/>
      <c r="G2849" t="s"/>
      <c r="H2849" t="s"/>
      <c r="I2849" t="s"/>
      <c r="J2849" t="n">
        <v>0</v>
      </c>
      <c r="K2849" t="n">
        <v>0</v>
      </c>
      <c r="L2849" t="n">
        <v>1</v>
      </c>
      <c r="M2849" t="n">
        <v>0</v>
      </c>
    </row>
    <row r="2850" spans="1:13">
      <c r="A2850" s="1">
        <f>HYPERLINK("http://www.twitter.com/NathanBLawrence/status/794276036447903745", "794276036447903745")</f>
        <v/>
      </c>
      <c r="B2850" s="2" t="n">
        <v>42677.85576388889</v>
      </c>
      <c r="C2850" t="n">
        <v>0</v>
      </c>
      <c r="D2850" t="n">
        <v>44</v>
      </c>
      <c r="E2850" t="s">
        <v>2855</v>
      </c>
      <c r="F2850" t="s"/>
      <c r="G2850" t="s"/>
      <c r="H2850" t="s"/>
      <c r="I2850" t="s"/>
      <c r="J2850" t="n">
        <v>0</v>
      </c>
      <c r="K2850" t="n">
        <v>0</v>
      </c>
      <c r="L2850" t="n">
        <v>1</v>
      </c>
      <c r="M2850" t="n">
        <v>0</v>
      </c>
    </row>
    <row r="2851" spans="1:13">
      <c r="A2851" s="1">
        <f>HYPERLINK("http://www.twitter.com/NathanBLawrence/status/794275767383248896", "794275767383248896")</f>
        <v/>
      </c>
      <c r="B2851" s="2" t="n">
        <v>42677.85502314815</v>
      </c>
      <c r="C2851" t="n">
        <v>0</v>
      </c>
      <c r="D2851" t="n">
        <v>4495</v>
      </c>
      <c r="E2851" t="s">
        <v>2856</v>
      </c>
      <c r="F2851">
        <f>HYPERLINK("http://pbs.twimg.com/media/CwXTgm6WIAAqhGh.jpg", "http://pbs.twimg.com/media/CwXTgm6WIAAqhGh.jpg")</f>
        <v/>
      </c>
      <c r="G2851" t="s"/>
      <c r="H2851" t="s"/>
      <c r="I2851" t="s"/>
      <c r="J2851" t="n">
        <v>0</v>
      </c>
      <c r="K2851" t="n">
        <v>0</v>
      </c>
      <c r="L2851" t="n">
        <v>1</v>
      </c>
      <c r="M2851" t="n">
        <v>0</v>
      </c>
    </row>
    <row r="2852" spans="1:13">
      <c r="A2852" s="1">
        <f>HYPERLINK("http://www.twitter.com/NathanBLawrence/status/794273850842222592", "794273850842222592")</f>
        <v/>
      </c>
      <c r="B2852" s="2" t="n">
        <v>42677.8497337963</v>
      </c>
      <c r="C2852" t="n">
        <v>0</v>
      </c>
      <c r="D2852" t="n">
        <v>15397</v>
      </c>
      <c r="E2852" t="s">
        <v>2857</v>
      </c>
      <c r="F2852">
        <f>HYPERLINK("http://pbs.twimg.com/media/CwXTYsGXAA8YWCN.jpg", "http://pbs.twimg.com/media/CwXTYsGXAA8YWCN.jpg")</f>
        <v/>
      </c>
      <c r="G2852" t="s"/>
      <c r="H2852" t="s"/>
      <c r="I2852" t="s"/>
      <c r="J2852" t="n">
        <v>-0.6597</v>
      </c>
      <c r="K2852" t="n">
        <v>0.265</v>
      </c>
      <c r="L2852" t="n">
        <v>0.735</v>
      </c>
      <c r="M2852" t="n">
        <v>0</v>
      </c>
    </row>
    <row r="2853" spans="1:13">
      <c r="A2853" s="1">
        <f>HYPERLINK("http://www.twitter.com/NathanBLawrence/status/794272783022706688", "794272783022706688")</f>
        <v/>
      </c>
      <c r="B2853" s="2" t="n">
        <v>42677.84679398148</v>
      </c>
      <c r="C2853" t="n">
        <v>0</v>
      </c>
      <c r="D2853" t="n">
        <v>1785</v>
      </c>
      <c r="E2853" t="s">
        <v>2858</v>
      </c>
      <c r="F2853" t="s"/>
      <c r="G2853" t="s"/>
      <c r="H2853" t="s"/>
      <c r="I2853" t="s"/>
      <c r="J2853" t="n">
        <v>-0.2491</v>
      </c>
      <c r="K2853" t="n">
        <v>0.158</v>
      </c>
      <c r="L2853" t="n">
        <v>0.842</v>
      </c>
      <c r="M2853" t="n">
        <v>0</v>
      </c>
    </row>
    <row r="2854" spans="1:13">
      <c r="A2854" s="1">
        <f>HYPERLINK("http://www.twitter.com/NathanBLawrence/status/794272302112198658", "794272302112198658")</f>
        <v/>
      </c>
      <c r="B2854" s="2" t="n">
        <v>42677.84546296296</v>
      </c>
      <c r="C2854" t="n">
        <v>0</v>
      </c>
      <c r="D2854" t="n">
        <v>11108</v>
      </c>
      <c r="E2854" t="s">
        <v>2859</v>
      </c>
      <c r="F2854" t="s"/>
      <c r="G2854" t="s"/>
      <c r="H2854" t="s"/>
      <c r="I2854" t="s"/>
      <c r="J2854" t="n">
        <v>0.4019</v>
      </c>
      <c r="K2854" t="n">
        <v>0</v>
      </c>
      <c r="L2854" t="n">
        <v>0.828</v>
      </c>
      <c r="M2854" t="n">
        <v>0.172</v>
      </c>
    </row>
    <row r="2855" spans="1:13">
      <c r="A2855" s="1">
        <f>HYPERLINK("http://www.twitter.com/NathanBLawrence/status/794272071173828608", "794272071173828608")</f>
        <v/>
      </c>
      <c r="B2855" s="2" t="n">
        <v>42677.84482638889</v>
      </c>
      <c r="C2855" t="n">
        <v>0</v>
      </c>
      <c r="D2855" t="n">
        <v>106</v>
      </c>
      <c r="E2855" t="s">
        <v>2860</v>
      </c>
      <c r="F2855">
        <f>HYPERLINK("http://pbs.twimg.com/media/CwXFfDiXUAAbXhX.jpg", "http://pbs.twimg.com/media/CwXFfDiXUAAbXhX.jpg")</f>
        <v/>
      </c>
      <c r="G2855" t="s"/>
      <c r="H2855" t="s"/>
      <c r="I2855" t="s"/>
      <c r="J2855" t="n">
        <v>-0.7688</v>
      </c>
      <c r="K2855" t="n">
        <v>0.411</v>
      </c>
      <c r="L2855" t="n">
        <v>0.409</v>
      </c>
      <c r="M2855" t="n">
        <v>0.18</v>
      </c>
    </row>
    <row r="2856" spans="1:13">
      <c r="A2856" s="1">
        <f>HYPERLINK("http://www.twitter.com/NathanBLawrence/status/794271300097220608", "794271300097220608")</f>
        <v/>
      </c>
      <c r="B2856" s="2" t="n">
        <v>42677.84269675926</v>
      </c>
      <c r="C2856" t="n">
        <v>0</v>
      </c>
      <c r="D2856" t="n">
        <v>269</v>
      </c>
      <c r="E2856" t="s">
        <v>2861</v>
      </c>
      <c r="F2856" t="s"/>
      <c r="G2856" t="s"/>
      <c r="H2856" t="s"/>
      <c r="I2856" t="s"/>
      <c r="J2856" t="n">
        <v>-0.7184</v>
      </c>
      <c r="K2856" t="n">
        <v>0.343</v>
      </c>
      <c r="L2856" t="n">
        <v>0.551</v>
      </c>
      <c r="M2856" t="n">
        <v>0.106</v>
      </c>
    </row>
    <row r="2857" spans="1:13">
      <c r="A2857" s="1">
        <f>HYPERLINK("http://www.twitter.com/NathanBLawrence/status/794271223446261760", "794271223446261760")</f>
        <v/>
      </c>
      <c r="B2857" s="2" t="n">
        <v>42677.84248842593</v>
      </c>
      <c r="C2857" t="n">
        <v>0</v>
      </c>
      <c r="D2857" t="n">
        <v>157</v>
      </c>
      <c r="E2857" t="s">
        <v>2862</v>
      </c>
      <c r="F2857">
        <f>HYPERLINK("http://pbs.twimg.com/media/CwXPoXRWIAAwc3I.jpg", "http://pbs.twimg.com/media/CwXPoXRWIAAwc3I.jpg")</f>
        <v/>
      </c>
      <c r="G2857" t="s"/>
      <c r="H2857" t="s"/>
      <c r="I2857" t="s"/>
      <c r="J2857" t="n">
        <v>-0.128</v>
      </c>
      <c r="K2857" t="n">
        <v>0.167</v>
      </c>
      <c r="L2857" t="n">
        <v>0.6870000000000001</v>
      </c>
      <c r="M2857" t="n">
        <v>0.146</v>
      </c>
    </row>
    <row r="2858" spans="1:13">
      <c r="A2858" s="1">
        <f>HYPERLINK("http://www.twitter.com/NathanBLawrence/status/794268759682727936", "794268759682727936")</f>
        <v/>
      </c>
      <c r="B2858" s="2" t="n">
        <v>42677.83568287037</v>
      </c>
      <c r="C2858" t="n">
        <v>0</v>
      </c>
      <c r="D2858" t="n">
        <v>1926</v>
      </c>
      <c r="E2858" t="s">
        <v>2863</v>
      </c>
      <c r="F2858">
        <f>HYPERLINK("http://pbs.twimg.com/media/CwWszooXAAAtViP.jpg", "http://pbs.twimg.com/media/CwWszooXAAAtViP.jpg")</f>
        <v/>
      </c>
      <c r="G2858" t="s"/>
      <c r="H2858" t="s"/>
      <c r="I2858" t="s"/>
      <c r="J2858" t="n">
        <v>0</v>
      </c>
      <c r="K2858" t="n">
        <v>0</v>
      </c>
      <c r="L2858" t="n">
        <v>1</v>
      </c>
      <c r="M2858" t="n">
        <v>0</v>
      </c>
    </row>
    <row r="2859" spans="1:13">
      <c r="A2859" s="1">
        <f>HYPERLINK("http://www.twitter.com/NathanBLawrence/status/794267100080549888", "794267100080549888")</f>
        <v/>
      </c>
      <c r="B2859" s="2" t="n">
        <v>42677.83111111111</v>
      </c>
      <c r="C2859" t="n">
        <v>0</v>
      </c>
      <c r="D2859" t="n">
        <v>8409</v>
      </c>
      <c r="E2859" t="s">
        <v>2864</v>
      </c>
      <c r="F2859" t="s"/>
      <c r="G2859" t="s"/>
      <c r="H2859" t="s"/>
      <c r="I2859" t="s"/>
      <c r="J2859" t="n">
        <v>0.25</v>
      </c>
      <c r="K2859" t="n">
        <v>0</v>
      </c>
      <c r="L2859" t="n">
        <v>0.833</v>
      </c>
      <c r="M2859" t="n">
        <v>0.167</v>
      </c>
    </row>
    <row r="2860" spans="1:13">
      <c r="A2860" s="1">
        <f>HYPERLINK("http://www.twitter.com/NathanBLawrence/status/794263634364899328", "794263634364899328")</f>
        <v/>
      </c>
      <c r="B2860" s="2" t="n">
        <v>42677.82153935185</v>
      </c>
      <c r="C2860" t="n">
        <v>0</v>
      </c>
      <c r="D2860" t="n">
        <v>55</v>
      </c>
      <c r="E2860" t="s">
        <v>2865</v>
      </c>
      <c r="F2860" t="s"/>
      <c r="G2860" t="s"/>
      <c r="H2860" t="s"/>
      <c r="I2860" t="s"/>
      <c r="J2860" t="n">
        <v>0.296</v>
      </c>
      <c r="K2860" t="n">
        <v>0</v>
      </c>
      <c r="L2860" t="n">
        <v>0.891</v>
      </c>
      <c r="M2860" t="n">
        <v>0.109</v>
      </c>
    </row>
    <row r="2861" spans="1:13">
      <c r="A2861" s="1">
        <f>HYPERLINK("http://www.twitter.com/NathanBLawrence/status/794259122849878016", "794259122849878016")</f>
        <v/>
      </c>
      <c r="B2861" s="2" t="n">
        <v>42677.80909722222</v>
      </c>
      <c r="C2861" t="n">
        <v>0</v>
      </c>
      <c r="D2861" t="n">
        <v>4292</v>
      </c>
      <c r="E2861" t="s">
        <v>2866</v>
      </c>
      <c r="F2861">
        <f>HYPERLINK("https://video.twimg.com/ext_tw_video/794258358186471424/pu/vid/1280x720/8v_gC9S06MMFuqQc.mp4", "https://video.twimg.com/ext_tw_video/794258358186471424/pu/vid/1280x720/8v_gC9S06MMFuqQc.mp4")</f>
        <v/>
      </c>
      <c r="G2861" t="s"/>
      <c r="H2861" t="s"/>
      <c r="I2861" t="s"/>
      <c r="J2861" t="n">
        <v>-0.5574</v>
      </c>
      <c r="K2861" t="n">
        <v>0.184</v>
      </c>
      <c r="L2861" t="n">
        <v>0.8159999999999999</v>
      </c>
      <c r="M2861" t="n">
        <v>0</v>
      </c>
    </row>
    <row r="2862" spans="1:13">
      <c r="A2862" s="1">
        <f>HYPERLINK("http://www.twitter.com/NathanBLawrence/status/794258298195189760", "794258298195189760")</f>
        <v/>
      </c>
      <c r="B2862" s="2" t="n">
        <v>42677.80681712963</v>
      </c>
      <c r="C2862" t="n">
        <v>0</v>
      </c>
      <c r="D2862" t="n">
        <v>0</v>
      </c>
      <c r="E2862" t="s">
        <v>2867</v>
      </c>
      <c r="F2862" t="s"/>
      <c r="G2862" t="s"/>
      <c r="H2862" t="s"/>
      <c r="I2862" t="s"/>
      <c r="J2862" t="n">
        <v>0</v>
      </c>
      <c r="K2862" t="n">
        <v>0</v>
      </c>
      <c r="L2862" t="n">
        <v>1</v>
      </c>
      <c r="M2862" t="n">
        <v>0</v>
      </c>
    </row>
    <row r="2863" spans="1:13">
      <c r="A2863" s="1">
        <f>HYPERLINK("http://www.twitter.com/NathanBLawrence/status/794257809948884992", "794257809948884992")</f>
        <v/>
      </c>
      <c r="B2863" s="2" t="n">
        <v>42677.80547453704</v>
      </c>
      <c r="C2863" t="n">
        <v>0</v>
      </c>
      <c r="D2863" t="n">
        <v>8857</v>
      </c>
      <c r="E2863" t="s">
        <v>2868</v>
      </c>
      <c r="F2863" t="s"/>
      <c r="G2863" t="s"/>
      <c r="H2863" t="s"/>
      <c r="I2863" t="s"/>
      <c r="J2863" t="n">
        <v>0.4019</v>
      </c>
      <c r="K2863" t="n">
        <v>0</v>
      </c>
      <c r="L2863" t="n">
        <v>0.803</v>
      </c>
      <c r="M2863" t="n">
        <v>0.197</v>
      </c>
    </row>
    <row r="2864" spans="1:13">
      <c r="A2864" s="1">
        <f>HYPERLINK("http://www.twitter.com/NathanBLawrence/status/794254878704967680", "794254878704967680")</f>
        <v/>
      </c>
      <c r="B2864" s="2" t="n">
        <v>42677.79738425926</v>
      </c>
      <c r="C2864" t="n">
        <v>0</v>
      </c>
      <c r="D2864" t="n">
        <v>6475</v>
      </c>
      <c r="E2864" t="s">
        <v>2869</v>
      </c>
      <c r="F2864" t="s"/>
      <c r="G2864" t="s"/>
      <c r="H2864" t="s"/>
      <c r="I2864" t="s"/>
      <c r="J2864" t="n">
        <v>0</v>
      </c>
      <c r="K2864" t="n">
        <v>0</v>
      </c>
      <c r="L2864" t="n">
        <v>1</v>
      </c>
      <c r="M2864" t="n">
        <v>0</v>
      </c>
    </row>
    <row r="2865" spans="1:13">
      <c r="A2865" s="1">
        <f>HYPERLINK("http://www.twitter.com/NathanBLawrence/status/794253321603162112", "794253321603162112")</f>
        <v/>
      </c>
      <c r="B2865" s="2" t="n">
        <v>42677.79309027778</v>
      </c>
      <c r="C2865" t="n">
        <v>0</v>
      </c>
      <c r="D2865" t="n">
        <v>0</v>
      </c>
      <c r="E2865" t="s">
        <v>2870</v>
      </c>
      <c r="F2865" t="s"/>
      <c r="G2865" t="s"/>
      <c r="H2865" t="s"/>
      <c r="I2865" t="s"/>
      <c r="J2865" t="n">
        <v>0.3382</v>
      </c>
      <c r="K2865" t="n">
        <v>0</v>
      </c>
      <c r="L2865" t="n">
        <v>0.556</v>
      </c>
      <c r="M2865" t="n">
        <v>0.444</v>
      </c>
    </row>
    <row r="2866" spans="1:13">
      <c r="A2866" s="1">
        <f>HYPERLINK("http://www.twitter.com/NathanBLawrence/status/794252871646593024", "794252871646593024")</f>
        <v/>
      </c>
      <c r="B2866" s="2" t="n">
        <v>42677.79184027778</v>
      </c>
      <c r="C2866" t="n">
        <v>0</v>
      </c>
      <c r="D2866" t="n">
        <v>6</v>
      </c>
      <c r="E2866" t="s">
        <v>2871</v>
      </c>
      <c r="F2866">
        <f>HYPERLINK("http://pbs.twimg.com/media/CwW6crfXcAA7SnL.jpg", "http://pbs.twimg.com/media/CwW6crfXcAA7SnL.jpg")</f>
        <v/>
      </c>
      <c r="G2866" t="s"/>
      <c r="H2866" t="s"/>
      <c r="I2866" t="s"/>
      <c r="J2866" t="n">
        <v>0</v>
      </c>
      <c r="K2866" t="n">
        <v>0</v>
      </c>
      <c r="L2866" t="n">
        <v>1</v>
      </c>
      <c r="M2866" t="n">
        <v>0</v>
      </c>
    </row>
    <row r="2867" spans="1:13">
      <c r="A2867" s="1">
        <f>HYPERLINK("http://www.twitter.com/NathanBLawrence/status/794251863310729216", "794251863310729216")</f>
        <v/>
      </c>
      <c r="B2867" s="2" t="n">
        <v>42677.7890625</v>
      </c>
      <c r="C2867" t="n">
        <v>0</v>
      </c>
      <c r="D2867" t="n">
        <v>4520</v>
      </c>
      <c r="E2867" t="s">
        <v>2872</v>
      </c>
      <c r="F2867">
        <f>HYPERLINK("http://pbs.twimg.com/media/CwW_M5pXUAAPNN0.jpg", "http://pbs.twimg.com/media/CwW_M5pXUAAPNN0.jpg")</f>
        <v/>
      </c>
      <c r="G2867" t="s"/>
      <c r="H2867" t="s"/>
      <c r="I2867" t="s"/>
      <c r="J2867" t="n">
        <v>0</v>
      </c>
      <c r="K2867" t="n">
        <v>0</v>
      </c>
      <c r="L2867" t="n">
        <v>1</v>
      </c>
      <c r="M2867" t="n">
        <v>0</v>
      </c>
    </row>
    <row r="2868" spans="1:13">
      <c r="A2868" s="1">
        <f>HYPERLINK("http://www.twitter.com/NathanBLawrence/status/794251756456710144", "794251756456710144")</f>
        <v/>
      </c>
      <c r="B2868" s="2" t="n">
        <v>42677.78876157408</v>
      </c>
      <c r="C2868" t="n">
        <v>0</v>
      </c>
      <c r="D2868" t="n">
        <v>34</v>
      </c>
      <c r="E2868" t="s">
        <v>2873</v>
      </c>
      <c r="F2868" t="s"/>
      <c r="G2868" t="s"/>
      <c r="H2868" t="s"/>
      <c r="I2868" t="s"/>
      <c r="J2868" t="n">
        <v>-0.6486</v>
      </c>
      <c r="K2868" t="n">
        <v>0.223</v>
      </c>
      <c r="L2868" t="n">
        <v>0.777</v>
      </c>
      <c r="M2868" t="n">
        <v>0</v>
      </c>
    </row>
    <row r="2869" spans="1:13">
      <c r="A2869" s="1">
        <f>HYPERLINK("http://www.twitter.com/NathanBLawrence/status/794251634905726976", "794251634905726976")</f>
        <v/>
      </c>
      <c r="B2869" s="2" t="n">
        <v>42677.78842592592</v>
      </c>
      <c r="C2869" t="n">
        <v>0</v>
      </c>
      <c r="D2869" t="n">
        <v>26</v>
      </c>
      <c r="E2869" t="s">
        <v>2874</v>
      </c>
      <c r="F2869" t="s"/>
      <c r="G2869" t="s"/>
      <c r="H2869" t="s"/>
      <c r="I2869" t="s"/>
      <c r="J2869" t="n">
        <v>-0.3818</v>
      </c>
      <c r="K2869" t="n">
        <v>0.271</v>
      </c>
      <c r="L2869" t="n">
        <v>0.729</v>
      </c>
      <c r="M2869" t="n">
        <v>0</v>
      </c>
    </row>
    <row r="2870" spans="1:13">
      <c r="A2870" s="1">
        <f>HYPERLINK("http://www.twitter.com/NathanBLawrence/status/794249597975601152", "794249597975601152")</f>
        <v/>
      </c>
      <c r="B2870" s="2" t="n">
        <v>42677.7828125</v>
      </c>
      <c r="C2870" t="n">
        <v>0</v>
      </c>
      <c r="D2870" t="n">
        <v>9</v>
      </c>
      <c r="E2870" t="s">
        <v>2875</v>
      </c>
      <c r="F2870">
        <f>HYPERLINK("http://pbs.twimg.com/media/CjA8NprUgAEZ5xs.jpg", "http://pbs.twimg.com/media/CjA8NprUgAEZ5xs.jpg")</f>
        <v/>
      </c>
      <c r="G2870" t="s"/>
      <c r="H2870" t="s"/>
      <c r="I2870" t="s"/>
      <c r="J2870" t="n">
        <v>0</v>
      </c>
      <c r="K2870" t="n">
        <v>0</v>
      </c>
      <c r="L2870" t="n">
        <v>1</v>
      </c>
      <c r="M2870" t="n">
        <v>0</v>
      </c>
    </row>
    <row r="2871" spans="1:13">
      <c r="A2871" s="1">
        <f>HYPERLINK("http://www.twitter.com/NathanBLawrence/status/794248943081115648", "794248943081115648")</f>
        <v/>
      </c>
      <c r="B2871" s="2" t="n">
        <v>42677.78100694445</v>
      </c>
      <c r="C2871" t="n">
        <v>0</v>
      </c>
      <c r="D2871" t="n">
        <v>27</v>
      </c>
      <c r="E2871" t="s">
        <v>2876</v>
      </c>
      <c r="F2871" t="s"/>
      <c r="G2871" t="s"/>
      <c r="H2871" t="s"/>
      <c r="I2871" t="s"/>
      <c r="J2871" t="n">
        <v>-0.6572</v>
      </c>
      <c r="K2871" t="n">
        <v>0.221</v>
      </c>
      <c r="L2871" t="n">
        <v>0.779</v>
      </c>
      <c r="M2871"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2018-05-08T06:23:27Z</dcterms:created>
  <dcterms:modified xmlns:dcterms="http://purl.org/dc/terms/" xmlns:xsi="http://www.w3.org/2001/XMLSchema-instance" xsi:type="dcterms:W3CDTF">2018-05-08T06:23:27Z</dcterms:modified>
</cp:coreProperties>
</file>