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<sst xmlns="http://schemas.openxmlformats.org/spreadsheetml/2006/main" uniqueCount="2947">
  <si>
    <t>id</t>
  </si>
  <si>
    <t>created_at</t>
  </si>
  <si>
    <t>fav</t>
  </si>
  <si>
    <t>rt</t>
  </si>
  <si>
    <t>text</t>
  </si>
  <si>
    <t>media1</t>
  </si>
  <si>
    <t>media2</t>
  </si>
  <si>
    <t>media3</t>
  </si>
  <si>
    <t>media4</t>
  </si>
  <si>
    <t>compound</t>
  </si>
  <si>
    <t>neg</t>
  </si>
  <si>
    <t>neu</t>
  </si>
  <si>
    <t>pos</t>
  </si>
  <si>
    <t>11 Minutes was too long. 😢 “People believe in the 2nd Amend. because they dont want safety &amp;amp; security of their friends &amp;amp; families to depend upon bravery of others. They arent willing to put the lives of those dear to them or their own at risk...” #2A https://t.co/N3iJg9xjOq</t>
  </si>
  <si>
    <t>https://t.co/JXBrpuCeHQ</t>
  </si>
  <si>
    <t>RT @wikileaks: Leaked email shows that Harvey Weinstein colluded with Clinton campaign manager @RobbyMook in an effort to "silence" Erica G…</t>
  </si>
  <si>
    <t>RT @ggreenwald: Amazing how -  5 years after he got caught blatantly lying to the country &amp;amp; the Senate about NSA domestic spying - James Cl…</t>
  </si>
  <si>
    <t>RT @LarrySchweikart: Note: DemoKKKrats warning Mulehead not to announce anything before midterms.
Gee, why would they do that? I thought h…</t>
  </si>
  <si>
    <t>RT @LarrySchweikart: NYSlimes completely misses the story when they get one fact right. 
Sessions IS a witness. 
But not against Trump. S…</t>
  </si>
  <si>
    <t>RT @WiredSources: JUST IN: Swiss bank BCP follows in footsteps of Germany's No.2 lender DZ Bank to halt all financial transactions with Ira…</t>
  </si>
  <si>
    <t>RT @SteveBond2727: @KrisParonto @Lstoud1 @ValerieJarrett @BarackObama @ABCNetwork Kris as usual you are right on target. Plus Obama listene…</t>
  </si>
  <si>
    <t>RT @SteveSGoddard: Climate alarmist calls me a "liar and moron" for quoting the IPCC.   ROFL. https://t.co/w3pnYjasHm</t>
  </si>
  <si>
    <t>RT @w_terrence: Roseanne got canceled but Bill Maher said the N-Word and he still has a show? Making fun blacks being House Slaves was okay…</t>
  </si>
  <si>
    <t>RT @Eliza_4_God: @R3Thorns @realDonaldTrump Everyone who voted Travis should take a ballot photo &amp;amp; proudly pin it to their profile because…</t>
  </si>
  <si>
    <t>RT @WarriorsFake: @RMConservative @KurtSchlichter Remember that while you are in the voting booth!  🇺🇸💪🏻</t>
  </si>
  <si>
    <t>RT @RMConservative: All but 11 Dems voted against expedited deportations exclusively for MS-13 and other criminal alien gangs. Yes, the par…</t>
  </si>
  <si>
    <t>RT @usacsmret: COMMENTARY: The heat gets turned up on Barack Obama https://t.co/ynbUAWzZWa via @reviewjournal</t>
  </si>
  <si>
    <t>RT @ggreenwald: It's true everywhere in the world: extremists, authoritarians and demagogues thrive when trust in the political and media c…</t>
  </si>
  <si>
    <t>@gary_causer @therealroseanne No, Sykes said she quit. And though we know Roseanne is not a racist, ABC can fire her as a business decision.  The point is, Roseanne extended a sincere apology, even asked her supporters not to defend her comment. I’m still Sorry to see the @RoseanneOnABC show go off the air.</t>
  </si>
  <si>
    <t>This is a person who is judging @therealroseanne 🧐 #DoAsISayNotAsIDo https://t.co/PArTEulrx3</t>
  </si>
  <si>
    <t>RT @jonfre75: @iamwandasykes Not one thing @realDonaldTrump has done is impeachable. Get over it</t>
  </si>
  <si>
    <t>RT @bgoum: Woman Whose Husband Was Deported Defends Trump For Following The Laws https://t.co/scHuy4pM0r via @dailycaller</t>
  </si>
  <si>
    <t>RT @Pink_About_it: Liberals are more outraged at a tweet,  than a corrupt media justifying a scandal bigger than Watergate---
Let that sin…</t>
  </si>
  <si>
    <t>RT @wallys: #Liberalism thrives on fanning the flames of resentment and racial animosity https://t.co/4YRF4zrlrQ</t>
  </si>
  <si>
    <t>RT @akinmx: Roseanne gets cancelled after she made some off-color jokes on twitter.  Meanwhile, Michelle Wolf is rewarded for her off-color…</t>
  </si>
  <si>
    <t>RT @RealCandaceO: The world is changing before our eyes. Tonight at Stanford, a black student stepped to the mic. He said he used to suppor…</t>
  </si>
  <si>
    <t>RT @MsAvaArmstrong: I'm going to park my ass in a Starbucks wearing a MAGA hat.
How long do you think that will last?</t>
  </si>
  <si>
    <t>RT @RealJack: Democrats call VP Pence mentally ill for faith in God, attack Barron Trump, mock Melania’s accent, call for our President’s h…</t>
  </si>
  <si>
    <t>RT @w_terrence: I can go on TV right now and say White People are some Racist Peckerwood Cracka Monkeys and no one would say anything to me…</t>
  </si>
  <si>
    <t>RT @Jillibean557: Roseanne’s Producer Wanda Sykes Caught Calling Pres. Trump An Orangutan https://t.co/OQNyugDWWh via @WayneDupreeShow</t>
  </si>
  <si>
    <t>RT @Fear_Not_Ever: @Nance0881 @ThomasWictor They didn’t get rid of the Cosby show this fast. Roseanne is still available to watch free with…</t>
  </si>
  <si>
    <t>RT @Erebos247: @CassandraRules Who cares about Ambien®™, I want to know what Rosanne was taking when she decided to marry Tom Arnold becaus…</t>
  </si>
  <si>
    <t>RT @trish_regan: . @THEHermanCain on ABC canceling #Roseanne: “I believe they were looking for a reason to cancel #Roseanne and here's why.…</t>
  </si>
  <si>
    <t>RT @Pr0Truthh: @w_terrence @therealroseanne I don't feel bad for them at all. They've known her for long enough to know she is no racist an…</t>
  </si>
  <si>
    <t>RT @ThomasWictor: (10) Roseanne didn't cost anyone their job.
The network threw out the baby with the bathwater, and then everyone else ca…</t>
  </si>
  <si>
    <t>RT @benshapiro: For me, they're both private corporations that get to decide how certain speech impacts their product. So while I think the…</t>
  </si>
  <si>
    <t>RT @benshapiro: Interesting to see the crossover between people who thought the NFL banning kneeling for the anthem was a First Amendment d…</t>
  </si>
  <si>
    <t>RT @PrisonPlanet: Maybe if Roseanne had just lied about what she tweeted, blamed non-existent "hackers" and stuck to what was obviously a b…</t>
  </si>
  <si>
    <t>RT @TuckerCarlson: The cost of college rises each yr. Most students need hefty loans to attend. Yet classes teach less than ever, unless it…</t>
  </si>
  <si>
    <t>RT @TuckerCarlson: Let's review. Trump ran promising to improve relations w/ Russia...voters agreed. But permanent DC hated the idea. They’…</t>
  </si>
  <si>
    <t>RT @ericbolling: Lost in the Roseanne kerfuffle yesterday: 144 Americans died of drug (predominantly opioid) overdoses. 
Sadly today, tomor…</t>
  </si>
  <si>
    <t>@cingoose @Debrah38249436 @LauraLoomer The Left has successfully re-written NYC History, where Mayor Dinkins ran the city into ground &amp;amp; then Giuliani rescued it. 😳</t>
  </si>
  <si>
    <t>“Free market capitalism in America has been so successful in eliminating the traditional problems of mankind -- such as disease, pestilence, hunger and gross poverty -- that all other human problems appear both unbearable and inexcusable.” https://t.co/ocW3MSJtX7</t>
  </si>
  <si>
    <t>RT @therealroseanne: hey guys, don't defend me, it's sweet of you 2 try, but...losing my show is 0 compared 2 being labelled a racist over…</t>
  </si>
  <si>
    <t>RT @NJ_Optimist: New Jersey #Primary #June #5th
Get out the #Vote! Remind your neighbors vote #Republican. Send #Corrupt #Menendez Home!…</t>
  </si>
  <si>
    <t>RT @AnnaBD20: MEMPHIS, Tenn. - Next year, the University of Memphis will help cover the tuition of children and spouses of #Fallen service…</t>
  </si>
  <si>
    <t>“The growth rate over the last 4 quarters came in at 2.9% which was higher than any of the eight years of Barack Obama's presidency.” 💰🇺🇸 https://t.co/ckqtQ3Am2v</t>
  </si>
  <si>
    <t>RT @RealMattCouch: If you’re upset about a Roseanne tweet but okay with what Keith Olbermann, Joy Behar, Joy Reid, Bill Maher, Kathy Griffi…</t>
  </si>
  <si>
    <t>RT @campusreform: "The University of Illinois...has decided to waste more of the taxpayers’ money to justify its unconstitutional action ag…</t>
  </si>
  <si>
    <t>RT @campusreform: "The most successful people I know from disadvantaged backgrounds share my belief that responsibility matters." https://t…</t>
  </si>
  <si>
    <t>RT @neetu_chandak: Always grateful for the experiences provided by @campusreform, check them out! https://t.co/iojOo6cQ80</t>
  </si>
  <si>
    <t>RT @campusreform: Congratulations to one of our 2018 graduates @neetu_chandak. Neetu exposed liberal bias and abuse at Cornell University,…</t>
  </si>
  <si>
    <t>RT @EagleWingsSoars: Video &amp;amp; Article :Justice Dept. IG, key FBI officials slated for Capitol Hill appearances as Clinton email report looms…</t>
  </si>
  <si>
    <t>RT @bbusa617: Richard Blumenthal: Trump can be indicted because no one is above the law https://t.co/sexg7NFXqy
THE BLUMENTHAL WHO LIED AB…</t>
  </si>
  <si>
    <t>RT @NolteNC: The left-wing blacklisting returns... https://t.co/g0DJ8rxJ1R</t>
  </si>
  <si>
    <t>RT @NolteNC: No way ROSEANNE ends up at another network. 
She is toxic now and the cast will not follow her.
Barr is going to have to do…</t>
  </si>
  <si>
    <t>RT @NolteNC: This was Roseanne's Mel Gibson moment.... https://t.co/71fkKLth4J</t>
  </si>
  <si>
    <t>RT @NolteNC: This is a bald-faced lie. https://t.co/Drm2tN5mtT</t>
  </si>
  <si>
    <t>RT @NolteNC: Such wonderful news. Hope for our future. https://t.co/cm379AtxLi</t>
  </si>
  <si>
    <t>RT @NolteNC: I am furious with Roseanne Barr. 
We finally get one over the blacklist, we finally get a top-rated, monster TV show and cult…</t>
  </si>
  <si>
    <t>RT @BreakingNLive: 8,5 hours before the Trump rally in Nashville is about to start and people are already lining up outside. https://t.co/N…</t>
  </si>
  <si>
    <t>RT @BreakingNLive: ABC: Jimmy Kimmel mocking and laughing at Melania Trump’s accent. 
#Roseanne https://t.co/nMNhdZd3s5</t>
  </si>
  <si>
    <t>RT @BreakingNLive: The line in front of the arena in Nashville, where President Trump is expected to give a rally in less than 5 hours, is…</t>
  </si>
  <si>
    <t>RT @almostjingo: 🤬 #FreeRex https://t.co/eiw3x4fOuz</t>
  </si>
  <si>
    <t>RT @LarrySchweikart: Grassley wasting no time. https://t.co/eTSzlcuCKL</t>
  </si>
  <si>
    <t>RT @LarrySchweikart: If you want an example of a "Swamp Creature" who ultimately did the right thing &amp;amp; backed his president 100%, go no fur…</t>
  </si>
  <si>
    <t>RT @LarrySchweikart: It appears Downer wants no part of this coup. https://t.co/8VWtYgXmmf</t>
  </si>
  <si>
    <t>RT @NolteNC: Now do Colin Kaepernick. https://t.co/qrEi4zF8jn</t>
  </si>
  <si>
    <t>RT @Trader_Moe: @TheLeadCNN @maggieNYT No, Maggie is using a conspiracy theory on Russian collusion to cover up her lies.  Here's Obama spy…</t>
  </si>
  <si>
    <t>RT @GOP: Democrats' Midterm Message? MS-13 killers aren’t so bad... https://t.co/b6YeDVYDBy</t>
  </si>
  <si>
    <t>RT @yesnicksearcy: Yes. It’s what I told the social workers 17 years ago when I adopted him. I told them I would need him to trigger racist…</t>
  </si>
  <si>
    <t>RT @gehrig38: The irony of Disney canning Roseanne while continuing to employ some of the industries biggest racist and race baiting frauds…</t>
  </si>
  <si>
    <t>😂😂😂😂👌🏼 https://t.co/DRYsF0Y2vs</t>
  </si>
  <si>
    <t>RT @LarrySchweikart: Tour de force speech by Trump tonight. Any candidate the demoKKKrats send against him will be fodder.</t>
  </si>
  <si>
    <t>RT @MarkDice: @therealroseanne Your co-stars should have stood up for you instead of throwing you under the bus.  I'd say @THEsaragilbert a…</t>
  </si>
  <si>
    <t>RT @ECEverett1: @Avery1776 @Quigley__ @_VachelLindsay_ @BasedBasterd @littlecarrotq @passion_4truth @almostjingo @NameRedacted7 Great video…</t>
  </si>
  <si>
    <t>RT @MrsArboe: @The_War_Economy @_VachelLindsay_ F</t>
  </si>
  <si>
    <t>A 2013 FOIA request by Americans for Limited Govt discovered the Dept of V.A had over 250 employees working full time FOR unions in 2011. The Transportation Dept had 35 employees on full-time “official time,” many had salaries in excess of $170,000 a yr https://t.co/eHouFzLeiN</t>
  </si>
  <si>
    <t>Seriously? Doesnt the NBA have a Stand for the Anthem policy? 🙄 https://t.co/CW4uwFQMFZ</t>
  </si>
  <si>
    <t>RT @RealJamesWoods: This is actually the family #ChelseaClinton married into...  https://t.co/limOPP1sBV</t>
  </si>
  <si>
    <t>RT @RealJamesWoods: Mayors of #SanctuaryCities should be held legally responsible for abductions and murders of children committed by #Ille…</t>
  </si>
  <si>
    <t>RT @RealJamesWoods: This is absolutely heartbreaking. https://t.co/L23ng1Rv5N</t>
  </si>
  <si>
    <t>RT @chuckwoolery: Obama Administration ‘Placed Children With Human Traffickers’ https://t.co/wdFYQKSlxI https://t.co/4YNVbfgxKm</t>
  </si>
  <si>
    <t>RT @chuckwoolery: Should Obama supporters feel guilty that he helped Iran finance terrorism? Click and get the #BFT now. https://t.co/GdhVE…</t>
  </si>
  <si>
    <t>RT @chuckwoolery: SHOCK: University of Illinois Professor Says Trump Supporting Student Is ‘Lucky I Didn’t Flatten His Ass’ https://t.co/gz…</t>
  </si>
  <si>
    <t>RT @mitchellvii: Here's a great idea.  Let's elect a bunch of Democrats so they can have government set gas prices and throw out supply and…</t>
  </si>
  <si>
    <t>RT @BFT_Podcast: @MittRomney November is right around the corner. Is it a great idea to run to your buddies at NBC and bash PresidentTrump?…</t>
  </si>
  <si>
    <t>RT @chuckwoolery: While In Black Face, ABC’s Jimmy Kimmel Insulted The Intelligence of African-American Athletes https://t.co/LJ0ZiDQKgW ht…</t>
  </si>
  <si>
    <t>RT @chuckwoolery: Republican Lawmakers Introduce Bill to Rescind $15 Billion in Spending https://t.co/mXqwXC5mF3 https://t.co/rTUpAwSsHh</t>
  </si>
  <si>
    <t>RT @chuckwoolery: Go ahead, ‘NFL stars’ – make my day https://t.co/DwtACNDIGb https://t.co/QDZa76uAx4</t>
  </si>
  <si>
    <t>RT @brianbsaleh: Up-Chuck Schumer orders media to cover up 'Spygate' https://t.co/HJTZhDQhiJ via @ChrisCPandolfo</t>
  </si>
  <si>
    <t>RT @magaxxoo: Between ESPN &amp;amp; ABC - this is only the acceleration of their downward spiral. https://t.co/XlYpyPyl0z</t>
  </si>
  <si>
    <t>RT @LauraLoomer: Mayor de Blasio was late to the Memorial Day Parade.
But he sure as hell showed up to speak at the Ramadan dinner in NYC…</t>
  </si>
  <si>
    <t>RT @GatewayPatriot: MSNBC Slammed For Bringing Joy Reid on Air to Talk About Roseanne’s Controversial Tweet https://t.co/1lXkHFxFs5</t>
  </si>
  <si>
    <t>RT @WayneDupreeShow: Kutcher Is Responsible For Saving over 6K Children From Trafficking And Identifying 2K Traffickers! 
He and his compa…</t>
  </si>
  <si>
    <t>RT @WayneDupreeShow: Roseanne's Producer Wanda Sykes Caught Calling Pres. Trump An Orangutan 
The irony here is this video was done last y…</t>
  </si>
  <si>
    <t>RT @DeplorableJon: The first time I was ever accused of racism was 2 years ago. By my uncle. After my father's funeral. At my mom's kitchen…</t>
  </si>
  <si>
    <t>RT @Lrihendry: The Democrat party is the world’s most successful hate group. It encourages poor people to hate rich people, black people to…</t>
  </si>
  <si>
    <t>RT @JackPosobiec: Roseanne’s grandmother had her entire family wiped out by the Nazis in the Holocaust. Not hard to guess why she, as a Jew…</t>
  </si>
  <si>
    <t>RT @dekdarion: I have personally witnessed @therealroseanne speak out against antiSemitism for as long as I have been on Twitter.  @georges…</t>
  </si>
  <si>
    <t>RT @ToneChaser79: Thankfully you are part of a very small minority. Absolutely no one with the capacity of intelligent thought takes anythi…</t>
  </si>
  <si>
    <t>RT @Chris11962: #BoycottABC https://t.co/rCeOx7OoR9</t>
  </si>
  <si>
    <t>RT @BestMAGA2020: BREAKING: Anti-Netflix Boycott Reaches 100,000 SUPPORTERS in less than one week! https://t.co/TEaFDUUUL7</t>
  </si>
  <si>
    <t>RT @JamesHasson20: The vast majority of conservatives I've seen today have condemned Roseanne's remarks. Instead of acknowledging that and…</t>
  </si>
  <si>
    <t>RT @taeto_21: @David_Bossie @realDonaldTrump @SecPompeo Maybe it's time for this president to take a play from #39 and do some public disco…</t>
  </si>
  <si>
    <t>RT @DVacanye: @BarbaraBroulli1 @David_Bossie @realDonaldTrump @SecPompeo Let’s inundate Congress with phone calls,  letters,  emails,  and…</t>
  </si>
  <si>
    <t>RT @David_Bossie: Why is the "Deep" State Dept not turning over docs relating to fake dossier about @realdonaldtrump? State says it will ta…</t>
  </si>
  <si>
    <t>RT @FoxNews: Boy, 9, raises $6,000 for sick brother at lemonade stand https://t.co/vSoh48zVSK</t>
  </si>
  <si>
    <t>RT @SaraCarterDC: Remembering all those who’ve sacrificed their lives for our great nation. To our friends who gave everything - their fami…</t>
  </si>
  <si>
    <t>RT @SaraCarterDC: Media Double Down After New York Times Gets Busted On Fake News https://t.co/AixKh3OiUe</t>
  </si>
  <si>
    <t>RT @SaraCarterDC: Very true and his peace through strength approach around the world. https://t.co/qjjjoMnn0v</t>
  </si>
  <si>
    <t>RT @SaraCarterDC: How true @KimStrassel it doesn’t get simpler than this.... https://t.co/me3vc1jJM0</t>
  </si>
  <si>
    <t>RT @TuckerCarlson: Mueller's investigation grinds on, as it has for an 1 yr. So far the whole thing has produced zero evidence that Trump c…</t>
  </si>
  <si>
    <t>RT @TuckerCarlson: In an interview, James Clapper claimed that Russia flipped the result of the 2016 election. Asked for evidence, Clapper…</t>
  </si>
  <si>
    <t>RT @TuckerCarlson: Tucker's new book #ShipOfFools is now available for preorder! Click the link below to be one of the first to read! #Tuck…</t>
  </si>
  <si>
    <t>RT @Riskographer2: @TheLastRefuge2 Did you know that @_VachelLindsay_ AND @Imperator_Rex3 have BOTH Ben suspended?  Targeted by resist “att…</t>
  </si>
  <si>
    <t>RT @KyleKashuv: Why not also take away their cars?
pt 4) The intimate relationship numbers are useless because they also include crimes co…</t>
  </si>
  <si>
    <t>RT @KyleKashuv: health facility.  Simply saying that someone can't legally buy a gun isn't a serious response. People can get guns in other…</t>
  </si>
  <si>
    <t>RT @KyleKashuv: pt 1) This is a survey by gun control advocates that I trust about as far as I can throw it.
Pt. 2 see https://t.co/u922SD…</t>
  </si>
  <si>
    <t>RT @KyleKashuv: *Thread*
This article is quite bad and makes everything seem like common sense.  
I am going to debunk the article 1-by-1…</t>
  </si>
  <si>
    <t>RT @KatiePavlich: A visit to Arlington Cemetery is an important and humbling reminder that freedom is not free. These men died together, as…</t>
  </si>
  <si>
    <t>RT @KatiePavlich: Exclusive: Border Patrol Warns MS-13 Using Nogales Processing Center as Recruitment Hub https://t.co/DqJTPOsGu2</t>
  </si>
  <si>
    <t>WTH? “Although Nava-Martinez [the smuggler] was arrested and charged, the minor was delivered to her mother living illegally in Virginia by DHS, automatically making the minor eligible for the President Obama's DREAMers program.” https://t.co/IWMt0Z8HiU</t>
  </si>
  <si>
    <t>RT @KatiePavlich: Peaceful, unarmed protestors in Gaza are at it again https://t.co/r8RMgqBpQd</t>
  </si>
  <si>
    <t>RT @shadowfax_82: If you are freaking out over Trey Gowdy’s crazy diatribe on FOX tonight, stop, breathe, and read this. 👇 https://t.co/rhy…</t>
  </si>
  <si>
    <t>RT @shadowfax_82: Everyone gleefully reporting on Gowdy’s statement tonight on FOX, have conveniently omitted a crucial line. 👇 https://t.c…</t>
  </si>
  <si>
    <t>RT @RepDeSantis: Looks like the IG report will finally land within the next week.  I look forward to reviewing the report and, more importa…</t>
  </si>
  <si>
    <t>RT @shadowfax_82: Booing Corker was great! His own state booed him. https://t.co/7gh9I6mnnh</t>
  </si>
  <si>
    <t>RT @shadowfax_82: Everything old is new again. 
We’re back to obstruction, which we know is going nowhere. https://t.co/9YnPs1HdKk</t>
  </si>
  <si>
    <t>RT @shadowfax_82: Prepare yourself for this attack on the OIG as soon as the report is released. The (D’s) have been laying the groundwork…</t>
  </si>
  <si>
    <t>RT @shadowfax_82: I have officially given up any remaining respect I had for Little Marco. 
Now that McCain and Flake are retiring, the me…</t>
  </si>
  <si>
    <t>RT @shadowfax_82: Boy, are they going to be surprised. 🕵️‍♀️ https://t.co/bDzlU0D7T4</t>
  </si>
  <si>
    <t>RT @shadowfax_82: The Chalupa sisters are a lot more involved than has been revealed so far, in my opinion. https://t.co/xeAAZmn15D</t>
  </si>
  <si>
    <t>RT @shadowfax_82: Cohen raid was allegedly to investigate Trump-PInchuk, for a 150k Skype speech. 
Meanwhile:
"When Clinton was Secretary…</t>
  </si>
  <si>
    <t>RT @shadowfax_82: Did we just forget that Mueller has a conflict with one of the main Russian Oligarchs at the center of this 💩 show? 
How…</t>
  </si>
  <si>
    <t>RT @Chris11962: @JudicialWatch One can only imagine the blackmail the Awans have on .@DWS &amp;amp; congressional Dems. 🙄 #ReleaseTheDocuments</t>
  </si>
  <si>
    <t>RT @JudicialWatch: NEW: More evidence has surfaced on the disturbing ongoing political cover-up of grave national security violations commi…</t>
  </si>
  <si>
    <t>RT @USPatriotA1: Candace Owens: Media no longer reflects hearts of Americans  #breaking https://t.co/HopKUJ9FRT</t>
  </si>
  <si>
    <t>RT @Jillibean557: I have never been about separating illegal children from their illegal parents. 
An illegal family that comes across the…</t>
  </si>
  <si>
    <t>RT @RealJack: Hidden from the news cycle due to Roseanne outrage &amp;amp; the weekend, more and more proof the FBI &amp;amp; DOJ spied on the Trump campai…</t>
  </si>
  <si>
    <t>RT @mikebwonder: Roseanne is learning a lesson the hard way.  
Thou shall not make a public attack on Barack Obama or anyone in his admini…</t>
  </si>
  <si>
    <t>RT @ChuckNASCAR: They live together years after they left the White House, weird. https://t.co/tDxxSg4e8H</t>
  </si>
  <si>
    <t>RT @tgradous: No 1 ever questions those spreading the anti-gun narrative. Those folks are free to say whatever the hell they want.
Meanwhi…</t>
  </si>
  <si>
    <t>RT @EdAsante77: They did the wrong thing. It will just harden feelings and fault lines. These corporations really need to stop listening to…</t>
  </si>
  <si>
    <t>RT @LarrySchweikart: Suspending @_VachellLindsey_ and cancelling Roseanne . . .
The leftists are very, very afraid of what's coming.</t>
  </si>
  <si>
    <t>“According to the survey conducted by Harvard/Harris over 56% of those asked believe labeling the criminal cartel as “animals” was a “fair description,” compared to 44% who believed the term was an “unfair” characterization.” https://t.co/fshj7fRQOX</t>
  </si>
  <si>
    <t>RT @seanhannity: https://t.co/U4FhQeA0T5</t>
  </si>
  <si>
    <t>RT @brithume: The @MaxBoot comment that sparked this is an example of the way too many Trump critics think everything is somehow about him.…</t>
  </si>
  <si>
    <t>RT @guypbenson: The "backlash" against Ivanka Trump's "tone deaf" photo w/her son is remarkably stupid &amp;amp; appears to be largely a synthetic…</t>
  </si>
  <si>
    <t>RT @brithume: Shorter Dowd: Harrumph. https://t.co/5yEejYd1ln</t>
  </si>
  <si>
    <t>RT @SharylAttkisson: The new catch phrase by some in the news seems to be comma--citing without proof--comma or comma--without any evidence…</t>
  </si>
  <si>
    <t>RT @TheLastRefuge2: Giddy up !! https://t.co/uOTzEF0Nm9</t>
  </si>
  <si>
    <t>RT @WiredSources: INCREDIBLE: President Trump’s Nashville rally isn’t scheduled to begin for another 8.5 hours, but people are already lini…</t>
  </si>
  <si>
    <t>RT @LouDobbs: #BuildtheWall:  Zinke Calls for Border Wall, 'A Nation Without Borders Can’t Exist’ | Breitbart https://t.co/9qylMvW1H2 via @…</t>
  </si>
  <si>
    <t>RT @realDonaldTrump: A Democratic lawmaker just introduced a bill to Repeal the GOP Tax Cuts (no chance). This is too good to be true for R…</t>
  </si>
  <si>
    <t>RT @TheLastRefuge2: .@Hadas_Gold The weird thing about this whole episode - is the nagging question  why all these media accounts did not r…</t>
  </si>
  <si>
    <t>RT @MAGAmovementCA: Who wants to see Fox pick up Roseanne?They picked up The Last Man Standing After ABC dropped them. Let's encourage Fox…</t>
  </si>
  <si>
    <t>RT @Cartilago4: Definitely ready for Last Man Standing &amp;amp; @ofctimallen to make a dramatic return to television &amp;amp; he is guaranteed to make an…</t>
  </si>
  <si>
    <t>RT @ArtificialMax: Screw ABC.  Fox should put Roseanne on after Last Man Standing. #Rosanne #lastmanstanding https://t.co/yRDDJJFPWZ</t>
  </si>
  <si>
    <t>RT @DriveMeMild: @EcgoLC @NameRedacted7 @JohnSipher They say that nations fall from within, don't they?
The problem with domestic enemies…</t>
  </si>
  <si>
    <t>RT @Barnes_Law: If it's "obstruction of justice" for an AG to not recuse themselves when they might be a witness, then Lynch &amp;amp; Holder commi…</t>
  </si>
  <si>
    <t>RT @JohnWHuber: SUMMARY
What was one of the FBI's top counterintel officers doing in London in mid-May, if the FBI counterintel probe supp…</t>
  </si>
  <si>
    <t>RT @JohnWHuber: So, some see PRIESTAP as a potential "white hat" working to expose DOJ/FBI abuses behind the scenes with the IG. If during…</t>
  </si>
  <si>
    <t>RT @JohnWHuber: More reasons why this London visit may be significant. PRIESTAP has been speculated to be a co-operating witness for @Justi…</t>
  </si>
  <si>
    <t>RT @JohnWHuber: I'm sure it is just yet another coincidence that the head of the FBI's counterintelligence division was in London at the sa…</t>
  </si>
  <si>
    <t>RT @JohnWHuber: Since then, @ChuckRossDC has done exclusive reporting the DOWNER &amp;amp; PAPADOPOULOS meeting at Kensington Wine Rooms, narrowing…</t>
  </si>
  <si>
    <t>RT @JohnWHuber: https://t.co/9C6PKs60IT https://t.co/G7UeLP8agR</t>
  </si>
  <si>
    <t>RT @GorkaMonica: @Barnes_Law This is unbelievable. Scary.</t>
  </si>
  <si>
    <t>RT @Barnes_Law: Imagine: a D.C. lawyer w/ friends &amp;amp; clients in the intel services threatens to use his govt. ties to spy on &amp;amp; dox a twitter…</t>
  </si>
  <si>
    <t>RT @ChadPergram: Senate Judiciary Cmte schedules hrng June 5 titled “Examining the Inspector General’s First Report on Justice Department D…</t>
  </si>
  <si>
    <t>RT @NameRedacted7: Send some prayers up... https://t.co/z8XNbcv9nE</t>
  </si>
  <si>
    <t>RT @GlomarNeverDies: ...so what's the bad part? https://t.co/h5aEX6LeFu</t>
  </si>
  <si>
    <t>RT @PMelanson87: @juliehdavis That young boy didn’t air 90+% of negative Trump coverage - That was CNN. Own it.</t>
  </si>
  <si>
    <t>RT @Barnes_Law: A President asking his Attorney General to do his job cannot be obstruction of justice. A President asking his Attorney Gen…</t>
  </si>
  <si>
    <t>RT @Shem_Infinite: Anyone care to take a guess?
Brennan? McCabe? Comey? 
I bet you who doesn't have to guess. IG Horowitz. #SOON https://…</t>
  </si>
  <si>
    <t>RT @KrisParonto: Rosie’s tweet against @ValerieJarrett is not bigger than. 1)Valerie supporting the Muslim Brotherhood Terrorists 2)Cutting…</t>
  </si>
  <si>
    <t>RT @realKyleOlbert: … UPDATE: this is a list of 2016 #DNC superdelegates who are linked to the #AwanBrothers. Pay attention to their endors…</t>
  </si>
  <si>
    <t>RT @realKyleOlbert: … #AwanBrothers employed by THREE of the FOUR Congressional Black Caucus chairs since 2011, Reps. Cleaver, Fudge, &amp;amp; Ric…</t>
  </si>
  <si>
    <t>RT @realKyleOlbert: 🚨 I've re-verified it. *NONE* of the #DNC superdelegates who employed the #AwanBrothers endorsed #Bernie. MAJOR ELECTIO…</t>
  </si>
  <si>
    <t>RT @mchooyah: Sad to see our freedom of speech dying. Everyone is a victim now. “Trigger” meant something way different when I was growing…</t>
  </si>
  <si>
    <t>RT @IngrahamAngle: Great discussion with Senator Lee tonight— don’t forget to pick up a copy of his book “Written Out of History: The Forgo…</t>
  </si>
  <si>
    <t>RT @FoxNews: .@ChristopherHahn: "I don't think [@BarackObama] was great on immigration...He probably could've worked with Congress to have…</t>
  </si>
  <si>
    <t>RT @IngrahamAngle: Andy McCarthy is here next to tell us why he believes team Obama spied on the Trump campaign. And more and more FBI agen…</t>
  </si>
  <si>
    <t>RT @IngrahamAngle: Criminals across America are separated from their families every hour of every day.  Is the Left going to pitch a fit ab…</t>
  </si>
  <si>
    <t>RT @thedailybeast: As the opioid epidemic ravages the country, lawmakers pushing for reforms to how the drugs are prescribed have encounter…</t>
  </si>
  <si>
    <t>RT @TVNewsHQ: TV RATINGS: Last week, Fox News was #1 in total daytime viewers for a 19th straight week https://t.co/dItH4cXLtQ https://t.co…</t>
  </si>
  <si>
    <t>RT @IngrahamAngle: What the Establishment parties did in Italy to crush the populist coalition will come back to haunt them.  People see th…</t>
  </si>
  <si>
    <t>RT @IngrahamAngle: Italians are trying to save Italy—the Establishment’s days are numbered.  https://t.co/kCEzLONp0B</t>
  </si>
  <si>
    <t>RT @EdwardPentin: In response to reports (https://t.co/WxGsalRZgQ) that Bolivian Cardinal-Designate Bishop Toribio Ticona, 81, has a "wife"…</t>
  </si>
  <si>
    <t>RT @IngrahamAngle: The fact that Repubs haven’t done whatever nec (incl change the filibuster rules in the Senate) to end the massive flow…</t>
  </si>
  <si>
    <t>@ItsMeCathi Because if you watch the show you know its not “alt-right” and the family is realistic with a mix of different viewpoints. #RoseanneBarr</t>
  </si>
  <si>
    <t>RT @MZHemingway: "To put the matter more succinctly: We know why it is claimed that Halper was a spy; we still do not know why it was claim…</t>
  </si>
  <si>
    <t>RT @MZHemingway: "incompetent Grammar Nazis might be the worst people alive." -- @HashtagGriswold https://t.co/gCt6bGsuHA</t>
  </si>
  <si>
    <t>RT @ChuckRossDC: Wonder why there's not this much hand-wringing over the ultimate conspiracy theory -- the one generated by Christopher Ste…</t>
  </si>
  <si>
    <t>RT @AlexPappas: Expect the IG's report on the FBI's Clinton email probe soon. Senate Judiciary Committee holding an “Examining the Inspecto…</t>
  </si>
  <si>
    <t>RT @MZHemingway: One of most delightful people I've met via Special Report is @MaraLiasson. Here she has an interesting chat with @bdomenec…</t>
  </si>
  <si>
    <t>RT @MZHemingway: Excellent and fascinating piece here by @byronyork: Trump campaign vet: Informant used me to get to Papadopoulos https://t…</t>
  </si>
  <si>
    <t>RT @MZHemingway: By @davidharsanyi: Obama Says 'I Didn't Have Scandals.' So What Are All These? https://t.co/GYQK4aPiQz</t>
  </si>
  <si>
    <t>RT @MZHemingway: "Trump derangement extends to copy-editing" -- @bdomenech https://t.co/i1WDvjREJl</t>
  </si>
  <si>
    <t>RT @MinistryOfSooth: @MZHemingway What's bizarre is the amnesia these MSM journalists exhibit with respect to their own past, now absurd, s…</t>
  </si>
  <si>
    <t>RT @jamestaranto: Your newspaper spent 6 1/2 years lying about the Gabby Giffords shooting. https://t.co/EZoNkGXv2H</t>
  </si>
  <si>
    <t>RT @Oil_Guns_Merica: Promising to raise taxes from the back of a Ferrari is peak Democrat https://t.co/5kL7Ddz5lk</t>
  </si>
  <si>
    <t>RT @HotlineJosh: NEW Against the Grain: “Democrats Caught In a Culture War Trap” 
— my response to @DLeonhardt column:
https://t.co/JysHV2…</t>
  </si>
  <si>
    <t>RT @GPollowitz: The left wanted the Trump admin to get stricter on keeping track if the unaccompanied minors. WTF did they think would happ…</t>
  </si>
  <si>
    <t>RT @ChuckRossDC: It's on https://t.co/vuwlVpPJ4M</t>
  </si>
  <si>
    <t>RT @DailyMail: FBI was warned about Oklahoma restaurant shooter's paranoid YouTube videos but chose not to do anything https://t.co/6KHnOoG…</t>
  </si>
  <si>
    <t>RT @mcmoynihan: Going to just float a theory here: because they don’t buy their guns at the gun store https://t.co/PPuDMzPm2u</t>
  </si>
  <si>
    <t>RT @FDRLST: Gun-Armed Fast Food Employee Fends Off Scissor-Wielding Clown https://t.co/WTuDxWW4OU</t>
  </si>
  <si>
    <t>RT @seanmdav: Oh, nothing to see here, just an elected official barking orders to a free press. Can't wait to see all those journo firefigh…</t>
  </si>
  <si>
    <t>RT @prayingmedic: FBI Agents Afraid To Testify, "The inmates have been running the asylum and they don’t respect, much less fear, their ove…</t>
  </si>
  <si>
    <t>RT @WhiteHouse: "As long as we are blessed with patriots such as these, we shall forever remain one people, one family, and one nation unde…</t>
  </si>
  <si>
    <t>RT @realDonaldTrump: Funny to watch the Democrats criticize Trade Deals being negotiated by me when they don’t even know what the deals are…</t>
  </si>
  <si>
    <t>RT @prayingmedic: The most glorious days lie ahead. So do the most difficult. There is no glory without difficulty, without suffering. Not…</t>
  </si>
  <si>
    <t>RT @prayingmedic: More Evidence That #Spygate Was a CIA - British Intelligence Operation  https://t.co/M9imeiEerG</t>
  </si>
  <si>
    <t>RT @Heyoka_Hawk: @conspirator0 @_VachelLindsay_ @Imperator_Rex3 WoW a program with certain criteria to contain specific words defined as pr…</t>
  </si>
  <si>
    <t>RT @Heyoka_Hawk: @OnceUponInTheUS @Dylswife11 @_VachelLindsay_ @conspirator0 @Imperator_Rex3 Rex was threatened by an idiot claiming he had…</t>
  </si>
  <si>
    <t>RT @1Romans58: Well lets get this party started already! Get him in front of Congress now, like today. Go go go...
BOMBSHELL: Top FBI Insi…</t>
  </si>
  <si>
    <t>RT @SandraTXAS: Cry all you want
Trump is doing exactly what I hired him to do
💥💥
Tax Cuts
Judges
ProLife
TPP
Iran Deal
North Korea
Illegal…</t>
  </si>
  <si>
    <t>RT @unscriptedmike: Some tuned into MSNBC and watched some phonies talk about #everydayracism. These are people who think they’re living in…</t>
  </si>
  <si>
    <t>RT @BonnieGranny: Hey--How many times was Muslim Brotherhood found within Obama's WH? We all saw them there +the shameful anti-Christian +…</t>
  </si>
  <si>
    <t>RT @IsraelUSAforevr: Since Roseanne got fired for comparing Valerie Jarrett to an ape, I guess it's only fair that Bill Maher gets fired fo…</t>
  </si>
  <si>
    <t>RT @marshallc1971: @The_War_Economy @_VachelLindsay_ F</t>
  </si>
  <si>
    <t>RT @TomAdamek: @The_War_Economy @almostjingo @_VachelLindsay_ F</t>
  </si>
  <si>
    <t>RT @ThomasWictor: (6) The people who do the REAL damage fly under the radar screen.
They erase all traces of their activity.
They're neve…</t>
  </si>
  <si>
    <t>RT @ThomasWictor: (3) But I thought...? https://t.co/wUsrq0uNGG</t>
  </si>
  <si>
    <t>RT @ThomasWictor: (1) Wait: What?
https://t.co/Eub6n9pA4Z</t>
  </si>
  <si>
    <t>RT @seanhannity: The Best of America’: Scranton Remembers Forgotten Fallen Marine 51 Years Later in Memorial Day Weekend Ceremony | Breitba…</t>
  </si>
  <si>
    <t>RT @Doodisgirl: Remember, there will continue to be a huge double standard as long as the Leftists are still in charge of the media.
Tweet…</t>
  </si>
  <si>
    <t>RT @Dvscott81Scott: https://t.co/STAxboexfz https://t.co/BOdEscA2Av</t>
  </si>
  <si>
    <t>RT @MasterChiefSW: Remember she is Obama's mouthpiece.  She gave $150B to her native country to build nuclear weapons. https://t.co/LryluH2…</t>
  </si>
  <si>
    <t>RT @RealJamesWoods: This was one incredibly brave officer, to have taken on four vicious thugs single-handedly. This is a terrible tragedy.…</t>
  </si>
  <si>
    <t>RT @seanhannity: GAME OVER? Ellison calls for total NFL boycott after "cowardly and idiotic kneeling ban"... https://t.co/E4jRmxcTJK</t>
  </si>
  <si>
    <t>RT @CalebJHull: I’m not defending any of the comments made today, but it’s worth pointing out that @KeithOlbermann got a job at ABC-owned E…</t>
  </si>
  <si>
    <t>RT @PatriotJenn: Not sure where Andrea Mitchells been since she’s the Foreign Affairs correspondent...
🇺🇸 But ‘round here, we STAND, we re…</t>
  </si>
  <si>
    <t>RT @ktdiditonem: Why is Cindy so worried about what George is revealing?? 🧐 #CaseyAnthonyParents</t>
  </si>
  <si>
    <t>RT @LaurieH118: I think George has aged better than Cindy because he is at peace with the truth, and she's not. #caseyanthonyparents</t>
  </si>
  <si>
    <t>RT @jenjihere: Uh, do they know that they have mics on? Glass doors don’t magically mute microphones, Cindy. She wants 2talk 2him outside t…</t>
  </si>
  <si>
    <t>RT @hummysgmom: #CaseyAnthonyParents it's fascinating how much of an inabler Cindy was to Casey. George knows the truth.</t>
  </si>
  <si>
    <t>RT @jmariec36: I bet that psycho is sitting down with a beer and popcorn, watching herself on TV somewhere like she’s some sort of movie st…</t>
  </si>
  <si>
    <t>RT @TieDye_Squirrel: OMG how does he LIVE with her????  She is still the same ole Cindy - covering Casey's ass.  And FOR WHAT?  What is it…</t>
  </si>
  <si>
    <t>RT @djanko112: @JackPosobiec Why is it those on the left can call Kanye West an Uncle Tom and not face any consequences?</t>
  </si>
  <si>
    <t>RT @hadaboutenough2: @HuffPost The “view”should be cancelled as well as many other liberal shows since all they do is spew vitriol against…</t>
  </si>
  <si>
    <t>RT @LisaSmith4680: Don't forget President Trump will be in Nashville 8pm Eastern for another UNFORGETTABLE, FANTASTIC, EPIC #TrumpRally! Th…</t>
  </si>
  <si>
    <t>RT @Corp125Vet: @rji99 @Cindea6 @Baby___Del @elrod_n @TXbonniejean @Swamp_Voice @BatmanGothamUSA @nowthisnews @POTUS They’ve already taken…</t>
  </si>
  <si>
    <t>RT @BleedingRedDan: Bleeding Red: Roseanne made mean and offensive comments of which she apologized. ABC should continue her show. https://…</t>
  </si>
  <si>
    <t>RT @undressicle: @GayRepublicSwag It's okay to call trump and orangutan but you can't say obama looks like 🐵 either? I'm black and always t…</t>
  </si>
  <si>
    <t>RT @6549lmartin: Belgium: 'Allah hu Akbar' Gunman Shoots Dead Three People https://t.co/E5ggA1X9OU</t>
  </si>
  <si>
    <t>RT @JosephBrass: PUT A LITTLE....ANGRY in your....VOTE......Vote help for...TRUMP.....NEVER....NEVER...vote... democrat again✅✅✅✅✅ https://…</t>
  </si>
  <si>
    <t>“As the Erie County clerk elected by taxpayers of Erie County to look out for their best interests I cannot in good conscience follow thru on a policy that violates federal laws by knowingly providing govt identification to ppl here illegally”, Kearns said https://t.co/I4r2FGIIiS</t>
  </si>
  <si>
    <t>RT @PlsHelpOurVets: FBI Files Document Communism in Valerie Jarrett’s Family https://t.co/hCxi2O63DO via @JudicialWatch ROSANNE SHOULD HAVE…</t>
  </si>
  <si>
    <t>RT @Barnes_Law: If Nixon had been a Democrat, media would have explained the Watergate burglars were just helpful maintenance men there to…</t>
  </si>
  <si>
    <t>RT @almostjingo: 🌹 @therealroseanne also spent the weekend speaking with whistleblowers about what changes need to be made to end human tra…</t>
  </si>
  <si>
    <t>RT @almostjingo: Oh please @amjoyshow has years of homophobic and Islamacphobic rants discovered, claims a time traveling hacker wrote them…</t>
  </si>
  <si>
    <t>RT @cjciaramella: Tennessee GOP state senator calling on Trump, who's speaking in Nashville tonight, to commute the sentence of Matthew Cha…</t>
  </si>
  <si>
    <t>RT @Barnes_Law: Meet @ABCNetwork values. https://t.co/2vjfLvVkTL</t>
  </si>
  <si>
    <t>RT @FupaLewter: @john_sipher @vincemindfreak @NameRedacted7 @JusticeOIG @FBI @AshaRangappa_ "TRUST YOUR GOVERNMENT, THEY'LL DECIDE WHAT'S B…</t>
  </si>
  <si>
    <t>RT @shadowfax_82: Make time for @AndrewCMcCarthy! https://t.co/I7MTOpidUQ</t>
  </si>
  <si>
    <t>RT @seanmdav: Simpson testified under oath in August of 2017 that he didn't do any anti-Trump work for clients after the election, but decl…</t>
  </si>
  <si>
    <t>RT @seanmdav: Grassley: Fusion GPS founder Glenn Simpson may have lied to the Senate about his post-election dossier work. https://t.co/GC8…</t>
  </si>
  <si>
    <t>RT @MZHemingway: This letter from Grassley about Glenn Simpson's serial falsehoods is 🔥🔥🔥https://t.co/tIU4m5H5QE</t>
  </si>
  <si>
    <t>RT @ChuckRossDC: Grassley: Fusion GPS Founder Gave ‘Extremely Misleading’ Testimony About Trump Work https://t.co/LUDsvzt7pB @dailycaller</t>
  </si>
  <si>
    <t>RT @Barnes_Law: Ex-CIA agent threatens those on Twitter raising claims about government misconduct. The ex-CIA agent is also a client of th…</t>
  </si>
  <si>
    <t>RT @The_War_Economy: Mark "I've Donated to Democrats and Worked with John Podesta But Sure I'll Claim I'm Non-Partisan" Zaid happy to get r…</t>
  </si>
  <si>
    <t>RT @NameRedacted7: Guys like @johnsipher think 'taking an oath' makes them better than everyone else, above the law, and unaccountable to '…</t>
  </si>
  <si>
    <t>RT @ThunderB: @john_sipher @Anonsource7 @NameRedacted7 @JusticeOIG @FBI @AshaRangappa_ Why is govt transparency and congressional oversight…</t>
  </si>
  <si>
    <t>RT @ed_grimly: Reminder: Mueller himself said in a recent court filing that Americans are too good at figuring out what redacted docs actua…</t>
  </si>
  <si>
    <t>RT @NameRedacted7: Of course I have. The lawfareblog in particular. You sound triggered, John. It's also curious since you RT'd a NYT artic…</t>
  </si>
  <si>
    <t>RT @JohnDoeSoetoro: @john_sipher @NameRedacted7 @JusticeOIG @FBI @AshaRangappa_ Did you have a problem with Comey, Lynch, Clinton, etc. usi…</t>
  </si>
  <si>
    <t>RT @The_War_Economy: Reminder that Keith Olbermann just got a new job at ESPN with this kind of Twitter history. https://t.co/DZH6xZa4rK</t>
  </si>
  <si>
    <t>RT @Nick_Falco: 5) Grassley ends his letter by hinting that a criminal referral against Glenn Simpson, for False Statements, will be handed…</t>
  </si>
  <si>
    <t>RT @Nick_Falco: 4) On page 2 of the letter, Grassley details actual misleading testimony by Glenn Simpson.
Simpson outright lied to the Co…</t>
  </si>
  <si>
    <t>RT @Nick_Falco: 3) Grassley goes on to bring up Glenn Simpson of Fusion GPS. Grassley reminds Coons that Simpson testified there was a FBI…</t>
  </si>
  <si>
    <t>RT @Nick_Falco: 1) NEW- @ChuckGrassley delivers MOAB in response to @ChrisCoons ridiculous letter suggesting @DonaldJTrumpJr lied to the Se…</t>
  </si>
  <si>
    <t>RT @NameRedacted7: Was this leaked from Andrew Dodd to Asha R &amp;amp; to the Clinton team? Clearly timing of HRC tweets &amp;amp; CNN coverage wasn't jus…</t>
  </si>
  <si>
    <t>RT @NameRedacted7: Ask a simple question: why are people at FBI, CNN, CIA &amp;amp; Lawfareblog losing their minds and making threats over a citize…</t>
  </si>
  <si>
    <t>RT @Zaggs: @NameRedacted7 @FBI @JusticeOIG @ODNIgov To be fair, they've probably just heard that Huber convened a grand jury awhile ago. I'…</t>
  </si>
  <si>
    <t>RT @NameRedacted7: Since this tweet has scared Lawfareblog, former FBI turned CNN 'contributors' &amp;amp; CIA lapdogs of John Brennan, it bears re…</t>
  </si>
  <si>
    <t>RT @NameRedacted7: Perhaps it's time to ask the @JusticeOIG &amp;amp; @fbi to formally investigate whether @AshaRangappa_ accepted or sought classi…</t>
  </si>
  <si>
    <t>RT @mqualizza: #freeVachelLindsay
#freeImperator_Rex3</t>
  </si>
  <si>
    <t>RT @LarrySchweikart: Fox would dominate the ratings. https://t.co/iQUycJWr7q</t>
  </si>
  <si>
    <t>RT @mamabearyealey: @FredrickDale53 @ninertime_13 @NameRedacted7 @TimAllenRants @RoseanneOnABC @therealroseanne I'd boycot but Roseanne was…</t>
  </si>
  <si>
    <t>RT @ninertime_13: @NameRedacted7 @TimAllenRants @RoseanneOnABC The Roseanne show was the first show I've watched in nearly a decade. @there…</t>
  </si>
  <si>
    <t>RT @annvandersteel: @therealroseanne  YOU HAVE A HOME WITH US ON YOUR VOICE AMERICA...
#WeStandWithRoseanne
@mitchellvii @TheRealHublife @r…</t>
  </si>
  <si>
    <t>RT @rising_serpent: @GalacticRedPill I completely agree with Netflix. No political slant. A slant implies something is slightly askew.
The…</t>
  </si>
  <si>
    <t>RT @nameredacted8: US Prosecutors put the Rosenbergs in the Electric Chair for giving The Bomb to the Soviet Union. John Kerry is actively…</t>
  </si>
  <si>
    <t>RT @drawandstrike: Now the DNC Media is doing exactly what I said it would do last week: "Ha ha you wingnuts &amp;amp; your kooky conspiracy theori…</t>
  </si>
  <si>
    <t>RT @Shem_Infinite: Every once in awhile I like to go back and watch the Presidential debates. The Clinton/Trump ones.
These are all before…</t>
  </si>
  <si>
    <t>RT @realDonaldTrump: The 13 Angry Democrats (plus people who worked 8 years for Obama) working on the rigged Russia Witch Hunt, will be MED…</t>
  </si>
  <si>
    <t>RT @realDonaldTrump: California has a rare opportunity to turn things around and solve its high crime, high tax, problems - along with so m…</t>
  </si>
  <si>
    <t>RT @Sabre3611: William E. Crenshaw, Chairman
 Publix Super Markets, Inc.
  Dear Mr. Crenshaw,
  Considering the recent news release, beca…</t>
  </si>
  <si>
    <t>RT @SecOfState70: Right after you do a die-in in Chicago. https://t.co/33CiIKWZzF</t>
  </si>
  <si>
    <t>RT @RealKyleMorris: Memo to the press: When you quote the Democrats saying “collusion,” it is only fair to immediately follow that by notin…</t>
  </si>
  <si>
    <t>RT @ThomasWictor: (18) Trump is LITERALLY saving the world--beginning with our troops--and this utterly abnormal THING is bitching about so…</t>
  </si>
  <si>
    <t>RT @ArchieWouldSay: @drawandstrike @AshaRangappa_ Now I wonder who that redacted private contractor was the FBI gave 702 access to for surv…</t>
  </si>
  <si>
    <t>RT @BarhamBuck: @Shem_Infinite @_VachelLindsay_ That is absolute bullshit if, in fact, that is what happened. More abuse of power by those…</t>
  </si>
  <si>
    <t>RT @jibbooo: @Shem_Infinite @TwitterSafety @_VachelLindsay_ more conservative censorship by twitter ... so much for freedom of speech and j…</t>
  </si>
  <si>
    <t>RT @Shem_Infinite: So glad I alerted @TwitterSafety to this threat on their user @_VachelLindsay_ by Mark Zaid. Glad they took action and s…</t>
  </si>
  <si>
    <t>RT @GunOwners: Churchgoers are deciding to protect themselves!  https://t.co/a8cGKwpVvr</t>
  </si>
  <si>
    <t>RT @GunOwners: But as Concealed Nation explains, the response time could have been quicker if Gov. Fallin had signed Constitutional Carry!</t>
  </si>
  <si>
    <t>“Shipp believes that this entire scandal regarding Hillary and the FBI and DOJ will likely end up being the biggest in American history, and could result in a Constitutional crisis.” #DrainTheSwamp  https://t.co/oPB4i2fU4M</t>
  </si>
  <si>
    <t>Exclusive: Todd Robinson Talks of Medal of Honor Recipient William H. Pitsenbarger, Upcoming Film 'The Last Full Measure' https://t.co/eULuY0Sg0G via @BreitbartNews</t>
  </si>
  <si>
    <t>We cant have any fun anymore! VICE: Comedians Won't Play Colleges Because Leftists Can't Take a Joke | Breitbart https://t.co/LIy1BU91N9</t>
  </si>
  <si>
    <t>Mentally ‘Disabled’ College Students on the Rise | Breitbart https://t.co/uKkg4eyath</t>
  </si>
  <si>
    <t>@Supsupsup7 @ScottCharton @EricGreitens @HillaryClinton @BillClinton Looking forward to Scott taking a flame thrower to the DC Swamp of cheating spouses. We all know outsider Gov Greitens whose policies would upset Jeff City’s gravy train of corruption harming MO. residents. #TheWholeTruth #GreitensImpeachment https://t.co/BCs4jR26cb</t>
  </si>
  <si>
    <t>RT @Supsupsup7: @ScottCharton @EricGreitens You guys should forgive Greitens the way you all &amp;amp; @HillaryClinton repeatedly forgave @BillClin…</t>
  </si>
  <si>
    <t>RT @Shem_Infinite: Hey @FOXTV if you pair @therealroseanne with @LastManStanding me and 63 million of my closest friends will turn in every…</t>
  </si>
  <si>
    <t>@JoeNBC @ABC So let her apologize &amp;amp; move on. Why are we all so ultra sensitive abt screwball things ppl say? Trump gets portrayed as an orange cheeto &amp;amp; April Ryan calls him child-sex trafficker, shouldnt she be fired? #DoubleStandard #RoseanneBarr #LiberalHypocrisy</t>
  </si>
  <si>
    <t>RT @1cheriebaby: @AnthemRespect @brujeff77 I predict cost of coffee will rise.. Starbucks will need to increase pay as employees face chall…</t>
  </si>
  <si>
    <t>RT @EvonS777: Children are the living Messages We Send to a time We Will Not See
~Neil Postman~
If we want to develop our country, we shoul…</t>
  </si>
  <si>
    <t>RT @LarrySchweikart: Klein further quotes a Zero family friend: "He isn't terribly enthused about the book right now and hasn't done a lick…</t>
  </si>
  <si>
    <t>RT @LarrySchweikart: Ed Klein's "All Out War" describes Michael as desperately trying to get Zero involved in the "resistance" but a friend…</t>
  </si>
  <si>
    <t>RT @LarrySchweikart: The same media which rabidly attacked Trump 24/7 during the campaign now whines that it can't stop covering him. https…</t>
  </si>
  <si>
    <t>RT @LarrySchweikart: University of Memphis to offer free tuition to children, spouses of fallen service members https://t.co/xIHApISw2j</t>
  </si>
  <si>
    <t>RT @LarrySchweikart: https://t.co/bGHVewAWCC
Excellent video of Trump's achievements in the first year &amp;amp; 1/2</t>
  </si>
  <si>
    <t>RT @LarrySchweikart: Garrett announces he is an alcoholic and will not seek re-election https://t.co/0Ut6OSZxsl via @dailyprogress
After a…</t>
  </si>
  <si>
    <t>RT @LarrySchweikart: Republicans see opening in blue Minnesota, after Franken scandal and Trump inroads https://t.co/pfix1uNiWQ #FoxNews</t>
  </si>
  <si>
    <t>RT @LarrySchweikart: Arms negotiator Paul Nitze came back from a meeting with the Sovietskis with a deal Reagan thought bad. He said "nyet!…</t>
  </si>
  <si>
    <t>RT @LarrySchweikart: After the surgery from the assassination attempt, Reagan kept writing jokes and quips til a strong-willed nurse said,…</t>
  </si>
  <si>
    <t>RT @parscale: The world is safer, America is stronger, and our future is brighter thanks to @realDonaldTrump 
Most successful President of…</t>
  </si>
  <si>
    <t>RT @parscale: Did you know: 
CISCO has invested $68 billion in US since Jan 1. CEO says it is "100% because of Trump tax cut"</t>
  </si>
  <si>
    <t>RT @LarrySchweikart: Many, if not most, ordinary Americans do not go through the intellectual process this woman did. They just have come t…</t>
  </si>
  <si>
    <t>RT @Barnes_Law: A skeptic now admits: "there is a convincing mosaic of evidence that the FBI, CIA, National Security Agency, and DOJ acted…</t>
  </si>
  <si>
    <t>RT @LarrySchweikart: Brian Keith was an air gunner (he was a Radio-Gunner in the rear cockpit of a two-man Douglas SBD Dauntless dive-bombe…</t>
  </si>
  <si>
    <t>RT @LarrySchweikart: Jack Palance was badly burned during WWII when a bomber he was piloting crashed; the resulting plastic surgery gave hi…</t>
  </si>
  <si>
    <t>@LarrySchweikart What an impressive string of tweets noting all the Hollywood Stars who served in the armed forces. Safe to say, the glory days of Hollywood icons joining the military to serve &amp;amp; defend American Freedoms are long gone. 😢 #Veterans 🇺🇸</t>
  </si>
  <si>
    <t>RT @LarrySchweikart: Jack Lemmon was an ensign, who served briefly on an aircraft carrier in WW II.
Telly Savalas was in the US Army from…</t>
  </si>
  <si>
    <t>RT @LarrySchweikart: Ed McMahon completed Marine flight training just in time for WW II to end. As a member of the reserves he was called u…</t>
  </si>
  <si>
    <t>RT @LarrySchweikart: Johnny Carson enlisted in the Navy on June 8, 1943, as an apprentice seaman. Commissioned an ensign late in World War…</t>
  </si>
  <si>
    <t>RT @LarrySchweikart: 2) While flying as a navigator in a B-25 with the 100th Bombardment  Squadron, 42nd Bombardment Grp,  3th Air Force, h…</t>
  </si>
  <si>
    <t>RT @LarrySchweikart: 1) Russell Johnson, "The Professor" on Gilligan's Island: Johnson joined the United States Army Air Forces as an aviat…</t>
  </si>
  <si>
    <t>RT @LarrySchweikart: 2) Assigned to a B-29 bomber, Bronson flew 25 missions, was  awarded a Purple Heart for wounds received  during his se…</t>
  </si>
  <si>
    <t>RT @LarrySchweikart: Tony Curtis forged his mother's signature on his enlistment cuz he was only 17, then served in the U.S. Navy as Signal…</t>
  </si>
  <si>
    <t>RT @LarrySchweikart: James Arness, Marshall Dillon of "Gunsmoke," joined the Army &amp;amp; became a rifleman, US Army 3rd Infantry Div., was wound…</t>
  </si>
  <si>
    <t>RT @LarrySchweikart: This didn't age well. Trump stronger than KerPlouffle could ever imagine, and continues to gain. https://t.co/0aga8AzL…</t>
  </si>
  <si>
    <t>This tweet from 2016, why must “outsiders” to the Swamp be destroyed? Are they afraid their corrupt gravy train &amp;amp; globalist agenda will be exposed? Whatever happened to, “anyone can aspire to become president”?  The Deep State wont protect America’s sovereignty! https://t.co/X3eiQkDKBK</t>
  </si>
  <si>
    <t>RT @MAD_III: @pcjm08 @davidplouffe @Samnsara1997 and at the same time they want to take our guns...umm nah I'll keep mine</t>
  </si>
  <si>
    <t>RT @instapundit: I think this tweet from June of 2016 explains why they infiltrated and spied on Trump's campaign, even though they all exp…</t>
  </si>
  <si>
    <t>RT @LarrySchweikart: #SpyGate https://t.co/86DpVit1Ty</t>
  </si>
  <si>
    <t>RT @LarrySchweikart: Paul Newman, radio gunner in a torpedo plane in WW II, had good fortune when his pilot developed an ear infection that…</t>
  </si>
  <si>
    <t>RT @LarrySchweikart: GOP congressman says he’s leaving Congress because ‘all I do is answer questions about Donald Trump’ https://t.co/uhDF…</t>
  </si>
  <si>
    <t>RT @LarrySchweikart: Democrats’ and media’s Trump-Russia collusion narrative falls apart - https://t.co/Kb2d1b7Cbd - @washtimes</t>
  </si>
  <si>
    <t>RT @LarrySchweikart: Half of Republicans in new poll say millions of ballots were cast illegally in 2016 https://t.co/PLaOvuS27n
Personall…</t>
  </si>
  <si>
    <t>RT @LarrySchweikart: Rex must be RIGHT over the target.
Make sure you report that hag. https://t.co/BhzBHlqP2B</t>
  </si>
  <si>
    <t>RT @LarrySchweikart: Ed Klein, in "All Out War" (2017) reproduces an FBI field report from 2000 offices on "the resistance" showing it was…</t>
  </si>
  <si>
    <t>RT @LarrySchweikart: We now are seeing widespread panic about 2018, from the NYSlimes to Dem pollsters.
Even now, none have bothered to lo…</t>
  </si>
  <si>
    <t>RT @Pinnylaine: so CNN got beat by SPONGEBOB? #QisREAL #TheRainMakers #QAnon #Qanon #SpyGate #RedWaveRising @realDonaldTrump @DonaldJTrumpJ…</t>
  </si>
  <si>
    <t>@Bostongurl1 @michaelmalice The teacher forgets grammatical mistakes didnt prevent DJT from making billions &amp;amp; being the only outsider to pulverize the SWAMP and get elected President. #JustSaying</t>
  </si>
  <si>
    <t>RT @DavidPDuffy25: @michaelmalice @CNN 
No #CNN, the teacher just showed what a classless person she is, with severe TDS. You showed 🇺🇸 #C…</t>
  </si>
  <si>
    <t>RT @Bostongurl1: @michaelmalice Never met any teacher that wrote “omg this is wrong” on a student’s paper. If this is indeed a teacher, the…</t>
  </si>
  <si>
    <t>RT @NolteNC: Why does the media refer to Stormy Daniels as a “former” porn star or adult film actress?” 
She is still doing this stuff.…</t>
  </si>
  <si>
    <t>RT @Raywood82: @stephenfhayes @tonymecia Because hold on here..........almost got it.............they are NOT conservative beyond campaign…</t>
  </si>
  <si>
    <t>RT @NolteNC: Man Burning American Flag Blanket Starts Wildfire https://t.co/W6hbHZpX4B</t>
  </si>
  <si>
    <t>RT @NolteNC: Ain’t multiculturalism grand! https://t.co/5WcSOcGsj8</t>
  </si>
  <si>
    <t>RT @NolteNC: It “galls” you and we’re just hearing about it now? And not even on one of your six-day-a-week MTP shows? https://t.co/F51k8d0…</t>
  </si>
  <si>
    <t>RT @NolteNC: Tapper and Todd are both on TV at least 6 hours a week and we’re just hearing about this now? These guys have a hundred differ…</t>
  </si>
  <si>
    <t>RT @ARmastrangelo: No one cares. https://t.co/O4rN6WysYH</t>
  </si>
  <si>
    <t>RT @realDonaldTrump: The Fake Mainstream Media has, from the time I announced I was running for President, run the most highly sophisticate…</t>
  </si>
  <si>
    <t>RT @IngrahamAngle: What Dems had hoped was that the Mueller investigation wd render @realDonaldTrump toxic on the campaign trail for Repubs…</t>
  </si>
  <si>
    <t>RT @The_War_Economy: Literally just a picture of Stefan Halper and Alexander Downer from 2010 with an associated video.
https://t.co/RoT0f…</t>
  </si>
  <si>
    <t>RT @realDonaldTrump: Sorry, I’ve got to start focusing my energy on North Korea Nuclear, bad Trade Deals, VA Choice, the Economy, rebuildin…</t>
  </si>
  <si>
    <t>RT @WashTimes: "Most of the FBI today must be horrified by the degree to which Mr. Comey and his goon squad handed over the entire mission…</t>
  </si>
  <si>
    <t>RT @ThomasWictor: (10) "Compare Trump's tweet to how other politicians handled Memorial Day."
No thank you, Chris.
Other politicians scre…</t>
  </si>
  <si>
    <t>RT @instapundit: Obama's spying scandal is starting to look a lot like Watergate https://t.co/FJ5GAD46VN via @nypost</t>
  </si>
  <si>
    <t>RT @ThomasWictor: (3) Well, she's a moron, because mass shooters are not serial killers.
They're mass murderers. They commit their crimes…</t>
  </si>
  <si>
    <t>RT @ThomasWictor: (2) She repeatedly romanticized “being remembered” and said she hoped to start  another #MeToo movement, 'but this time i…</t>
  </si>
  <si>
    <t>RT @ThomasWictor: (1) This is why I never use their names.
https://t.co/Yx4S6t10zd</t>
  </si>
  <si>
    <t>RT @rising_serpent: 6. The “Five Eyes” spying alliance includes the US, UK, Canada, Australia  and New Zealand, also relayed material.
Did…</t>
  </si>
  <si>
    <t>RT @T_S_P_O_O_K_Y: The ultimate victim blaming from the @nytimes - @realDonaldTrump is spied on - this fact is reported by the NY Times and…</t>
  </si>
  <si>
    <t>RT @dbongino: Expect the Pravda NY Times &amp;amp; Washington Post to double down on propaganda as they recoil in horror as the details of #Spygate…</t>
  </si>
  <si>
    <t>RT @almostjingo: 23. Disclaimer: All information provided was from public sources. I am not Russian or a robot, I’m born and raised in Amer…</t>
  </si>
  <si>
    <t>RT @DwayneDowell1: @therealroseanne  https://t.co/4bYinH25jq</t>
  </si>
  <si>
    <t>RT @Debradelai: One cannot make this stuff up.
Syria to preside over UN Disarmament Conference.
Oh, well, at least Cuba and Venezuela are…</t>
  </si>
  <si>
    <t>@OxmanMartin Nope, doesn’t fit the “formula” of being shot by a cop or a Hispanic white.</t>
  </si>
  <si>
    <t>RT @Dihaggis: @MtRushmore2016 @OxmanMartin And the toll on Black youth in Chicago reminds us. Not even Mayor Emmanuel cares.</t>
  </si>
  <si>
    <t>RT @chuckwoolery: Democrats Can’t Control Their Extremism https://t.co/saK1B08B0d https://t.co/uemCwHfK30</t>
  </si>
  <si>
    <t>https://t.co/AIWNRS68ZU</t>
  </si>
  <si>
    <t>“A young black male's life is not worth reporting when it is taken by another black male. That's the real racism that prevails in America's newsrooms. The marginalization of black urban life."  https://t.co/cbY93nBRCX</t>
  </si>
  <si>
    <t>RT @almostjingo: 5. What’s interesting and unreported is that the charges against Sterling were 15 years old BUT the trial was in August 20…</t>
  </si>
  <si>
    <t>RT @almostjingo: 4. You see, the good old Bush Admin had a super sneaky idea, give #Iran nuclear plans with “mistakes” in them so they woul…</t>
  </si>
  <si>
    <t>RT @almostjingo: 3. Mark even had two interviews with the FBI about #JeffreySterling he will swing wildly now and tell you 302’s don’t mean…</t>
  </si>
  <si>
    <t>RT @almostjingo: 2. Mark hails himself as a bi-partisan defender of #whistleblowers he defended Sterling against the CIA in a discriminatio…</t>
  </si>
  <si>
    <t>RT @almostjingo: 🦂1. Know thy enemy - Sun Tzu 
#MarkZaid is attacking conservative accounts calling himself a proud member of #TheResistanc…</t>
  </si>
  <si>
    <t>@fyremedic1200 Especially when he allowed CNN’s Candy Crowley to lie about him during a debate running interference for Obama, without challenging her with actual facts! 😡</t>
  </si>
  <si>
    <t>“All of my neighbors have had encounters w/illegals. Every single family. Everyone knows dozens of families whose homes have been broken into &amp;amp; worse loved ones tied up, kidnapped, threatened, shot, permanently crippled by a hit &amp;amp; run attack when they made a fuss to authorities” https://t.co/IkurIYj9eJ</t>
  </si>
  <si>
    <t>RT @PhxKen: VIDEO: John Kerry's Peace Partner Iranian FM Javad Zarif Caught on Video Chanting "Death to America!" https://t.co/JvWy2DIxXh v…</t>
  </si>
  <si>
    <t>RT @StacyLStiles: That’s right, Sir. Our freedom is a gift from GOD, &amp;amp; enforced by our heroic men and women in uniform. Patriots who selfle…</t>
  </si>
  <si>
    <t>RT @tetragram: @pahubb43  https://t.co/8K480w0joL</t>
  </si>
  <si>
    <t>RT @Shaughn_A: @pahubb43 @johnnie789 Yeah, but according to black “leaders”..... https://t.co/oG0ZR1RU0x</t>
  </si>
  <si>
    <t>RT @pahubb43: I AM RED, WHITE AND BLUE https://t.co/EdIHhzy7a8</t>
  </si>
  <si>
    <t>RT @pahubb43: I was asked yesterday, WHY do I ride with white people?? I told this black biker..I never noticed the color of the bikers I r…</t>
  </si>
  <si>
    <t>RT @DLoesch: I forgot to ask this last night @ArtAcevedo : when you told me that “we will be watching” (as a result of you disliking my rem…</t>
  </si>
  <si>
    <t>RT @PradRachael: ONLY TWO DEFINING 
FORCES HAVE EVER 
OFFERED TO DIE FOR YOU.
JESUS CHRIST AND THE AMERICAN SOLDIER. 
ONE DIED FOR YOUR S…</t>
  </si>
  <si>
    <t>RT @houstonusa6: New Jersey you can do this.
#NJGOP #MAGA2018 #RedWaveRising2018 #primary https://t.co/khycYTIPtd</t>
  </si>
  <si>
    <t>RT @CattHarmony: Congratulation to NRA and thanks to @davidhogg111 for helping that the NRA membership has soared past the 6 million mark!…</t>
  </si>
  <si>
    <t>RT @BlissTabitha: Black woman goes on angry rant against Jewish man on subway https://t.co/Vp2xacXfQK</t>
  </si>
  <si>
    <t>RT @rsirrobbie: Now you have to comply to be eligible for prison. This is insane! #LiberalismIsAMentalDisorder https://t.co/i2hg9nUDFy</t>
  </si>
  <si>
    <t>RT @dbongino: FYI, the “Reagan Battalion” twitter feed is run by Trump-hating, police-state liberals. Don’t be fooled for a moment by these…</t>
  </si>
  <si>
    <t>RT @PatriotGeorgia: @realDonaldTrump  EXCLUSIVE: Obama Holdovers ‘Working Toward A Union Takeover’ Of US Chemical Agency https://t.co/UykEi…</t>
  </si>
  <si>
    <t>RT @anonymouse4537: 💥📢...BREAKING: State Police Pull over Tractor Trailer, Find 88 Illegal immigrants Stowed Inside‼️
https://t.co/w0zHHPA…</t>
  </si>
  <si>
    <t>RT @t2gunner: Liberal #SanctuaryCities Supporting #Houston #PoliceChief Says He's 'Watching' @DLoesch. She Nukes Him on Twitter...
By Ryan…</t>
  </si>
  <si>
    <t>RT @IngrahamAngle: Criminals who get caught are separated from their families every minute of every day. Sad but a fact of life. https://t.…</t>
  </si>
  <si>
    <t>RT @LiveAction: #TimesUp, Planned Parenthood. The abortion giant is one of the biggest accomplices to sexual abuse, and the cover-up needs…</t>
  </si>
  <si>
    <t>RT @drawandstrike: In case you're too much of a dumbass to figure out why I'm doing this tweet series, here's some recent 'breaking news' c…</t>
  </si>
  <si>
    <t>RT @drawandstrike: The DNC Media Complex attempted to use images of how THE OBAMA ADMINISTRATION treated illegal immigrant children to atta…</t>
  </si>
  <si>
    <t>RT @drawandstrike: "When you realize in your attempt to attack President Donald Trump what you've actually done is call attention to a huge…</t>
  </si>
  <si>
    <t>RT @neontaster: All it took to expose horrible treatment of immigrants during the Obama administration was for Trump to become president.</t>
  </si>
  <si>
    <t>RT @ThomasWictor: It's not who we are.
It's who we WERE under Obama, in 2016. https://t.co/6slrULeYOh</t>
  </si>
  <si>
    <t>RT @ThomasWictor: More and more people are catching on.
This insanity is backfiring. https://t.co/02djLD6tge</t>
  </si>
  <si>
    <t>RT @brithume: Wisdom. https://t.co/nwLDLOoP7K</t>
  </si>
  <si>
    <t>RT @AG_Conservative: This one is too good. This tweet is now deleted. Senior Obama bro wanted to blame the current administration for this…</t>
  </si>
  <si>
    <t>RT @brithume: “No source exists who said what the Times claimed he said.” @MZHemingway on the alleged Trump lie about a White House briefin…</t>
  </si>
  <si>
    <t>RT @brithume: Self-evidently true. https://t.co/rBoJiobn0D</t>
  </si>
  <si>
    <t>RT @brithume: This is very sad news. Bob amazed all his colleagues as he never let his disability stop him. A fine reporter and a fine man.…</t>
  </si>
  <si>
    <t>RT @brithume: This was a reply to my tweet about my late uncle Billy, killed at Normandy during the U.S. invasion in 1944. This is TDS on s…</t>
  </si>
  <si>
    <t>RT @GroverNorquist: Hillary
You are wrong
America was not yours to lose.
It belongs to all of us. Not to you.
We did build and earn our hou…</t>
  </si>
  <si>
    <t>RT @brithume: It’s not the FBI’s job to make public disclosure of its “suspicions.” In fact it’s the bureau’s job to avoid doing that. http…</t>
  </si>
  <si>
    <t>RT @brithume: Exactly right. We have war dead all over the world, where none went for purpose of conquest. https://t.co/3kBo6KP78J</t>
  </si>
  <si>
    <t>RT @brithume: .@FredBarnes on the deregulatory achievement of Trump administration &amp;amp; GOP Congress you may have heard little about.   https:…</t>
  </si>
  <si>
    <t>RT @AG_Conservative: There are quite a few reasons why the adults taking care of them might ignore an HHS follow up. That doesn't meant the…</t>
  </si>
  <si>
    <t>RT @AG_Conservative: Story 2: This is being covered as a scandal, but I do not believe it is one. Essentially thousands of unaccompanied mi…</t>
  </si>
  <si>
    <t>RT @AG_Conservative: Story 1: This story is based on an ACLU report that covers 2009-2014. It has nothing to do with the Trump admin or sep…</t>
  </si>
  <si>
    <t>RT @NolteNC: Yashar Ali is lying, hoping you don't look at the actual transcript or listen to the recording.
This is a total lie he is spr…</t>
  </si>
  <si>
    <t>RT @WadePeeches123: @1DGrand @Grumblesmorf @MCunninghamAJC @Paminlaok @yashar @shadowfax_82 @realDonaldTrump @nytimes Obama gave the “impre…</t>
  </si>
  <si>
    <t>RT @Grumblesmorf: @MCunninghamAJC @Paminlaok @yashar @shadowfax_82 @realDonaldTrump @nytimes They didn't name names in the article. They ju…</t>
  </si>
  <si>
    <t>RT @Paminlaok: @yashar @shadowfax_82 How do you not see that @realDonaldTrump is correct in condemning the failing @nytimes for misquoting…</t>
  </si>
  <si>
    <t>RT @NolteNC: Had Elia Kazan named Nazi sympathizers instead of Commie sympathizers, he’d be a hero today, and since there is no moral diffe…</t>
  </si>
  <si>
    <t>RT @NolteNC: American Parents accused of crimes are separated from their children everyday. 
What a bunch of virtue signaling horseshit th…</t>
  </si>
  <si>
    <t>RT @NolteNC: Lil' Marco is now just straight-up lying to appease the media. Coward. https://t.co/Gw5K6p5U5E</t>
  </si>
  <si>
    <t>RT @NolteNC: So should be 50/50 Trump supporters, not zero, right fact-checker? https://t.co/lNj6Uab1np</t>
  </si>
  <si>
    <t>RT @NolteNC: 7 Ways Spy-in-Chief Barack Obama Spied on Donald Trump 
...and Trump still won. 
https://t.co/WGu0PCY3vZ via @BreitbartNews</t>
  </si>
  <si>
    <t>RT @NolteNC: https://t.co/UTBTlnwAZS</t>
  </si>
  <si>
    <t>This might be 1 way for Hillary to redeem herself... https://t.co/hMHCrCZCAk</t>
  </si>
  <si>
    <t>“Fraternal Order of Police says one person in particular deserves the lion's share of the blame: Baltimore State's Attorney Marilyn Mosby...” https://t.co/TmRO8rJlGU</t>
  </si>
  <si>
    <t>Has #MeToo gone too far?  https://t.co/yoVumsKflL</t>
  </si>
  <si>
    <t>RT @ElderLansing: 30 shot and 7 killed so far over the Memorial Day Weekend in Chicago and that’s with an additional 1,000 officers deploye…</t>
  </si>
  <si>
    <t>RT @WLouT2: There is absolutely no reason not to #BuildTheWallNow 
We have another war on our homeland because our borders aren’t secure. #…</t>
  </si>
  <si>
    <t>RT @GoalieBill328: @chrgdup1973 @lupash7 @trapp_dogg @GeraldYak420 @Vince_NYNY @CurlyCoyne @the626killa @nfulmer0827 Howdy all https://t.co…</t>
  </si>
  <si>
    <t>RT @BG70019241: @hrtablaze @ArizonaKayte @realDonaldTrump You’ve given up your weapons long ago. Your not citizens, your subjects. Getting…</t>
  </si>
  <si>
    <t>RT @KurtSchlichter: This does not work on us anymore https://t.co/rRHNNLC3i9</t>
  </si>
  <si>
    <t>RT @Alisand3: #Remember #MemorialDay18 https://t.co/hFzC30Q51p</t>
  </si>
  <si>
    <t>RT @John_KissMyBot: WOW !!  Democrat Representative Keith Ellison Wants To Boycott The NFL Because HE SUPPORTS  KNEELING While The National…</t>
  </si>
  <si>
    <t>RT @Cine_MAGA: @politicalHEDGE @realDonaldTrump gets minimal publicity for all these incredibly heartfelt gestures he is constantly doing.…</t>
  </si>
  <si>
    <t>RT @MarkDice: Liberals just keep losing 😆 https://t.co/S45zs8vtzk</t>
  </si>
  <si>
    <t>RT @michellebullet1: [NEW STATS] What is the most dangerous city in America? https://t.co/r44WWlwdKl</t>
  </si>
  <si>
    <t>RT @luzabrg: Liberals Launch Vicious Attack on Ivanka Trump After She Shares An Innocent Photo With Son https://t.co/d3aHjCVW1n</t>
  </si>
  <si>
    <t>RT @GIJane4Trump: @PhilMcCrackin44 @bbusa617 Bathrooms are being reported as dirty, not kept up to basic standards...Mark my word it is goi…</t>
  </si>
  <si>
    <t>RT @PhilMcCrackin44: Tomorrow marks the day when STARBUCKS caves to Liberal pressure and converts  all of their 8,000+ US locations to Home…</t>
  </si>
  <si>
    <t>Do the Democrats have the courage of their convictions to wear this t-shirt at their campaign rallies? Too afraid to say the truth, that they favor Open Borders! #BuildTheWall https://t.co/EL1xC9swqN</t>
  </si>
  <si>
    <t>RT @ConservativeTht: In the latest example of Trump Derangement Syndrome, @IvankaTrump is being criticized for this beautiful photo, that s…</t>
  </si>
  <si>
    <t>RT @DjLots3: OK...let's all say it slower for David...
CRIMINALS DONT GIVE A CRAP ABOUT LEGAL GUNS. THEY WILL GET THEM ANYWAY.
YOU WOULD B…</t>
  </si>
  <si>
    <t>RT @mitchellvii: In case anyone thinks I am beating around the bush, allow me to be clear.
The modern #DemocratParty is no less an enemy o…</t>
  </si>
  <si>
    <t>RT @mitchellvii: The latest silliness from the #Media is that the troops actually hate Trump.
I have 3 senior military personnel on the Yo…</t>
  </si>
  <si>
    <t>RT @pulte: I turned 30 years old today. I am so grateful for the life I have lived. To be healthy, to live in America, to have a loving fam…</t>
  </si>
  <si>
    <t>RT @mitchellvii: I have a memo for @DavidFrum and all the other media hacks pretending to give a damn about our fallen troops.
They died t…</t>
  </si>
  <si>
    <t>RT @mitchellvii: Oh, so I guess this means you ARE now credited Trump for the amazing economy and not Obama, you insufferable hack? https:/…</t>
  </si>
  <si>
    <t>RT @mitchellvii: Democrats never even denied that the hacked DNC emails were true.  The emails were NOT LIES. So Russia beat Hillary with t…</t>
  </si>
  <si>
    <t>RT @mitchellvii: Why tell lies to beat Hillary when the TRUTH was so damning?  As a matter of fact, because of Comey, we didn't even get to…</t>
  </si>
  <si>
    <t>RT @mitchellvii: Democrats basically believe that America is evil and selfish and wrong and therefore, MUST lose in the long run.
This is…</t>
  </si>
  <si>
    <t>RT @mitchellvii: Kim does not want to be a global nuclear power, he wants to be a global economic power.
Trump understands this - Democrat…</t>
  </si>
  <si>
    <t>RT @mitchellvii: TRUMP: "America will win."
DEMOCRATS: "America cannot win."
That about explains everything, doesn't it?</t>
  </si>
  <si>
    <t>RT @mitchellvii: I'm confused.  Didn't Clapper admit there were spies (informants, whatever) inside the Trump Campaign and that this was a…</t>
  </si>
  <si>
    <t>RT @mitchellvii: Rubio is incredibly butthurt Trump destroyed him in the 2016 Presidential Campaign. In light of that, Rubio is now claimin…</t>
  </si>
  <si>
    <t>RT @mitchellvii: DAMN: Leaked Pentagon report reveals startling new details about the 'supersonic Tic Tac' UFO | Daily Mail Online https://…</t>
  </si>
  <si>
    <t>RT @mitchellvii: Democrats want to destroy our military so we can be overthrown by foreign powers - idiots! YourVoice™ Power &amp;amp; Patriots (5/…</t>
  </si>
  <si>
    <t>RT @mitchellvii: Here's the question I'd ask Democrats at every debate and town hall.
Why don't you ever talk about making America great?…</t>
  </si>
  <si>
    <t>RT @HNIJohnMiller: I didn’t know about the long-ass criminal history bit, but the UK horseshit insanity is why I stayed off Twitter for a w…</t>
  </si>
  <si>
    <t>RT @GodlessNZ: (1) #DidYouKnow that the UK's so-called freedom fighter "Tommy Robinson" is actually Stephen Lennon, Stephen Yaxley, or Paul…</t>
  </si>
  <si>
    <t>RT @GodlessNZ: Another outstanding thread by accomplished author, and survivor of fascism-communism, Saul M-B, aka @debradelai. 
Worth the…</t>
  </si>
  <si>
    <t>RT @Debradelai: (1) Well, the culling of the herd took a bit longer than expected.
Over 1,000 followers and almost as many non-followers…</t>
  </si>
  <si>
    <t>RT @smoss319: Wow. Things are heating up -people are tired of the Divisive Globalists cabal stirring ww racism, violence and hatred, trying…</t>
  </si>
  <si>
    <t>RT @codeofvets: YAY! I got my tickets for Trump's rally for Marsha Blackburn on Tuesday night in Nashville TN🇺🇸SO EXCITED! I will livestrea…</t>
  </si>
  <si>
    <t>RT @RedNationRising: Last year, a little boy dressed as a Marine boldly walked up to President Trump at Arlington National Cemetery and ask…</t>
  </si>
  <si>
    <t>RT @Texasexpatriate: Germany keeps going lower in its relevance in NATO: from the Fulda Gap to the Suwalki Gap. 
Poland offers US up to $2…</t>
  </si>
  <si>
    <t>RT @almostjingo: In case you missed it @robreiner teamed up with his sexual predator pal Morgan Freeman to terrify the world and claim we’r…</t>
  </si>
  <si>
    <t>RT @AmyMek: "Woe unto them that call evil good, and good evil; that put darkness for light, and light for darkness; that put bitter for swe…</t>
  </si>
  <si>
    <t>RT @rektredpill: WOW
Everyone needs to RT this and spread it.
#FreeTommyRobinson 
 https://t.co/OF6hAaHnef</t>
  </si>
  <si>
    <t>RT @brexitblog_info: Khan boasts of “starting” to build a pathetic 12,500 homes.  Barely enough to house a week’s worth of new arrivals fro…</t>
  </si>
  <si>
    <t>RT @RealJack: Act surprised...
Liberals spread picture of detained children from when OBAMA was President…still blame Trump https://t.co/J…</t>
  </si>
  <si>
    <t>RT @redsteeze: Hello @antonio4ca Why did you delete this tweet? Is it because this was 2014 and you are no longer outraged because who this…</t>
  </si>
  <si>
    <t>https://t.co/V8oY9jSuQh</t>
  </si>
  <si>
    <t>@chewy6977 @WayneDupreeShow The NFL has already shown us who they are; they picked politics ovr entertainment so its really too late to attract their previous customer base. We no longer care what they &amp;amp; the players now do.</t>
  </si>
  <si>
    <t>RT @chewy6977: @WayneDupreeShow They would only hurt themselves and their paychecks! Not too many care enough about those 2 guys to hurt th…</t>
  </si>
  <si>
    <t>RT @jcives1: @WayneDupreeShow @_ROB_29 What kind of a threat is this lol. Patriots don’t care. Trump 2020.</t>
  </si>
  <si>
    <t>RT @JoshuapBoston1: @andrezinho77313 @WayneDupreeShow Or switch to NASCAR every time an NFL game comes on.</t>
  </si>
  <si>
    <t>RT @DeplorablyUrs2: @WayneDupreeShow Even better, the NFL is disbanded and ALL players are drafted into the US Military branch of their cho…</t>
  </si>
  <si>
    <t>RT @ehud75: @WayneDupreeShow This sounds like it will take care of itself</t>
  </si>
  <si>
    <t>RT @Court39631621: We The People can help @realDonaldTrump by exposing the truth like this PROUD PO’d American demanding change in LA. http…</t>
  </si>
  <si>
    <t>RT @Patrici76892729: Hey Patriots I'm thinking let's really back up Twitter.. Later today I'm going in I'm going through my following list…</t>
  </si>
  <si>
    <t>@johncardillo @kpconservative I have a cousin who lives in a nice close-knit rural community, in middle America. The sheriff told him he should conceal-carry everyday.😳 He didnt elaborate but we’re assuming due to drug addiction &amp;amp; the crimes it brings. #2AShallNotBeInfringed</t>
  </si>
  <si>
    <t>Very touching! 😢🇺🇸 https://t.co/gIfPiacStl</t>
  </si>
  <si>
    <t>RT @BlueSea1964: 🚨 Stolen Purple Heart Found In Trash In Oregon Reunites With Family In Utah!
#PurpleHeart #Veterans
#BluestarZone
 https…</t>
  </si>
  <si>
    <t>RT @beckydotdata: @catseyecouture @jjauthor @JarrettStepman @DailySignal Irony. Man who earned his $$, dems who stole theirs.</t>
  </si>
  <si>
    <t>RT @catseyecouture: @jjauthor @JarrettStepman @DailySignal Such a tired cliché. Trump stands for the common American. #Hillary and Obama st…</t>
  </si>
  <si>
    <t>RT @jjauthor: COMMIES!
"Seattle's new jobs tax is unlikely to solve the issue of poverty https://t.co/xgUmNQMHRn via @JarrettStepman @Daily…</t>
  </si>
  <si>
    <t>RT @_LCMB_: Sending up prayers to our military, that God may grace your spirit with fond remembrance of fallen brothers/sisters-in-arms.  T…</t>
  </si>
  <si>
    <t>According to Fortune magazine, De Niro's Nobu hotel in Manila, in the Philippines, was named the world's WORST luxury hotel. 😂😂 https://t.co/xINqd4eljl</t>
  </si>
  <si>
    <t>Salena Zito: “I saw that this was coming, but mainly because as a reporter I live in Pittsburgh, so I spend my time OUTSIDE the Beltway. I saw the evidence of this in 2016, really beginning with the April Pennsylvania primary.” #MAGA  https://t.co/W22oAufAWy</t>
  </si>
  <si>
    <t>The diversity industry is built on sand, remarks Sloan School Prof Kochan. “The business case rhetoric for diversity is simply naïve &amp;amp;  overdone.There are no strong positive or negative effects of gender or racial diversity on business performance” he adds https://t.co/BKGWP6EFNM</t>
  </si>
  <si>
    <t>“Guard with jealous attention the public liberty. Suspect everyone who approaches that jewel. Unfortunately, nothing will preserve it but downright force. Whenever you give up that force, you are inevitably ruined.” – Patrick Henry #Constitution https://t.co/enR2wLVDhA</t>
  </si>
  <si>
    <t>“But gosh, we can’t do that. Oh well, I never! “How dare you Normal Americans get militant and actually fight back,” whine the kneelers of Team Principles. Real conservatives don’t fight back. See, that’s not who we are.
No, that’s not who THEY are.” #MAGA https://t.co/2P6UewNGcJ</t>
  </si>
  <si>
    <t>“And they aren’t even man enough to admit it. Their new story is that this has nothing to do with us Normals, that it's not an insult. No, it's a heartfelt plea for…something. I guess the pig-cop socks and Castro T-shirt were gestures of respect.” 🇺🇸  https://t.co/2P6UewNGcJ</t>
  </si>
  <si>
    <t>🇺🇸❤️ Exclusive — NASCAR Driver David Ragan on Memorial Day: 'I Feel Grateful' for Those 'Who Gave the Ultimate Sacrifice' | Breitbart https://t.co/vpuERal8LQ #MemorialDay2018 #Military #Veterans</t>
  </si>
  <si>
    <t>Eric Dickerson: 'I Would Still Stand' for National Anthem | Breitbart https://t.co/KhzfzAB34B #IStandForTheAnthem #MemorialDay2018</t>
  </si>
  <si>
    <t>This is real Resistance! 🇺🇸 California Crowd Defies Announcer, Sings National Anthem at High School Softball Championship | Breitbart https://t.co/I1PCwyvInG #Resist #MAGA</t>
  </si>
  <si>
    <t>Another Globalist! 😡 Italy Constitutional Crisis: Unelected President Nixes Populist Victory, Appoints Pro-E.U. Prime Minister - Breitbart https://t.co/lC4pMkh6fz</t>
  </si>
  <si>
    <t>@DeanObeidallah Pres Trump is doing his Constitutional job by Enforcing the Laws legally passed by our ELECTED officials in Congress! https://t.co/ovwV2fnTFc</t>
  </si>
  <si>
    <t>RT @AlwaysActions: Paratrooper gives 2 - hour
#Salute on #MemorialDay https://t.co/ZWauPZO0QE</t>
  </si>
  <si>
    <t>RT @scroggstlace13: WATCH: Sebastian Gorka Says These Key Obama Officials Still Have Security Clearances — He Wants Trump to Revoke Them ht…</t>
  </si>
  <si>
    <t>RT @RealCandaceO: Fact: I have encountered many BLM protesters at on-campus events. Not a single one of them has been able to articulate to…</t>
  </si>
  <si>
    <t>RT @solentgreenis: I LOVE THIS COUNTRY AND I APPRECIATE ALL OF YOU THAT HAVE SERVED AND PAID THE ULTIMATE PRICE! THANK YOU FOR OUR FREEDOM!…</t>
  </si>
  <si>
    <t>RT @PeterSweden7: Britain.
- Mother who encouraged terrorism is SPARED jail.
- Tommy Robinson reporting on grooming gangs sent swiftly to…</t>
  </si>
  <si>
    <t>RT @ErikaMcdougall: @FoxNews “...the U.S. Marine Drum &amp;amp; Bugle Corps performs ‘Battle Hymn of the Republic’ in New York... honoring Memorial…</t>
  </si>
  <si>
    <t>RT @Doodisgirl: THIS is #MemorialDay 💔🇺🇸
Now go teach your children. https://t.co/lejc9pxQj7</t>
  </si>
  <si>
    <t>RT @Patriotic_Va: Over the last month Democrats have fiercely defended Hamas terrorist, MS-13 gang members, &amp;amp; the cruel regimes in Iran &amp;amp; N…</t>
  </si>
  <si>
    <t>RT @ConservaMomUSA: Call me crazy, but with all the #Democrat problem-children tantruming up and down the halls of Congress already, I don’…</t>
  </si>
  <si>
    <t>RT @Truthseeker126: Thank you @realDonaldTrump! It is so wonderful to have a president that truly respects and cares about our brave men an…</t>
  </si>
  <si>
    <t>RT @PVA1946: “Those who have long enjoyed such privileges as we enjoy forget in time that men have died to win them.” —Franklin D. Roosevel…</t>
  </si>
  <si>
    <t>RT @ChairmanKimNK: Proud to see the UK following in my footsteps by locking away anti-regime terrorist leader Tommy Robinson</t>
  </si>
  <si>
    <t>RT @ReneeCarrollAZ: #MondayMotivation
Defund Planned Parenthood
Just because abortion is legal does not make it right, remember slavery?…</t>
  </si>
  <si>
    <t>RT @TheSharpEdge1: With Schneiderman out of the picture, investigations of the Weiner laptop, CF &amp;amp; NXIVM move forward full throttle. A coup…</t>
  </si>
  <si>
    <t>RT @IngrahamAngle: CNN's April Ryan slammed for tweeting article about Trump running child-trafficking ring
https://t.co/dkXW4D8x7L</t>
  </si>
  <si>
    <t>RT @RealJamesWoods: I portrayed Robert Tanenbaum in BADGE OF THE ASSASSIN, a movie based on his book retelling these murders. They were a c…</t>
  </si>
  <si>
    <t>RT @TrumpsDC: This is pretty awesome. Thank God for the ones that still see how great our nation is and thank God for the ones that still h…</t>
  </si>
  <si>
    <t>RT @travlr009: We're counting on you to break the pathological destructive hold The Democrat Party has on the Black community and give them…</t>
  </si>
  <si>
    <t>RT @DutyOfAPatriot: I have My Debit Card Ready To Go!
Let’s Get It Done @HouseGOP @SenateGOP @GOP  https://t.co/O3Sqvc3Qbb</t>
  </si>
  <si>
    <t>RT @IWF: A touching moment watching these veterans watch the #MemorialDay parade go by. #NeverForget https://t.co/uAc1rmOY5A</t>
  </si>
  <si>
    <t>RT @Gioia_5464: It Happened Under Barack Hussein Obama... https://t.co/PxM6FJKkfC</t>
  </si>
  <si>
    <t>RT @Love_The_Donald: 🔘The Primary Election has not been held! Mitt Romney has an amazing challenger: Dr &amp;amp; Lawyer @KennedyForUtah.
🚨WE NEED…</t>
  </si>
  <si>
    <t>RT @1776Stonewall: Senator Hatch is 100% right. He's served under 7 presidents, says this one is the best he's ever seen. Unfortunately he'…</t>
  </si>
  <si>
    <t>RT @heliosiamallfa1: @PradRachael @joyreaper @POTUS @realDonaldTrump @RepMattGaetz @RepGoodlatte @MariaBartiromo @RepMarkMeadows @Jim_Jorda…</t>
  </si>
  <si>
    <t>RT @travlr009: Haspel had no policy responsibilities in 2001. 
She did what her bosses told her to do
1 of those bosses was  John Brennan
N…</t>
  </si>
  <si>
    <t>RT @TheSharpEdge1: Q confirmed that Schneiderman was one of the names that Mack named,  and explained how Schneiderman's removal from offic…</t>
  </si>
  <si>
    <t>RT @ByronYork: The source was real, but the story was wrong. Read @MZHemingway on the embarrassing media flap over Trump, North Korea, and…</t>
  </si>
  <si>
    <t>RT @Golfman072: (NEW) Weekly tracking poll of how people will vote in 2018 Elections. For the week of May 20-26th how will you vote in the…</t>
  </si>
  <si>
    <t>RT @FoxNews: #Trump: Obama 'did nothing' on 'so-called Russian Meddling' because he thought 'Crooked Hillary' would win https://t.co/8i7s3U…</t>
  </si>
  <si>
    <t>Enrique Iglesias Defies Calls for Boycott, Thrills Fans in Tel Aviv https://t.co/NdBvEKtFy9 via @BreitbartNews</t>
  </si>
  <si>
    <t>Mark Penn: Deep State Conducted a Sting Operation on Trump | Breitbart https://t.co/D3ozXJHTQh</t>
  </si>
  <si>
    <t>645,000 Poppies, Rolling Thunder, Lines to Thank Veterans for D.C. Memorial Day Weekend https://t.co/3f1xyhGXiX via @BreitbartNews</t>
  </si>
  <si>
    <t>RT @Joshacham: @perlmutations White Privilege is being in a child's life? Want to try that one again?</t>
  </si>
  <si>
    <t>RT @TravisNeliton: @AprilDRyan Every thing @realDonaldTrump is accused of the #ClintonFoundation has already done. 
#Pedogate #ChildsexTra…</t>
  </si>
  <si>
    <t>RT @Bookish_Boredom: @chmorley @AprilDRyan Do you know what a conspiracy theory is and where that term originated from? Hmm?</t>
  </si>
  <si>
    <t>RT @Bookish_Boredom: @AprilDRyan It’s poor journalism like this that makes people not trust the media.
Shame on you.</t>
  </si>
  <si>
    <t>RT @2000heynow: @iRun4Jules @realDonaldTrump You clowns can desperately try all you want to compare Trump to Hitler but Trump's doing the o…</t>
  </si>
  <si>
    <t>Abuse of Power! https://t.co/xBH3Vc4OuZ</t>
  </si>
  <si>
    <t>RT @JacobAWohl: Why did Obama have Stefan Halper carry out his spy operations against Trump in London? 
Because he knew that it would have…</t>
  </si>
  <si>
    <t>RT @KurtSchlichter: Man arrested and imprisoned in England for reporting on a court case.
Reporting on his case is also illegal.
The US m…</t>
  </si>
  <si>
    <t>RT @JacobAWohl: BREAKING: New leaks reveal that Jim Comey sent Peter Strzok to London 90 days before the election, under the mission codena…</t>
  </si>
  <si>
    <t>RT @golddomersdulac: We cherish, too, the poppy red
That grows on fields where valor led;
It seems to signal to the skies
That blood of her…</t>
  </si>
  <si>
    <t>RT @ChopperBikerDog: They sacrificed their "tomorrow's" so we could have our "today's".
#MemorialDay is upon us, I want 2 take a moment 2…</t>
  </si>
  <si>
    <t>RT @crabwizard: All gave some; some gave all. #MemorialDay2018 #AlwaysRemembered #NeverForgotten 🇺🇸 https://t.co/pzdqNAB9oH</t>
  </si>
  <si>
    <t>RT @NRA: The six million members of the NRA remember all the brave men and women who died fighting for our country and gave us our freedom.…</t>
  </si>
  <si>
    <t>Who's really crazy Trump or the liberal media and dirty democrats? -Kevin's Corner https://t.co/zEqNJ2nWMc</t>
  </si>
  <si>
    <t>RT @Jankel01: This is Exactly why the Democrat party will be dismantled after  #NOBlueWave at midterms. The @DNC is not a political party a…</t>
  </si>
  <si>
    <t>RT @redsteeze: @antonio4ca That’s a great workshopped answer Mr. Mayor. Please point me to your outrage when this happened in 2014 then. It…</t>
  </si>
  <si>
    <t>RT @seskvocovicqm: Majority of Americans don’t have $500 in savings but the fight for DACA continues https://t.co/URPIVxy7f5</t>
  </si>
  <si>
    <t>RT @JamesBSN_RN: #impeachobama His lawless behavior has to be paid for!</t>
  </si>
  <si>
    <t>RT @Franklin_Graham: Over half a million people have visited the @Museumof Bible since it opened in Washington, DC, six months ago. That’s…</t>
  </si>
  <si>
    <t>RT @Franklin_Graham: I want to thank Steve Green, his father David, &amp;amp; the Green family for making the @MuseumofBible a reality. In August t…</t>
  </si>
  <si>
    <t>RT @Franklin_Graham: So good to have @GovHawaii David Ige stop by Thursday morning to thank our @SamaritansPurse volunteers in Hanalei for…</t>
  </si>
  <si>
    <t>RT @Franklin_Graham: Welcome to this fine group of 2018 @SamaritansPurse interns! God has lots in store!
#SPintern https://t.co/B0eMjQvdlc</t>
  </si>
  <si>
    <t>RT @Franklin_Graham: The right to be born is the most basic of human rights—&amp;amp; it needs to be protected. Peter Rowen, who was on 2 of @U2’s…</t>
  </si>
  <si>
    <t>RT @Franklin_Graham: Thank you for being here @JeremyCamp. https://t.co/YtA4LmGJkz</t>
  </si>
  <si>
    <t>RT @Franklin_Graham: This science teacher is a real hero! Jason Seaman was shot 3x tackling an active shooter in their Indiana middle schoo…</t>
  </si>
  <si>
    <t>RT @CBNNews: Franklin Graham's Decision America Tour Brings Message of New Life and Hope to California https://t.co/YlzQEd4Kcl
@Franklin_Gr…</t>
  </si>
  <si>
    <t>RT @Franklin_Graham: No matter what country you live in, everyone needs to remember that you will stand before God one day and give an acco…</t>
  </si>
  <si>
    <t>RT @Franklin_Graham: Just because the majority in Ireland voted to repeal their 8th amendment, saying that murdering the unborn should be l…</t>
  </si>
  <si>
    <t>RT @Franklin_Graham: This crowd in Fresno, CA, at a high school softball championship were told the national anthem wouldn’t be played befo…</t>
  </si>
  <si>
    <t>RT @Franklin_Graham: We should all be thankful for this country, its Christian heritage, and the freedoms we enjoy. Those who gave the ulti…</t>
  </si>
  <si>
    <t>RT @Franklin_Graham: I’m looking forward to being at the Fresno Fairgrounds with @JeremyCamp on Memorial Day—join us at 7:00 PM when the mu…</t>
  </si>
  <si>
    <t>RT @TwnzMom55: @NFL @nflnetwork @ESPNNFL @NFL https://t.co/bprUHARUKu</t>
  </si>
  <si>
    <t>RT @ThinBlueLR: I love Rolling Thunder. 
We have tons of bikers riding around Northern Virginia with American flags on the back of their m…</t>
  </si>
  <si>
    <t>RT @AIIAmericanGirI: Drive-Thru Customer Shoots, Wounds Robbery Suspect In Santa Ana, California https://t.co/j0A4i2cc0y @weaselzippers #AAG</t>
  </si>
  <si>
    <t>RT @JackPosobiec: Let's get #ImpeachObama trending!</t>
  </si>
  <si>
    <t>Clapper: Kim Jong Un ‘May Have Met His Match’ in Donald Trump | Breitbart https://t.co/71F9yBnwFC via @BreitbartNews</t>
  </si>
  <si>
    <t>PHOTOS: 1 Million Bikers Ride into D.C. to Pay Homage to Fallen Heroes https://t.co/rEbRQOxFoJ via @BreitbartNews</t>
  </si>
  <si>
    <t>@EJDionne The Forgotten Men &amp;amp; Women know Pres Trump loves America &amp;amp; the Constitution. We in the Heartland see you as another Coastal Elitist who has no clue that the 1st Amend. restricts govt from halting free speech, but has no jurisfiction ovr private business policies. #MAGA 🇺🇸</t>
  </si>
  <si>
    <t>RT @USForcesKorea: "We have to make their sacrifice matter through our service and vigilance." GEN Brooks, UNC/CFC/USFK Commander.
"The Kor…</t>
  </si>
  <si>
    <t>RT @mrglenn: #MemorialDay is set aside for military members who fell in combat - PERIOD. Not first responsders, teachers, union organizers,…</t>
  </si>
  <si>
    <t>RT @audrey4congress: My dad, Robert Denney, is a Vietnam veteran. I asked him today to share his thoughts as we approach #MemorialDay. He s…</t>
  </si>
  <si>
    <t>RT @highergtv: On Memorial Day, we remember and apprecaite those who died in active military service. Let us also allow current members acc…</t>
  </si>
  <si>
    <t>RT @LindaSuhler: REMEMBER THE COST
Thank you for your sacrifices — you will never be forgotten.
#MemorialDay https://t.co/Z5UazBJIe2</t>
  </si>
  <si>
    <t>RT @AmericanLegion: Long may she wave. And let us never forget those who gave their lives defending all that Old Glory represents. #Memoria…</t>
  </si>
  <si>
    <t>RT @DeptofDefense: We pay tribute to the fallen this #MemorialDay weekend. We thank them for making the ultimate sacrifice for our freedom:…</t>
  </si>
  <si>
    <t>RT @WLouT2: It’s so refreshing to openly accknowlgedge our #FallenHeroes #Veterans and #Military this #MemorialDay  thank you to all that s…</t>
  </si>
  <si>
    <t>RT @kphilley1: @EstVallChorale @PatriciaAHenso1 @Corp125Vet @AmericanGirl815 @NevadaJack2 @PamB60 @justRocknn321 @darhar981 @SmithRandyUSA…</t>
  </si>
  <si>
    <t>RT @BreitbartNews: https://t.co/8x9YATMA5S</t>
  </si>
  <si>
    <t>RT @RealMAGASteve: “The greatest sacrifice you can do for anyone is to fall for your brother and let alone. Our military is willing to defe…</t>
  </si>
  <si>
    <t>RT @ScottPresler: There are 3 elderly Supreme Court Justices. 
Want to give President Trump a legacy that lasts for generations? VOTE! 
#…</t>
  </si>
  <si>
    <t>RT @Botanicalnurse: Netflix put Susan Rice on board of directors after she Lied about  attack on our troops in Bengazhi &amp;amp;she hired the Obam…</t>
  </si>
  <si>
    <t>Federal Reserve in Chicago is instituting new massive property taxes as a stopgap way of helping to fund at-present unfunded pensions and liabilities in the state. It’s 1% addtl property tax on your existing bill, based on the value of your house. 😡  https://t.co/rJeHsrQQSL</t>
  </si>
  <si>
    <t>RT @tice_stacy: I demand she lose her White House credentials immediately she does not deserve to be in our White House she has sunk to a n…</t>
  </si>
  <si>
    <t>RT @nwsltrMe: Bullshit, you irresponsible hack. You wrote the tweet which "gave impression"—you failed to vet the photos. Plus, you won't o…</t>
  </si>
  <si>
    <t>RT @the_USO: We've set a goal of 200,000 patriotic Americans thanking our troops before Military Appreciation Month ends. Do your part, and…</t>
  </si>
  <si>
    <t>RT @Malika_Polter: A man's health can be judged by which he takes two at a time - pills or stairs.</t>
  </si>
  <si>
    <t>RT @almostjingo: @Quigley__ @TheLastRefuge2 @drawandstrike @_VachelLindsay_ @rising_serpent @The_War_Economy @JohnWHuber @MsTriaI @shadowfa…</t>
  </si>
  <si>
    <t>RT @GalacticRedPill: @TheLastRefuge2 @themarketswork @_VachelLindsay_ @drawandstrike @tracybeanz @The_War_Economy @almostjingo @Nick_Falco…</t>
  </si>
  <si>
    <t>RT @NameRedacted7: Yeah we know you'd love to do that, Jedd. WE KNOW you hate her, hate her child and that you'd like violence to come to t…</t>
  </si>
  <si>
    <t>RT @MarkGeistSWP: All we ask for repayment for the sacrifice is that you live your life worth it. Worth the sacrifice of those American war…</t>
  </si>
  <si>
    <t>RT @MarkGeistSWP: This is a weekend to celebrate and honor those who gave their lives twice. Once giving up the life at home to go to war a…</t>
  </si>
  <si>
    <t>RT @Oriana0214: This has to be rerun because AFTER I saw this, I asked the B-1 crew about this exact story. Here’s what they had to say: ht…</t>
  </si>
  <si>
    <t>RT @WiredSources: CNN reporter tweets shocking photos of children migrant holding facilities, but the photos were from year 2014 under the…</t>
  </si>
  <si>
    <t>RT @GOPPollAnalyst: Tell John Podesta we said hi, Mark. Real nice threatening someone because you don't like what they said. 
https://t.co…</t>
  </si>
  <si>
    <t>RT @OfficeOfMike: 17 Hostages that Trump secured the release of:
Sabrina De Sousa
Aya Hijazi
Mohamed Hassanei
Sandy Phan-Gillis
Otto W…</t>
  </si>
  <si>
    <t>RT @NameRedacted7: I dealt with two of these in the last 48 hours. Be careful of so-called maga accts trying to scare you; trying to convin…</t>
  </si>
  <si>
    <t>RT @Quigley__: The best OPEN SOURCE researchers in the world can be found right here on Twitter.  
&amp;lt;SHADOW BANS BE DAMNED&amp;gt; 
@TheLastRefug…</t>
  </si>
  <si>
    <t>RT @GalacticRedPill: Thread incoming... 
Topic: A Deep Dive into the Phases of #SpyGate and the Evolution of the Palace Coup
@realDonaldT…</t>
  </si>
  <si>
    <t>RT @T_S_P_O_O_K_Y: Kurt - actually the @FBI &amp;amp; @Comey were legally obligated under EO 12333 to notify @realDonaldTrump as he wasn't suspecte…</t>
  </si>
  <si>
    <t>RT @Cernovich: Irresponsible to recruit your clients into Twitter beefs. Now people will reasonably wonder if your clients are misusing gov…</t>
  </si>
  <si>
    <t>RT @JohnWHuber: Thanks to great work by @ChuckRossDC, we now know that virtually EVERY word of the @nytimes "origin" story of the Russia pr…</t>
  </si>
  <si>
    <t>RT @HSajwanization: I am getting unconfirmed news of #Jordan cutting off its trade relations with #Turkey</t>
  </si>
  <si>
    <t>RT @Fla_Mom: @KrisParonto @NameRedacted7 @davidhogg111 My husband and his rifle teammates brought theirs to school for after-school practic…</t>
  </si>
  <si>
    <t>RT @JerryDunleavy: TFW you’re going to check out the Jefferson Memorial w/ your out-of-town friends &amp;amp; baby and you accidentally stumble upo…</t>
  </si>
  <si>
    <t>RT @RealJamesWoods: Madeleine Stowe stops the pig with a shake of the finger. I worked with her in General’s Daughter. A fabulous actress,…</t>
  </si>
  <si>
    <t>RT @RTWashDC: Good morning from Rolling Thunder XXXI ! https://t.co/a9ytajQNak</t>
  </si>
  <si>
    <t>RT @RTWashDC: https://t.co/T1WCa5tBvi</t>
  </si>
  <si>
    <t>RT @jrsalzman: “#TheResistance” are a bunch of petulant children throwing a perpetual temper tantrum because they didn’t get their way in t…</t>
  </si>
  <si>
    <t>RT @NicolosiFrank: @MZHemingway @peterjhasson They use twisted logic to say Trump lied. Grasping at anything to support their false asserti…</t>
  </si>
  <si>
    <t>RT @MZHemingway: @DaBearsk35 @peterjhasson And yes, the characterization by the NYT was wrong.</t>
  </si>
  <si>
    <t>RT @MZHemingway: @peterjhasson Sure. But the answer to holding him accountable is to report accurately.</t>
  </si>
  <si>
    <t>RT @MZHemingway: @peterjhasson I'd say Trump's claim it was a "quote" rather than a characterization is the error -- but we have no evidenc…</t>
  </si>
  <si>
    <t>RT @MZHemingway: Holy crap. This is a lie. The audio does not support the New York Times claim. My goodness. https://t.co/cy43MoXTDY</t>
  </si>
  <si>
    <t>RT @NameRedacted7: You're lack of professionalism &amp;amp;  lack of integrity shines through. Chuck is grounded in reality. You're pushing deep st…</t>
  </si>
  <si>
    <t>RT @NameRedacted7: Comey, McCabe &amp;amp; Yates are at extremely high risk of going to federal prison for long sentences. https://t.co/YCozvD41r4</t>
  </si>
  <si>
    <t>RT @ChuckRossDC: Wait, "the security concern was the Trump campaign"? I thought you said in that ridiculous article the other day that the…</t>
  </si>
  <si>
    <t>RT @vabelle2010: Did you notice that when Patreaus was pushed out, @JohnBrennan  was in the WH, then became CIA Director? I just have alway…</t>
  </si>
  <si>
    <t>RT @KrisParonto: I remember, it was before your generation started shooting up the schools David, even though we still had guns. Thank you…</t>
  </si>
  <si>
    <t>RT @RyanAFournier: A generation taught to hate this Country and our Constitution will refuse to defend it.</t>
  </si>
  <si>
    <t>RT @drawandstrike: @MarkSZaidEsq @_VachelLindsay_ Because you can't tell the difference between a public figure who is handsomely remunerat…</t>
  </si>
  <si>
    <t>RT @NameRedacted7: You just love to doxx people who expose your lies don't you??? https://t.co/bTQKXVoBzZ</t>
  </si>
  <si>
    <t>RT @MJASheridan: @MarkSZaidEsq @_VachelLindsay_ In all honesty. Zaid portrays himself as a guardian of whistleblowers and, yet that is exac…</t>
  </si>
  <si>
    <t>RT @MadVoterInMN: @MarkSZaidEsq @_VachelLindsay_ Who wants to be the first to open up a Bar complaint. Very unethical should; know better.</t>
  </si>
  <si>
    <t>RT @larriemoss: @MarkSZaidEsq @_VachelLindsay_ Oops! Could your threat be illegal especially for someone in your position? https://t.co/Ypz…</t>
  </si>
  <si>
    <t>RT @larriemoss: @MarkSZaidEsq @_VachelLindsay_ Non-partisan, really? https://t.co/rKuwTPPlCQ</t>
  </si>
  <si>
    <t>RT @DJW93516: @_VachelLindsay_ @MarkSZaidEsq Mark is talking about committing a felony and because he has posted it that would make it prem…</t>
  </si>
  <si>
    <t>RT @Barnes_Law: The lawyer making this threat of doxxing &amp;amp; spying against a Twitter commentator (because that commentator detailed abuse in…</t>
  </si>
  <si>
    <t>RT @TheLastRefuge2: Addendum for clarity.
1. "Spygate" is the evolution of going from passive collection of opposition research to the act…</t>
  </si>
  <si>
    <t>RT @TheLastRefuge2: 30. #Spygate is an outcome of FBI/DOJ authorized contractors being impeded in their database access, and combined with…</t>
  </si>
  <si>
    <t>RT @TheLastRefuge2: 29. And all of this *activity*, doesn't yet even outline/involve the use of spies or intelligence agents, yet it is bei…</t>
  </si>
  <si>
    <t>RT @TheLastRefuge2: 28. 
April '16 Clinton hires Chris Steele
May '16 Nellie Ohr gets HAM radio license.
June/July '16 FBI Agent Strzok mee…</t>
  </si>
  <si>
    <t>RT @TheLastRefuge2: 26.  In 2016 DOJ-NSD has no oversight. In 2015 the OIG requested oversight and Sally Yates responded with a lengthy 58-…</t>
  </si>
  <si>
    <t>RT @TheLastRefuge2: 25. Clinton Campaign hires FusionGPS April 2016.
Fusion GPS hires Nellie Ohr wife of DOJ-NSD Bruce Ohr.
Bruce Ohr has a…</t>
  </si>
  <si>
    <t>RT @rising_serpent: A more important, critical &amp;amp; overlooked point is: Rex's previous account was targeted by nefarious elements, hence the…</t>
  </si>
  <si>
    <t>RT @TheLastRefuge2: 24.  After months of oppo research, including what appears to be access to FISA-702(17) “Search Queries“, the wife of G…</t>
  </si>
  <si>
    <t>RT @TheLastRefuge2: 23.  On April 19th, 2016,  the day after the FBI stopped allowing access to the FISA database, the  wife of Fusion-GPS…</t>
  </si>
  <si>
    <t>RT @TheLastRefuge2: 22.  Contractor FusionGPS and its founder, Glenn Simpson, is a solution.   Glenn Simpson, Fusion GPS, Bruce and Nellie…</t>
  </si>
  <si>
    <t>RT @TheLastRefuge2: 21.  Oh snap.  APRIL 2016 - Now the Spygate race begins.  The political operatives (contractors) who were dependent on…</t>
  </si>
  <si>
    <t>RT @TheLastRefuge2: 20. A quick review showed FISA 702(16) "To/From" and FISA 702(17) "About" were the two audit queries of concern.  On Ap…</t>
  </si>
  <si>
    <t>RT @TheLastRefuge2: 19.  In March 2016, right as the GOP nomination was narrowing to Donald Trump, NSA Director Mike Rogers was alerted to…</t>
  </si>
  <si>
    <t>RT @TheLastRefuge2: 18.  The term *contractors* is all over the Sypgate story.  Stefan Halper was a contractor; Christopher Steele was a co…</t>
  </si>
  <si>
    <t>RT @TheLastRefuge2: 17.  While Richman might not have been paid by the FBI, the information he was able to extract would have been very val…</t>
  </si>
  <si>
    <t>RT @TheLastRefuge2: 16. An example of a contractor doing this type of work was later identified as Daniel Richman, the unpaid contractor an…</t>
  </si>
  <si>
    <t>RT @TheLastRefuge2: 15. Access to these databases was how some people within the intelligence apparatus [FBI, DOJ-NSD (National Security Di…</t>
  </si>
  <si>
    <t>RT @TheLastRefuge2: 14. According to Judge Collyer review, based on NSA compliance reporting, 85% of all database searches, "About Queries"…</t>
  </si>
  <si>
    <t>RT @TheLastRefuge2: 13.  In March 2017 the FISA Court, published a 99-page opinion (declassified w/ redactions in April '17) by Presiding F…</t>
  </si>
  <si>
    <t>RT @TheLastRefuge2: 12.  In 2015 and 2016 political operatives within the intelligence community, known as *contractors*, as labeled by the…</t>
  </si>
  <si>
    <t>RT @TheLastRefuge2: 11.  So here's a recap of how the process appears to have taken place.  I shall endeavor to provide citations for every…</t>
  </si>
  <si>
    <t>RT @TheLastRefuge2: 10.  This is where good old fashioned American common sense comes into play.  If the IC objective was to protect their…</t>
  </si>
  <si>
    <t>RT @TheLastRefuge2: 9.  Those who defend the action of IC surveillance on political opponents are reduced to saying government surveillance…</t>
  </si>
  <si>
    <t>RT @TheLastRefuge2: 7. Oddly enough, the questions of "who", "what", "when" and "where", are not part of the argument.  Even those defendin…</t>
  </si>
  <si>
    <t>RT @TheLastRefuge2: 6.  The current "spygate" debate centers around the modern weaponization of that process using advances in technology f…</t>
  </si>
  <si>
    <t>RT @TheLastRefuge2: 3. As it originated, the intelligence apparatus, the Intelligence Community or "IC", both domestic and foreign, was use…</t>
  </si>
  <si>
    <t>RT @TheLastRefuge2: 4. It is what the political opposition research turned into that eventually becomes "Spygate".</t>
  </si>
  <si>
    <t>RT @TheLastRefuge2: 5. The essential elements, the history of government using the intelligence apparatus to conduct political opposition r…</t>
  </si>
  <si>
    <t>@TheLastRefuge2 @drawandstrike I love how you keep calling it Spy Gate since the Left HATES the term. They’re usually the ones that create a buzzword, that gets incessantly circulated by the biased media! #SpyGate</t>
  </si>
  <si>
    <t>RT @TheLastRefuge2: 2. In the aggregate, the President Obama administration's  "Spygate" (as it's being called) is not a difficult operatio…</t>
  </si>
  <si>
    <t>RT @TheLastRefuge2: 1. Understanding "Spygate", the Big Picture. 
[staying out of the weeds] https://t.co/uaXAsYT3IW</t>
  </si>
  <si>
    <t>RT @ThomasWictor: (7) The Koreans are very proud people.
But they've been deeply traumatized.
In 1910, the Japanese ANNEXED Korea and out…</t>
  </si>
  <si>
    <t>RT @RealCandaceO: I found it. The best entry for Obama’s upcoming Netflix show. https://t.co/pfiOypmkPI</t>
  </si>
  <si>
    <t>RT @ThomasWictor: (3) North Koreans are in Washington, Americans are in North Korea, and the two Korean leaders meet with a hug.</t>
  </si>
  <si>
    <t>RT @ThomasWictor: (2) AND.
https://t.co/jhPUl6MdlQ</t>
  </si>
  <si>
    <t>RT @ThomasWictor: (1) A photo taken when the two Korean leaders met secretly on May 26, 2018.
This was how they greeted each other. https:…</t>
  </si>
  <si>
    <t>RT @NCDM18: @ThomasWictor This is from 2014, apparently it’s only appalling now.</t>
  </si>
  <si>
    <t>RT @ThomasWictor: This is what happens when you use children as geopolitical weapons.
Things don't turn out the way you wanted. https://t.…</t>
  </si>
  <si>
    <t>RT @therealroseanne: FACT: ALL citizens care about the same issues. We just differ on ways to implement the solutions. Don't get divided-re…</t>
  </si>
  <si>
    <t>RT @therealroseanne: So many of my family have served in the US armed forces. I can't wait til next season to address veterans' issues-DJ &amp;amp;…</t>
  </si>
  <si>
    <t>RT @ThomasWictor: Yes.
The meeting was kept secret until AFTER it happened.
This was to thwart the Chinese. https://t.co/DStSWjjb6w</t>
  </si>
  <si>
    <t>RT @ksorbs: Truth.  
KANYE WEST: RACIST (Wait...what?) https://t.co/NpBkAiQJSO via @YouTube https://t.co/NpBkAiQJSO</t>
  </si>
  <si>
    <t>RT @zattack2016: @drawandstrike @TheLastRefuge2 @_VachelLindsay_ So Sally Yates let Private Security Contractors (Fusion GPS) have full acc…</t>
  </si>
  <si>
    <t>RT @BrandonHathaw12: @zattack2016 @drawandstrike @TheLastRefuge2 Didn't Rand Paul say he was told he was surveilled? Rand wouldn't have bee…</t>
  </si>
  <si>
    <t>RT @JesseKellyDC: Watching the media get exposed again as a propaganda wing of the Democratic Party like: https://t.co/dDoIX6i27H</t>
  </si>
  <si>
    <t>RT @DianeLong22: @_VachelLindsay_ @MtRushmore2016 Every Thing Obama has touched us destroyed definitely down graded. I will never again hav…</t>
  </si>
  <si>
    <t>RT @JackPosobiec: Plot twist: It was the British who meddled in our elections #Spygate https://t.co/Jp79qgyLjo</t>
  </si>
  <si>
    <t>RT @JackPosobiec: Happy Memorial Day to @GenFlynn https://t.co/0X5iGoZAKj</t>
  </si>
  <si>
    <t>RT @The_War_Economy: While @_VachelLindsay_ tackles why @Netflix is doomed to fail because of its willing embrace of propaganda, I will go…</t>
  </si>
  <si>
    <t>RT @realDonaldTrump: Who’s going to give back the young and beautiful lives (and others) that have been devastated and destroyed by the pho…</t>
  </si>
  <si>
    <t>RT @realDonaldTrump: Fantastic to have 400,000 GREAT MEN &amp;amp; WOMEN of Rolling Thunder in D.C. showing their patriotism. They love our Country…</t>
  </si>
  <si>
    <t>RT @T_S_P_O_O_K_Y: Well - @realDonaldTrump - yes - this is actually what the @FBI and @Comey were legally obligated to do under EO 12333 -…</t>
  </si>
  <si>
    <t>RT @ByronYork: How it works: Netflix exec &amp;amp; wife bundle big donations to Obama in '08. Wife is rewarded with ambassadorship. Now Netflix ex…</t>
  </si>
  <si>
    <t>RT @SwensonBrigette: #BREAKING
Iranian hackers take over the system in Mashhad airport and send out anti-regime messages!
#IranProtests
#I…</t>
  </si>
  <si>
    <t>EU Asked to Stop Funding Anti-Israel Hate Groups https://t.co/gTQZhJUTWS</t>
  </si>
  <si>
    <t>Chicago's Memorial Day Weekend Gets Bloody Kick-Off with 23 Shot, Four Dead https://t.co/Q9n39t1H1M</t>
  </si>
  <si>
    <t>RT @Center_Right: The @NAACP lost ME long ago.
They destroyed careers of many black actors in the 60’s tv series #AmosandAndy &amp;amp; stole #Acad…</t>
  </si>
  <si>
    <t>RT @Ask_Lou: https://t.co/fooOhiF4HV</t>
  </si>
  <si>
    <t>RT @ORConservative: @acitizen95 @dpshow After seeing some of the recent cases where people claim some sort of abuse and then body cam video…</t>
  </si>
  <si>
    <t>RT @SIEMPRE_FIDEL: This morning, I’m visiting with #ChrisKyle, American sniper.  No matter how many times I come down here to visit him, I…</t>
  </si>
  <si>
    <t>RT @RealMattCouch: Michelle Mortensen is a FIGHTER
She's Pro Life
Pro 2nd Amendment 
Not a Career Politician like her opponents 
Knows…</t>
  </si>
  <si>
    <t>RT @mitchellvii: TRUMP: "An informant IS a spy.  You're just using semantics!:
MEDIA: "Actually, we prefer 'word games' over 'semantics'..…</t>
  </si>
  <si>
    <t>Charlottesville Will Not Renew Contract of City Manager Whose Role in Deadly Rally Was Questioned https://t.co/HHnuMO8bBL via @BreitbartNews</t>
  </si>
  <si>
    <t>‘The Best of America’: Scranton Remembers Forgotten Fallen Marine 51 Years Later in Memorial Day Weekend Ceremony | Breitbart https://t.co/tywJ9SXYG4 #MemorialDay2018</t>
  </si>
  <si>
    <t>@CamaryAllen @SenSchumer Liberty-minded people should always be skeptical of Govt Control. Even Democrat Daniel Moynihan knew this. https://t.co/lYGvU6pY84</t>
  </si>
  <si>
    <t>@SenSchumer Oh, this quote from Democrat Daniel Patrick Moynihan is a profound warning for your party! I’ll share with @NancyPelosi &amp;amp; all @TheDemocrats #MAGA https://t.co/ye10yQjxW0</t>
  </si>
  <si>
    <t>@SenSchumer Democrat Daniel Moynihan understood about Leakers so I’ll also share this with @AdamSchiffCA #DrainTheSwamp https://t.co/QGHjLOGiYz</t>
  </si>
  <si>
    <t>@SenSchumer Don’t worry, Senator Schumer, I have a few more examples for Democrats to gain inspiration from Democrat Patrick Moynihan: https://t.co/AEnpCiReBL</t>
  </si>
  <si>
    <t>@SenSchumer Its almost as though Democrat Daniel Patrick Moynihan could envision what fruits, Liberal policies would bear, Senator Schumer: https://t.co/u9h4lgIrOv</t>
  </si>
  <si>
    <t>@SenSchumer Democrat Daniel Patrick Moynihan was pretty damn smart: https://t.co/aI7aE0HkXE</t>
  </si>
  <si>
    <t>@SenSchumer And Senator Schumer, more from Democrat Moynihan: https://t.co/wWGr1HxyMl</t>
  </si>
  <si>
    <t>@SenSchumer How about we hear a little more from Democrat Moynihan: https://t.co/khBPiLGqXA</t>
  </si>
  <si>
    <t>RT @FriendlyJMC: With Congress sitting at 8% approval rating I think shows the true reason Trump enacted this policy. We've all stood in li…</t>
  </si>
  <si>
    <t>RT @nooneishere51: #FreeTommyRobinson #FreeTommy #TommyRobinson #UKPoliceState #FreedomOfSpeech #freedomofpress https://t.co/wjW8C7QQQQ</t>
  </si>
  <si>
    <t>RT @veteranhank: Traditional American values like family, God, and patriotism have been eroded by the left over the years and it has birthe…</t>
  </si>
  <si>
    <t>RT @CollinRugg: *Muslims beating and raping women*
UK: “Meh. Nothing to see here”
*Tommy Robinson reporting on Muslims beating and raping…</t>
  </si>
  <si>
    <t>RT @Education4Libs: Parkland gun control “activists” laid on the floor of a grocery store yesterday &amp;amp; yelled at customers to boycott.
This…</t>
  </si>
  <si>
    <t>RT @gerfingerpoken: This didn't start last week. https://t.co/dybqdO5oD6</t>
  </si>
  <si>
    <t>RT @PatVPeters: Dancing with Socialism, Ignoring Reality  https://t.co/UwxlSj72EI</t>
  </si>
  <si>
    <t>RT @FoxNews: "@POTUS said, 'Come on up, Katherine,' and at that point in time it was almost surreal."
On @foxandfriends, the parents of an…</t>
  </si>
  <si>
    <t>RT @senorrinhatch: God bless the USA. 🇺🇸 https://t.co/iF3Egbd2Pd</t>
  </si>
  <si>
    <t>RT @Lrihendry: Can someone please explain to me the difference with Russian interference in our elections and  allowing illegals to vote in…</t>
  </si>
  <si>
    <t>RT @TomFitton: Fitton Blasts Anti-Gun Protesters: 'Hey Publix, Facts Show that Police Failures Contributed to Parkland Massacre!' https://t…</t>
  </si>
  <si>
    <t>RT @foxandfriends: “Why didn’t the crooked highest levels of the FBI or ‘Justice’ call me to tell me of the phony Russia problem?” –Preside…</t>
  </si>
  <si>
    <t>RT @SaraCarterDC: Absolutely ... it’s the 21st Century people. https://t.co/4oKyDl0gjz</t>
  </si>
  <si>
    <t>RT @FoxNews: The Empire State Building is lit up red, white and blue in honor of the Memorial Day weekend. https://t.co/s7BIWGdY4f</t>
  </si>
  <si>
    <t>RT @SunshineLK10: @LazyMeatball Nothing but respect!🇺🇸🇺🇸🇺🇸🇺🇸🇺🇸🇺🇸 I stand for our Vets during the Anthem and kneel when praying for our Mili…</t>
  </si>
  <si>
    <t>RT @USMC: Taking Over NYC
The Silent Drill Platoon and @USMCDRUMCORPS took over Times Square tonight as part of #FleetWeek New York. https…</t>
  </si>
  <si>
    <t>RT @dlacalle_IA: Great news:
Kim Jong Un committed to sitting down with President Donald Trump and to a "complete denuclearization of the…</t>
  </si>
  <si>
    <t>The “sensitive matter” appears to be the Trump-Russia narrative &amp;amp; and political opposition research funded by Hillary Clinton campaign &amp;amp; the DNC. The research— known as the “Steele dossier” was peddled to the press and secretly used, in part, to justify controversial FBI wiretaps https://t.co/upICV2vg9e</t>
  </si>
  <si>
    <t>RT @SharylAttkisson: Right to Try got an up vote in the House today. What's it about? Watch our story from 2 weeks ago. @FullMeasureNews @S…</t>
  </si>
  <si>
    <t>RT @BeschlossDC: After impeachment, Andrew Johnson escaped Senate conviction by one vote, 150 years ago today: https://t.co/nduLMXnFDL</t>
  </si>
  <si>
    <t>RT @SharylAttkisson: Where can you watch my program @FullMeasureNews Sundays? Here's a partial listing but it's not fully up to date, we ar…</t>
  </si>
  <si>
    <t>RT @Barnes_Law: For your eyes only: A short history of Democrat-spy collusion https://t.co/bScRLLDZCu</t>
  </si>
  <si>
    <t>Bingo! https://t.co/npI2aLP23y</t>
  </si>
  <si>
    <t>RT @Geezajay2013: This is a copy of the gagging order currently in place in the UK.
This means that the media is NOT allowed to report on…</t>
  </si>
  <si>
    <t>RT @TECMainland: #Testimony I was tormented by the spirit of fear, but I trusted God for deliverance, and God came through for me! #PraiseG…</t>
  </si>
  <si>
    <t>RT @ASJBaloch: EX-Muslim Bengali is really angry on the arrest of Tommy Robinson.
#FreeTommyRobinson https://t.co/dopOl7X0W0</t>
  </si>
  <si>
    <t>RT @pugwash1000: I was a Police Officer for many years. There is no way on this earth that Tommy Robinson committed a breach of the peace o…</t>
  </si>
  <si>
    <t>Its happening all across the counties in America! STL circuit atty has gone after Gov Greitens of MO. https://t.co/YYRdi5Ifwv</t>
  </si>
  <si>
    <t>RT @realDailyWire: WATCH: Mark Levin Explains Why Mueller Appointment Is 'Utterly Unconstitutional' https://t.co/N43f8eU2qa @realJacobAirey…</t>
  </si>
  <si>
    <t>RT @sherrardsebooks: I get Cash Back when I shop online - Sign up with Ebates and you can too! https://t.co/6jbHnCL4uI #shop</t>
  </si>
  <si>
    <t>RT @RightWingAngel: How is standing up for children and women against gangs that groom or rape them anything but caring. I am sorry to have…</t>
  </si>
  <si>
    <t>RT @RightWingAngel: Look at all these UK Patriots:  6,000 March down WhiteHall in support of Tommy Robinson. 
video MT @EdJetel): https://…</t>
  </si>
  <si>
    <t>RT @normmacdonald: I did the voice. https://t.co/uQThq44GFp</t>
  </si>
  <si>
    <t>RT @RealBamaCowboy: As an American citizen, are you more concerned with.....vote and retweet please.</t>
  </si>
  <si>
    <t>RT @RealJamesWoods: “Nazario's step-mother, Noemi Nazario, said she's proud of him and noted he'd been trying to become an officer for the…</t>
  </si>
  <si>
    <t>RT @SheriffClarke: Clapper is a straight up LIAR. He's been caught at it before. Does anybody think he'd say Obama knew even if Obama did k…</t>
  </si>
  <si>
    <t>@trustrestored @conderljr Democrats feeding the kids egos &amp;amp; their bank accts to do their dirty work. #UsefulIdiots</t>
  </si>
  <si>
    <t>RT @trustrestored: Hogg and his Democrat handlers couldn't care less about guns or lives or youth or safety.  They are simply the attack do…</t>
  </si>
  <si>
    <t>@DrDerrell @ColumbiaBugle The Swamp doesnt realize we’re taking back the Republican Party little by little. They thought the Tea Party disappeared but instead a new version formed w/other Forgotten Men &amp;amp; Women from all parties who love America &amp;amp; want to protect our Constitution &amp;amp; stop the globalists. 🇺🇸</t>
  </si>
  <si>
    <t>RT @DrDerrell: @ColumbiaBugle It’s not my Dad’s Democratic Party either comrade Joe</t>
  </si>
  <si>
    <t>RT @ColumbiaBugle: Joe Biden screaming like a lunatic, shouting at a crowd: "This is not your father's Republican Party."
You're right Joe…</t>
  </si>
  <si>
    <t>@Serafinos @RebelChick1111 @NameRedacted7 @realDonaldTrump So very thoughtful of you! 😂 https://t.co/bpOYdUXnRV</t>
  </si>
  <si>
    <t>RT @Serafinos: @MtRushmore2016 @RebelChick1111 @NameRedacted7 @realDonaldTrump Here’s one to keep prepped for that perfect serving 😜
I feed…</t>
  </si>
  <si>
    <t>RT @KyleKashuv: It’s almost as if David has a ... gun... to Publix’s head... https://t.co/UI2jr66OLE</t>
  </si>
  <si>
    <t>@eugenegu Hahaha....  Twitter is a private company &amp;amp; not a govt agency so they can dictate their policies NOT a silly judge!</t>
  </si>
  <si>
    <t>RT @BreitbartNews: Madman! https://t.co/4W5rPBj5Rh</t>
  </si>
  <si>
    <t>RT @ROHLL5: 🇺🇸MEMORIAL DAY🇺🇸
          God Bless Our Military! 
#MemorialDay2018
#ROHLL5 https://t.co/jHrZArxlNU</t>
  </si>
  <si>
    <t>RT @towntro: Temperature drops do not fit the globalist agenda...so do not expect any reporting of this. https://t.co/heKF5Pr9uu</t>
  </si>
  <si>
    <t>RT @RealMattCouch: The British are taking to the streets over Tommy Robinson.. 
WHERE IN THE HELL IS THE UNITED STATES MEDIA?????
SHAME O…</t>
  </si>
  <si>
    <t>RT @_True_News: Homeless camp in CA.
2 people are seen in the video. Both white men.
#TheGreatAwakening #MAGA #Tucker #IngrahamAngle #qaN…</t>
  </si>
  <si>
    <t>RT @seskvocovicqm: Arthur Wagner – the German politician – has become a Muslim https://t.co/1NSIgoSFAo</t>
  </si>
  <si>
    <t>RT @DineshDSouza: Are Republicans the real fascists in America today, as this student seems to believe, or could it be that the Democratic…</t>
  </si>
  <si>
    <t>RT @LazyMeatball: 91 year old WWII veteran earns high school diploma 70 years after dropping out to serve in the military. 
So heartwarmin…</t>
  </si>
  <si>
    <t>RT @ddwiese: Will you return to watching, and buying game tickets to NFL games, in light of
new anthem policy?</t>
  </si>
  <si>
    <t>RT @RealMattCouch: I have joined my brother Joe Biggs and changed my profile picture to Tommy Robinson. 
It stays until Tommy is FREE!
Wh…</t>
  </si>
  <si>
    <t>RT @fenty_booty: Let me go ahead and address this bc y’all are reaching. That girl is my cousin. I asked her about this photo and she said…</t>
  </si>
  <si>
    <t>RT @alimhaider: “journalism” https://t.co/WtQtTZNqRv</t>
  </si>
  <si>
    <t>RT @GDVegasK: To all liberals......its ok to start to " come out " for Trump.</t>
  </si>
  <si>
    <t>RT @tracybeanz: Just.....Nothing. I’ve got nothing. https://t.co/RUjdFqbCGE</t>
  </si>
  <si>
    <t>The wild-eyed Ellen Farkas! https://t.co/AdFyQi9voI</t>
  </si>
  <si>
    <t>RT @tracybeanz: I’d make a wager that a large majority of the information in this piece was provided by Fusion GPS prior to them coming on…</t>
  </si>
  <si>
    <t>RT @tracybeanz: This tweet was likely deleted because the Daily Wire edited the link to the source doc, or they’ve got something wrong. htt…</t>
  </si>
  <si>
    <t>RT @hrtablaze: Tommy warned us months ago.
"I won't be around much longer" 
If they can do it to him, they can do it to any of us.The UK…</t>
  </si>
  <si>
    <t>RT @therealroseanne: Pedos and their agents are now arresting those who oppose them, in ENGLAND! #FreeTommyRobinson @Nigel_Farage @POTUS #P…</t>
  </si>
  <si>
    <t>RT @tracybeanz: Oh how true is this?! https://t.co/1KxS6yffOn</t>
  </si>
  <si>
    <t>RT @lukerosiak: Capitol Police Accidentally Gave Evidence To House Hacking Suspect’s Defense Attorney https://t.co/xz7c3qBeCL via @dailycal…</t>
  </si>
  <si>
    <t>RT @tracybeanz: This is really important. Will be sharing a few more tweets. https://t.co/rMmSvmijsU</t>
  </si>
  <si>
    <t>@RebelChick1111 @NameRedacted7 @Serafinos @realDonaldTrump Ur right, apparently the Left is now addicted to eating Crow! 🤮 https://t.co/92r1RcsN60</t>
  </si>
  <si>
    <t>RT @KimStrassel: A timeline that contradicts DOJ/FBI claims. 
 https://t.co/9SdL8qwTu5 via @WSJOpinion</t>
  </si>
  <si>
    <t>RT @KimStrassel: Wait. Which "one"? The one about how Team Clinton paid for the dossier? Or the one about how the FBI used it in a FISA app…</t>
  </si>
  <si>
    <t>RT @KimStrassel: Says the woman who paid for the salacious dossier, which sparked the Russian collusion meme. Lest anyone (at Yale or other…</t>
  </si>
  <si>
    <t>RT @ByronYork: From @Mediaite: James Comey Tells Conan O’Brien Trump’s ‘SpyGate’ Claim Is Just ‘Made Up.' https://t.co/dwIUk433RX</t>
  </si>
  <si>
    <t>RT @ByronYork: On coverage of yesterday's intel meetings: Strange to think that president ordering executive branch to comply with congress…</t>
  </si>
  <si>
    <t>RT @NolteNC: Now you know how everyone else feels reading Politico. https://t.co/12D4P1A9w8</t>
  </si>
  <si>
    <t>RT @NolteNC: How bad is it?
Oh, it's bad. 
 https://t.co/Ecqfw0xNO7</t>
  </si>
  <si>
    <t>RT @NolteNC: If Burns made the Civil War today, it would bite the big one. Thankfully he made it when he was still honest and sane. https:/…</t>
  </si>
  <si>
    <t>RT @NolteNC: Apollo 13, Night Shift &amp;amp; Parenthood are as good as they could be. https://t.co/DE3hXZKUyo</t>
  </si>
  <si>
    <t>RT @NolteNC: Manhattan
Crimes and Misdemeanors
Annie Hall
Hannah and Her Sister
Match Point. https://t.co/XtwxLq1XUR</t>
  </si>
  <si>
    <t>RT @NolteNC: CNN is desperately trying to move on from being the porn network, but the damage is done. 
The fake news network's ratings ar…</t>
  </si>
  <si>
    <t>RT @NolteNC: Also rewatched Play It Again, Sam... which is just brilliant. Woody's performance is probably is best and it is full of laughs…</t>
  </si>
  <si>
    <t>RT @NolteNC: "Solo‘s biggest problem is director Ron Howard, who has never been a very good action director. Solo feels very much like Howa…</t>
  </si>
  <si>
    <t>RT @NolteNC: Now we know why Hillary lost. 
Obama helped Trump by spying on his campaign, and refused to do the same for Hillary.  https:/…</t>
  </si>
  <si>
    <t>RT @NolteNC: So Trump is telling the truth, but here is some journalisto-jibbering-jabbering-fakenewzering-fakenewzosity so we can call him…</t>
  </si>
  <si>
    <t>RT @NolteNC: Here are all the ways Obama tried to HELP Trump...
1. Wiretaps. 
2. FISA warrants obtained using lies. 
3. Sending spies to…</t>
  </si>
  <si>
    <t>RT @ITGuy1959: "This is the stupidest attempt at a coup I have ever seen."
@NolteNC demolishes the insane talking point of "we were doing…</t>
  </si>
  <si>
    <t>RT @NolteNC: Yikes. https://t.co/r8X3CCaDNE</t>
  </si>
  <si>
    <t>RT @NolteNC: I love Americans @ https://t.co/5lvoCdOsuV</t>
  </si>
  <si>
    <t>RT @NolteNC: Unforgivable Blackness doc is a superb look at Jack Johnson's life. Better even the written biographies. You will definitely s…</t>
  </si>
  <si>
    <t>State Farm Insurance? https://t.co/Bj6SnooiDC</t>
  </si>
  <si>
    <t>RT @mitchellvii: I just got the Nov 6th weather election forecast for Democrats.
#Stormy.</t>
  </si>
  <si>
    <t>RT @mitchellvii: Dear Twitter,
Who the hell in your management team thought pissing off the Trump Base was a way to win in 2018?</t>
  </si>
  <si>
    <t>RT @pulte: There is a battle right now for the hearts and minds of our inner cities.  Will gangs, drugs and violence rule or will hope and…</t>
  </si>
  <si>
    <t>RT @mitchellvii: SILENCING ONLY SHOUTS LOUDER - SOCIAL MEDIA TAKE NOTICE - UK Protesters Flood the Streets to Demand the Release of Impriso…</t>
  </si>
  <si>
    <t>RT @mitchellvii: Is #shadowbanning real.
Look at these two tweets.  One from the 21st and the other from today.  Both similar in tone.
Ce…</t>
  </si>
  <si>
    <t>RT @mitchellvii: The Democrats are like the football team that paid off the refs (msm and social media) and STILL got blown out by 4 touchd…</t>
  </si>
  <si>
    <t>RT @mitchellvii: Is Trump amazing or what? https://t.co/kEyV0KQXWZ</t>
  </si>
  <si>
    <t>RT @Gryffindor1971: @IamSeerious @mitchellvii When I go look at the responses to Trump's tweets, almost every single one of them are from T…</t>
  </si>
  <si>
    <t>RT @mitchellvii: In looking at this photo of women celebrating Ireland making abortion legal, I couldn't help but notice there were no abor…</t>
  </si>
  <si>
    <t>RT @TaxReformExpert: After observing the last 16 months carefully, I cannot help but conclude that the Democrat Party seeks nothing less th…</t>
  </si>
  <si>
    <t>RT @mitchellvii: The only way America returns Democrats to power is if it is suicidal and I see no indication of that; therefore, it is imp…</t>
  </si>
  <si>
    <t>RT @TPortune: After 27 days in the hospital due to complications to my left leg, above the knee, amputation surgery, I am being discharged…</t>
  </si>
  <si>
    <t>RT @AG_Conservative: The intentional dishonesty here is insane. Most of Europe bans abortion after the first trimester. There is not one re…</t>
  </si>
  <si>
    <t>RT @brithume: .@RichLowry thoroughly debunks this bs claim, published in USA Today.  https://t.co/1p1h5Ool1Q</t>
  </si>
  <si>
    <t>RT @brithume: Worried about Trump’s disregard of norms? Consider this: https://t.co/Ga9SivdA9C</t>
  </si>
  <si>
    <t>RT @FoxNews: Amb. @RichardGrenell: "Companies get to choose. They can either choose to do business with the United States, or they can choo…</t>
  </si>
  <si>
    <t>RT @brithume: That’ll fix ESPN’s problem with viewers fleeing. https://t.co/UVu0oOOwYQ</t>
  </si>
  <si>
    <t>RT @brithume: This states perfectly what the never-Trumpers on the right refuse to grasp. https://t.co/kdA0PJ1DT6</t>
  </si>
  <si>
    <t>RT @DavidLimbaugh: I guess I’ll never understand the logic or moral calculus in the position that It’s morally superior not to vote for a m…</t>
  </si>
  <si>
    <t>RT @brithume: Were was that? https://t.co/ZS0gYk2W1g</t>
  </si>
  <si>
    <t>RT @brithume: The paper had four reporters on this story but made no apparent effort to determine if the White House representatives actual…</t>
  </si>
  <si>
    <t>RT @brithume: The editor of National Review bucks the conventional wisdom and Twitter trolls explode in response. Good for him. https://t.c…</t>
  </si>
  <si>
    <t>RT @brithume: The extent of the stonewalling: The FBI and Justice Department continue evading congressional oversight, writes @KimStrassel…</t>
  </si>
  <si>
    <t>RT @BreitbartNews: https://t.co/D2BEeLVeNa</t>
  </si>
  <si>
    <t>RT @Vito2Don: Visa Cuts Morgan Freeman from Commercials After Harassment Claims https://t.co/EpActOGMOl via @BreitbartNews</t>
  </si>
  <si>
    <t>RT @jery541: @LauraLoomer No one in Vegas likes him and crime has been getting worse here</t>
  </si>
  <si>
    <t>RT @RealMAGASteve: Retweet - if you support Sarah Sanders https://t.co/fZnpeC0zVX</t>
  </si>
  <si>
    <t>RT @LauraLoomer: This is super funny, but please DO NOT WRITE ON YOUR BALLOT. Only fill in the box for the person you want to vote for, bec…</t>
  </si>
  <si>
    <t>RT @LauraLoomer: Early voting in #LasVegas today!
Whatever you do, don't vote for @SheriffLombardo! #OurSheriff 
If I lived in Las Vegas,…</t>
  </si>
  <si>
    <t>RT @LauraLoomer: Early voting in @ClarkCountyNV began today!
We must make sure Sheriff Lombardo doesn’t win. 
Vote for @TimBedwell instea…</t>
  </si>
  <si>
    <t>RT @LauraLoomer: " Investigative reporter Laura Loomer released information on Saturday revealing that @lvmpd had linked three women to Ste…</t>
  </si>
  <si>
    <t>RT @LauraLoomer: Early voting in #LasVegas began today. Keep your eyes open for fraud, because we all know everything is bought &amp;amp; paid for…</t>
  </si>
  <si>
    <t>RT @LoriinUtah: Breaking: USC allowed Gynecologist to resign after sexual misconduct with pay! What is wrong with this University? So many…</t>
  </si>
  <si>
    <t>RT @ChuckRossDC: Quick question to test your familiarity with this topic -- did FBI raise any concerns specifically about Carter Page, Geor…</t>
  </si>
  <si>
    <t>RT @senorrinhatch: Reunited. https://t.co/Lb43PfEVXQ</t>
  </si>
  <si>
    <t>RT @ChuckRossDC: Who tasked Halper? What did Trump aides tell him? What did he tell his FBI handlers? How did FBI use the intelligence?</t>
  </si>
  <si>
    <t>RT @ChuckRossDC: If Halper was tasked to contact Trump advisers in order to help the campaign by rooting out Russian infiltration, why didn…</t>
  </si>
  <si>
    <t>RT @drawandstrike: Yes yes, if Flynn presents exculpatory evidence that Mueller's team hid from him and withdraws his guilty plea, he's gui…</t>
  </si>
  <si>
    <t>RT @drawandstrike: ADDENDUM: You know you are over the target when the gaslighters are out in force already by the time you end the thread.…</t>
  </si>
  <si>
    <t>RT @drawandstrike: Comey, McCabe &amp;amp; Yates aren't NEARLY as smart or clever as they thought they were.  
And the bloodhound is closing in.…</t>
  </si>
  <si>
    <t>RT @drawandstrike: So here's something ELSE you can expect to see come up in the forthcoming testimony from both Strzok &amp;amp; Pientka before Co…</t>
  </si>
  <si>
    <t>RT @drawandstrike: I've been saying for a year: anybody who thought a 33 year intelligence officer who once headed the Defense Intelligence…</t>
  </si>
  <si>
    <t>RT @drawandstrike: 23) And somebody, we still don't know who 😉  makes a very crafty strategic leak to Ignatius of the Washington Post that…</t>
  </si>
  <si>
    <t>RT @drawandstrike: 22) And at that interview, Pientka will be shown the FD-302 form and he's going to be asked if it's still accurate.
Rec…</t>
  </si>
  <si>
    <t>RT @drawandstrike: 21) Now Senator Chuck Grassley is requesting to have FBI agent Joe Pientka made available for an on-the-record, transcri…</t>
  </si>
  <si>
    <t>RT @drawandstrike: 20) But the problem here is that there were TWO agents at the interview, and it's very likely 1 of them, Pientka, didn't…</t>
  </si>
  <si>
    <t>RT @drawandstrike: 19) And one of the first things they'd have to do in order to make a frame of Flynn work is get at least 1 of the agents…</t>
  </si>
  <si>
    <t>RT @drawandstrike: 18) Because here's what I suspect happened: both agents after the interview stated to superiors Flynn was not deceptive,…</t>
  </si>
  <si>
    <t>RT @drawandstrike: 17) You can bet BOTH Pientka &amp;amp; Strzok are eventually going to testify to Congress under oath, just as they have been by…</t>
  </si>
  <si>
    <t>RT @drawandstrike: 16) Here's where it gets interesting: once the 302 forms are looked at, &amp;amp; they say Flynn wasn't deceptive OR the agent w…</t>
  </si>
  <si>
    <t>RT @drawandstrike: 15) There is something that can settle the matter. After ever official interview, FBI agents fill out an interview form,…</t>
  </si>
  <si>
    <t>RT @drawandstrike: 14) After all the evidence starts to come out, suddenly McCabe &amp;amp; Comey REVERSE COURSE &amp;amp; claim Flynn did lie during the i…</t>
  </si>
  <si>
    <t>RT @drawandstrike: Judge Rudolph Contreras was unceremoniously yanked off the case AFTER the plea had been entered. He was replaced by Judg…</t>
  </si>
  <si>
    <t>RT @drawandstrike: 11) What happens immediately AFTER Flynn enters this guilty plea on Dec. 1? 
First, the presiding Judge. Ruldoph Contre…</t>
  </si>
  <si>
    <t>RT @drawandstrike: 10) So try to grasp this: Michael Flynn just pleaded guilty for lying to 2 FBI agents about what he said to Kislyak duri…</t>
  </si>
  <si>
    <t>RT @drawandstrike: Look at the very first line in the news story: 
"The FBI in late December *reviewed intercepts* of communications betwe…</t>
  </si>
  <si>
    <t>RT @drawandstrike: 9) Well that's easy. It was reported at the time and never mentioned by the media again, so people quickly forgot about.…</t>
  </si>
  <si>
    <t>RT @antonzilwicky54: @drawandstrike @kanyewest @KimKardashian How do you get the abused to stop reelecting their abusers?</t>
  </si>
  <si>
    <t>RT @AndrewJKugle: Ben Rhodes had a rough final year in the White House, a new SUPERcut shows  https://t.co/8u0IuZPgqo https://t.co/sad4iaFx…</t>
  </si>
  <si>
    <t>RT @drawandstrike: The politicians who actually have RUN Chicago for decades are the one's who've handcuffed police &amp;amp; courts and thereby ab…</t>
  </si>
  <si>
    <t>RT @TammyRushing4: Thread by @drawandstrike: "More stuff that Sessions/Horowitz/Huber have known for almost a year can now be made public b…</t>
  </si>
  <si>
    <t>RT @TheLastRefuge2: Little Rocketman Kim Jong-un: “I feel closer to Moon again”… https://t.co/2eVQIhxcHL https://t.co/8wQeC9YZMp</t>
  </si>
  <si>
    <t>RT @LeeSmithDC: Yep, former spy chiefs are running an offense to cover their abuses &amp;amp; crimes through US newsrooms. Disaster for the press—a…</t>
  </si>
  <si>
    <t>RT @GeneSilvernail: @eckert_mark @SharylAttkisson Let's Talley the 
Fox =1
CNN, MSNBC, CBS, ABC, PBS=5
Fair and Balanced... Hardly</t>
  </si>
  <si>
    <t>RT @SharylAttkisson: @eckert_mark ?? https://t.co/PKV7eIUCvG</t>
  </si>
  <si>
    <t>RT @SharylAttkisson: "...If former CIA Dir. was in the news room I suspect a coworker or editor would use them as a resource and/or run thi…</t>
  </si>
  <si>
    <t>RT @SharylAttkisson: A fmr. top intel official I asked about this said, "It also gives them an opportunity to correct the record and possib…</t>
  </si>
  <si>
    <t>RT @SharylAttkisson: There was a time when this placement wd have been considered an ethics problem. 2/? (cont.)</t>
  </si>
  <si>
    <t>RT @SharylAttkisson: It's convenient (for them) that Clapper, Brennan, Morell are hired at national news organizatns where they can give th…</t>
  </si>
  <si>
    <t>RT @jfk1967NRO: "Americans didn't invent in-flight refueling to extend range, Romanians did."
Great thread on the the joys of Socialism tha…</t>
  </si>
  <si>
    <t>RT @RexValachorum: a little, those who remained in the villages were usually paid 1/6 of what an average paid worker was making in a factor…</t>
  </si>
  <si>
    <t>RT @RexValachorum: moved into cities and became industrial workers. It was preferable to work in a factory for a meager salary and get a pe…</t>
  </si>
  <si>
    <t>RT @RexValachorum: are starting boot camp training, while in Socialist Romania we became forced agricultural laborers on the collectivized…</t>
  </si>
  <si>
    <t>RT @RexValachorum: at a certain date. Once arrived there, (it was a high school gym) you were asked to fill up a form and get naked and in…</t>
  </si>
  <si>
    <t>RT @RexValachorum: always the case.
During the decades of socialism the service in the Romanian military was compulsory. One could not pick…</t>
  </si>
  <si>
    <t>RT @RexValachorum: The movie is called "The Death Of Mr. Lazarescu". 
Close captioned in English. Watch the full movie right here:
https://…</t>
  </si>
  <si>
    <t>RT @RexValachorum: I am ending this chapter today (more to come tomorrow) by proposing you to watch a Romanian feature drama about the wond…</t>
  </si>
  <si>
    <t>RT @RexValachorum: That's my cousin Alexandru on the left, the one who we saved from being killed by socialized medicine - on the left. Beh…</t>
  </si>
  <si>
    <t>RT @RexValachorum: I have no drugs to try to stop her brain from bleeding, no tomography machine to see where the broken blood vessel is"
S…</t>
  </si>
  <si>
    <t>“We know those billionaires who met at Sea Island Georgia in March 2016 were part of the apparatus to eliminate the threat that is Donald Trump. We know the entire apparatus of the ‘old guard’ republican party system was working toward the same goals.” https://t.co/1vteCJgA9d</t>
  </si>
  <si>
    <t>There was a time...when the white-wine-spritzer triangle cucumber and mayonnaise sandwich crowd were calling us ‘conspiracy nuts‘.  Do the revelations in the past six to eight months now begin to provide, and fill-in, the missing context? https://t.co/1vteCJgA9d</t>
  </si>
  <si>
    <t>RT @ThomasWictor: Yay-yiss! https://t.co/7rEoRiNTHv</t>
  </si>
  <si>
    <t>RT @drawandstrike: More stuff that Sessions/Horowitz/Huber have known for almost a year can now be made public by letting this guy testify…</t>
  </si>
  <si>
    <t>RT @RealJamesWoods: And a grifter afraid of losing a con game. #ClintonFoundation https://t.co/KOC0AVndFB</t>
  </si>
  <si>
    <t>RT @walterkirn: It was just announced on CNN that the Mueller investigation has secretly widened its focus to include the mysterious origin…</t>
  </si>
  <si>
    <t>RT @JohnWHuber: @_VachelLindsay_ https://t.co/CZpimHcDz7</t>
  </si>
  <si>
    <t>RT @JosephJFlynn1: He was not a confidential informant He was a Damned Spy!!!  #SpyGate https://t.co/WWu1vdEduP</t>
  </si>
  <si>
    <t>RT @The____Guardian: @ACLU We have to show the WORLD the ACLU hypocrisy because WITHOUT @POTUS to blame THEY lack relevance!
DISGUSTING pa…</t>
  </si>
  <si>
    <t>@OleanderNectar @Ssimms777 @nytimes @CNN @MSNBC “Chris Matthews ripped into Obama w/the fury of an F-6 tornado asking rhetorically, “What part of the presidency does Obama like? He doesn’t like dealing with other politicians that means his own cabinet, that means members of the Congress, either party.” https://t.co/Qa8BN969wC</t>
  </si>
  <si>
    <t>RT @PGOperations: Seriously, do you think all the experts on TV talking about Trump/NOKO/SOKO, really know whats going on? I don't but they…</t>
  </si>
  <si>
    <t>RT @PGOperations: Prisoner release: "I" believe People have found a new strength under Pres. Trumps leadership and can see a light at the e…</t>
  </si>
  <si>
    <t>RT @dbongino: He was a SPY. 
#Spygate  https://t.co/rnb3MCz6Ey</t>
  </si>
  <si>
    <t>@BestRDSP My favorite JFK quote! He loved Liberty &amp;amp; was also aware of the powers of the Deep State.</t>
  </si>
  <si>
    <t>@Ssimms777 @nytimes @CNN @MSNBC Pres Trump negotiates, a skill Pres Obama did not possess nor care to learn, even within his own party. He preferred the role of dictator, supported by a complicit media.</t>
  </si>
  <si>
    <t>RT @RealSaavedra: While leftists are busy murdering their own children, conservatives should take full advantage of this period in time and…</t>
  </si>
  <si>
    <t>RT @RexValachorum: Automobiles: the technological marvels of socialism. Ours were so fast, hardly anyone could see one on the road.
USSR ha…</t>
  </si>
  <si>
    <t>RT @RexValachorum: sub-zero temperatures or when it was raining. No sacrifice too great in order to prevent global warming, comrades! https…</t>
  </si>
  <si>
    <t>RT @RexValachorum: so enthusiastic about reducing their carbon footprint they traveled to and from work, both inside and outside the buses,…</t>
  </si>
  <si>
    <t>RT @RexValachorum: black market. 
Transportation: socialists were ahead of their time. They promoted a green Earth and fought against globa…</t>
  </si>
  <si>
    <t>RT @RexValachorum: An this madness is only for how you obtain food stuff in socialism. There are also lines for soap, detergent, propane, s…</t>
  </si>
  <si>
    <t>RT @RexValachorum: "Tomorrow I don't know, maybe onions or some eggs, but only enough for the first 50 people in line or so". "Great" says…</t>
  </si>
  <si>
    <t>RT @RexValachorum: line 5 hours for chicken feet. Tomorrow you go back and stay in line for another 6 hours. The truck comes, people in lin…</t>
  </si>
  <si>
    <t>RT @RexValachorum: sugar, cooking oil, milk, butter, eggs, flour, rice...you name it. And don't imagine people were staying in line for hou…</t>
  </si>
  <si>
    <t>RT @RexValachorum: What were people waiting in line for? Practically anything. Bread; chicken feet (AKA Adidas); pig heads (AKA computers);…</t>
  </si>
  <si>
    <t>RT @RexValachorum: Usually working age people who couldn't skip work sent their elderly retired parents to stay in line. If parents were in…</t>
  </si>
  <si>
    <t>RT @RexValachorum: The Queue - trademark of socialism. One had to wait in line hours, sometime even days, and quite often without even know…</t>
  </si>
  <si>
    <t>RT @RexValachorum: In conclusion: socialist-democrats are just ordinary socialists who didn't confiscated all guns (so they are still afrai…</t>
  </si>
  <si>
    <t>RT @RexValachorum: liberals like Sean Penn, Danny Glover as well as other imbeciles enrolled in public colleges across the US. 
Maduro, the…</t>
  </si>
  <si>
    <t>RT @RexValachorum: rigged elections, used military and police force against the opposition, declared himself President for life and general…</t>
  </si>
  <si>
    <t>RT @RexValachorum: press and protect private property, just like our friend Bernie promises. Everything was tolerable for a couple of years…</t>
  </si>
  <si>
    <t>RT @RexValachorum: When Democratic-Socialists achieve enough political and military power they invariably become full blown socialists. Las…</t>
  </si>
  <si>
    <t>RT @RexValachorum: About the other claim, that socialism isn't the same with democratic socialism, the kind of kinder, gentler strain of Be…</t>
  </si>
  <si>
    <t>RT @RexValachorum: IN CONCLUSION: there were never real communist countries anywhere in the world. They were all socialist. They all had so…</t>
  </si>
  <si>
    <t>RT @RexValachorum: property still exists to an extent or another (for example in Socialist Romania you could buy your own home or a small p…</t>
  </si>
  <si>
    <t>RT @RexValachorum: No socialist country in the world has ever achieved the predicted final stage, that of communism. Not USSR, not Cuba, no…</t>
  </si>
  <si>
    <t>RT @RexValachorum: In communism all people are equal, one works to the best of his ability and it is provided with subsistence goods in acc…</t>
  </si>
  <si>
    <t>RT @RexValachorum: First, let's make something clear, since I can already hear you whining "But...but...you are talking about life in a com…</t>
  </si>
  <si>
    <t>RT @Schmeltz79: https://t.co/fwSdOPRm3U</t>
  </si>
  <si>
    <t>RT @Pink_About_it: Trump In the span of 2 weeks, has gotten hostages from North Korea released, along with an American hostage, Josh Holt,…</t>
  </si>
  <si>
    <t>RT @TracyLeeJones10: So Tommy got Arrested for being outside a court, reporting on grooming gangs, yet the @BBC live streamed a raid on Sir…</t>
  </si>
  <si>
    <t>RT @BabyDoll_95: The left acts like they care so much about black lives, when it’s very obvious they don’t. Abortion rates are highest in t…</t>
  </si>
  <si>
    <t>RT @_Sm1ttyjr: @jobeeswing @NRA Hillary's loss was a God send for the 2A. They were surely coming for the guns. 
https://t.co/6iM0zCvZr6 ht…</t>
  </si>
  <si>
    <t>RT @AnthemRespect: Nurse “Knowingly” infected patients with Hepatitis C.
Glad this wasn’t in California where Gov. Moonbeam @JerryBrownGov…</t>
  </si>
  <si>
    <t>Rachel Dolezal Probe Began After Allegedly Not Reporting Book Deal as Income https://t.co/R44e1x3FmW</t>
  </si>
  <si>
    <t>Exclusive -- Barr: There’s No Reason Not to Harden Security at Schools https://t.co/23LMMOMlP5</t>
  </si>
  <si>
    <t>Should be thrown-out of court! Two Florida Customers Suing McDonald's for Putting Cheese on Their Burgers | Breitbart https://t.co/yW0rrdn8Fk via @BreitbartNews</t>
  </si>
  <si>
    <t>Good job, Parents! Snapchat Removes Cosmo Porn Site After Parent Firestorm | Breitbart https://t.co/8lyrbIVUNw via @BreitbartNews</t>
  </si>
  <si>
    <t>Trump Signs EO to Speed Up Firing of 'Poor Performing' Federal Workers https://t.co/UPbpbelwAM via @BreitbartNews</t>
  </si>
  <si>
    <t>Senator John Cornyn on James Comey-J Edgar Hoover Comparisons: Comey Aided in Creation of a Culture the FBI Was Accountable to No One | Breitbart https://t.co/FSYkTKySfQ via @BreitbartNews #DrainTheDeepState</t>
  </si>
  <si>
    <t>Louisiana Becomes 25th State to Bar Business Ties with Companies Boycotting Israel | Breitbart https://t.co/KTY8NzKGtg via @BreitbartNews</t>
  </si>
  <si>
    <t>https://t.co/vCNDN2EgpV</t>
  </si>
  <si>
    <t>RT @ArizonaPaul: Maybe he's just "self-identifying" as honest?  I thought that only worked with gender and race? https://t.co/DhFCKo51YM</t>
  </si>
  <si>
    <t>RT @realTylerZed: “I didn’t have scandals.” 
-@BarackObama 
Looks like he got sucked into the trans movement. He’s pretending to be a genu…</t>
  </si>
  <si>
    <t>RT @ArizonaPaul: What else would you call a cladestine observer? https://t.co/oJ9NvGf8Xc</t>
  </si>
  <si>
    <t>RT @Protectcare: Adorable — this hospital is recording moms' voices to play to kids in the NICU:
https://t.co/m1yLv44tsP</t>
  </si>
  <si>
    <t>@MZHemingway @MediaBuzzFNC Thanks for the heads up, setting up my DVR now to record Media Buzz at 10am CT on Sunday! Dont want to miss it! @FoxNews @HowardKurtz 👍🏼</t>
  </si>
  <si>
    <t>RT @MZHemingway: I will be on @MediaBuzzFNC tomorrow. I may have a few things to say about journalists’ performance this week.</t>
  </si>
  <si>
    <t>RT @JohnLAllenJr: By @cwwhite212, US pro-lifers voice heartbreak, despair over Irish abortion vote. https://t.co/vwWl4eEaJE</t>
  </si>
  <si>
    <t>RT @MZHemingway: “And then we say, ‘you should kill your baby.’” https://t.co/RpsAGZMUiy</t>
  </si>
  <si>
    <t>RT @MattRiversCNN: CNN has learned that South Korean President Moon Jae-In has met for a second time with Kim Jong Un. This happened from 3…</t>
  </si>
  <si>
    <t>This made me cry in the realization of what so many have sacrificed and for the loss to their loved ones! #MemorialDay2018 #Veterans #GodBlessOurMilitary 🇺🇸😢❤️ https://t.co/sgIspMYEs1</t>
  </si>
  <si>
    <t>RT @JohnCornyn: In other words no Repulican has leaked classified information https://t.co/0mKOmysvQn</t>
  </si>
  <si>
    <t>RT @MZHemingway: Media should cover hard, not cover up. https://t.co/BhB3ykMRCB</t>
  </si>
  <si>
    <t>RT @Doranimated: Clapper's claim that he was ignorant of FBI's counterintelligence activities might be true. But coordinating all USG CI ac…</t>
  </si>
  <si>
    <t>RT @AndrewCMcCarthy: .@LeeSmithDC continues to crush it. https://t.co/b1L1MVx8Ba</t>
  </si>
  <si>
    <t>RT @MZHemingway: Apparently an exuberant chap has deleted some of his worst tweets spreading falsehoods about me. A good start. He continue…</t>
  </si>
  <si>
    <t>@BlessedTex @MZHemingway @Heminator Ah... yes, good job Tex! Mollie had me curious enough to google the hymn too! 🙏🏻✝️🇺🇸 Very nice hymn. #GodBlessAmerica #MemorialDay2018</t>
  </si>
  <si>
    <t>😢😡 https://t.co/QnLS4JGsfU</t>
  </si>
  <si>
    <t>RT @MZHemingway: Their highly partisan and extremely emotional comments, in fact, make their Obama-era behavior seem even worse. https://t.…</t>
  </si>
  <si>
    <t>RT @jordanbpeterson: Do you really want to hear only what you want to hear? The definition of an ideologue... https://t.co/YVgdLkTbAT</t>
  </si>
  <si>
    <t>RT @KimStrassel: This Clapper et al line that purpose of spy was to monitor Russians, not campaign, is a joke. Did FBi task a spy to the Cl…</t>
  </si>
  <si>
    <t>RT @MZHemingway: So so good https://t.co/t92x7KE0ev</t>
  </si>
  <si>
    <t>RT @brazas32: @CarrieKHutchens @nytimes @washingtonpost He is considered a criminal because his leaks damage the deep state. Remember the “…</t>
  </si>
  <si>
    <t>RT @conderljr: @Belle4DJT @DrSchmalz @realDonaldTrump I know that’s true I would never use Netflix ever because of this</t>
  </si>
  <si>
    <t>RT @Belle4DJT: I truly don’t think this man will be happy until he’s exhausted all efforts to completely destroy America...These People Are…</t>
  </si>
  <si>
    <t>RT @MutzLaw: @sweetatertot2 @DonCheadle You are right.  The Dem Party doesn't want solutions, they want votes.  They don't want to solve pr…</t>
  </si>
  <si>
    <t>RT @sweetatertot2: @susan_urbatsch @brejackal76 @DonCheadle Says the girl with 5 followers https://t.co/4Sx4Hdr4Fn</t>
  </si>
  <si>
    <t>RT @sweetatertot2: @brejackal76 @DonCheadle No actually think if Hillary had not called black People super predators &amp;amp; Bill Clinton had not…</t>
  </si>
  <si>
    <t>RT @sweetatertot2: @Black_Ted_Mosby @DonCheadle President Trump is not even a republican.  He is just a common sense guy who is doing a lot…</t>
  </si>
  <si>
    <t>RT @sweetatertot2: @DonCheadle ... rather than  work with the current president to come up with solutions that will help black People, like…</t>
  </si>
  <si>
    <t>RT @sweetatertot2: @DonCheadle So I have come to the conclusion that black elites don't want solutions. They are part of the Democratic Par…</t>
  </si>
  <si>
    <t>RT @sweetatertot2: @DonCheadle But black elites like you support the Democratic Party. For 8 yrs Obama did zero for Chicago &amp;amp; blacks instea…</t>
  </si>
  <si>
    <t>RT @sweetatertot2: @DonCheadle 1. President Trump invited black elites for help on prison reform which helps black people and people like J…</t>
  </si>
  <si>
    <t>RT @LarryGuyHammond: Controlling health care costs is the first step in bringing in affordable heath care for all. Lobbyist are running the…</t>
  </si>
  <si>
    <t>Life Comes At You Fast! This went downhill much quicker than expected. #RealityCheck https://t.co/lwrOFHlcd9</t>
  </si>
  <si>
    <t>RT @jabeale: The irony of all this is that Clapper is, notionally, the most qualified expert in the country on the subject - 50 years in th…</t>
  </si>
  <si>
    <t>RT @jabeale: That single quote would've been ridiculous had it been uttered by a high school sophomore - the only difference between the HS…</t>
  </si>
  <si>
    <t>RT @jabeale: and that was only in retrospect, a year or so later. By "open", does he mean that his idea of confidential informants is that…</t>
  </si>
  <si>
    <t>RT @jabeale: And the notion that he was similarly "open" about "the questions he was asking" means what, exactly? Does he mean that it shou…</t>
  </si>
  <si>
    <t>RT @jabeale: Again, a bit embarrassed to have to say this in reaction to a former DNI, but it was Halper's true name and public bio that bo…</t>
  </si>
  <si>
    <t>RT @jabeale: I'm actually a little embarrassed for him, at this point. To paraphrase the former Director: "Real spies go out in alias and u…</t>
  </si>
  <si>
    <t>RT @jabeale: "There's a big gulf between a spy in the traditional sense employing spy-craft or tradecraft, and an informant, who was open a…</t>
  </si>
  <si>
    <t>RT @jabeale: Just watched James Clapper interview with @JudyWoodruff on @NewsHour, in which the former Director of National Intelligence -…</t>
  </si>
  <si>
    <t>RT @notjessewalker: I DO NOT UNDERSTAND YOU PEOPLE WHO HAVE PUT THESE THINGS IN YOUR HOMES. https://t.co/NoLClNUdxn</t>
  </si>
  <si>
    <t>RT @MZHemingway: This piece about Bill Kristol’s anti-Trump 2020 effort floats Mitt Romney, Ben Sasse, James Mattis, Nikki Haley, John Kasi…</t>
  </si>
  <si>
    <t>RT @SenJohnMcCain: I applaud @POTUS for issuing a posthumous pardon of boxing legend Jack Johnson for his racially charged conviction a cen…</t>
  </si>
  <si>
    <t>RT @AMDG: Please share.  My first national article in foster care advocacy the pro-life movement. Thanks to Kathryn Lopez for the opportuni…</t>
  </si>
  <si>
    <t>RT @JJCarafano: suggestion US is isolated is silly Michael 1) Quad-US-India-AU-Japan 2) NATO burden-sharing is up 3) US-Israel stronger tha…</t>
  </si>
  <si>
    <t>RT @JJCarafano: Have actually seen zero decline in practical cooperation. In reality cooperation is in upswing certainly in Middle East &amp;amp; A…</t>
  </si>
  <si>
    <t>RT @JJCarafano: 1) good domestic politics, Europeans echo Trump hate chamber in US 2) mostly they consume US media overwhelmingly anti-Trum…</t>
  </si>
  <si>
    <t>RT @TAPSorg: TAPS is out and about today exploring Washington, D.C. as part of our Good Grief Camp. 
#TAPSfam #GratefulNation https://t.co…</t>
  </si>
  <si>
    <t>RT @JJCarafano: This view so discredited yesterday https://t.co/xzTE2r6Qn0</t>
  </si>
  <si>
    <t>RT @starsandstripes: “Each tombstone that I place a flag on, I tell myself to repeat the name,” Spc. Oneish Simpson said. “They say that yo…</t>
  </si>
  <si>
    <t>RT @Heritage: One of the main costs of corruption is the loss of economic freedom—that is, the loss of the ability of individuals to decide…</t>
  </si>
  <si>
    <t>RT @JJCarafano: 48 hours ago critics said 1) Pompeo humiliated 2) Bolton planning war 3) ROK in panic 4) Trump blinked 5) China undercut US…</t>
  </si>
  <si>
    <t>RT @JJCarafano: Prayers and thank for a heroic American life https://t.co/rvNpt7CUOH</t>
  </si>
  <si>
    <t>RT @JJCarafano: Great man great life https://t.co/iNph3r5fOM</t>
  </si>
  <si>
    <t>RT @LadyRedWave: OH AWESOME! Proud of THEM! They must take THEIR country back!UK Protesters Flood the Streets to Demand the Release of Impr…</t>
  </si>
  <si>
    <t>RT @GOPPollAnalyst: California man receives 90 days of house arrest and five years of informal probation after pleading no contest to statu…</t>
  </si>
  <si>
    <t>RT @ElderLansing: If you feel the barbaric savage murderous MS-13 gang members are humans worthy of our respect but fetuses aren’t humans a…</t>
  </si>
  <si>
    <t>“It’s nice to have a safety net," she added, "But if you don’t have your own self-worth, and forge for yourself, that safety net, all it can do is give you the bottom. That’s what makes me say I’m really not a feminist." Instead, she’s an Individualist. https://t.co/zX28Dmlfuz</t>
  </si>
  <si>
    <t>🙄 #HardEyeRoll https://t.co/CLUAP9hdxF</t>
  </si>
  <si>
    <t>@Hartlaci America was a gift from God to a Faithful ppl as an example to the world of how man can rule himself AND live in freedom &amp;amp; prosperity. We lost that focus for awhile but #TheSpiritualAwakening is now in bloom. Globalists underestimate us at their peril. 🇺🇸🙏🏻❤️ #MAGA https://t.co/ewU5zBsI7w</t>
  </si>
  <si>
    <t>RT @Hartlaci: They picked the wrong Country, we are Americans, we will stay Americans, land of the free. who would want to be Globalist rul…</t>
  </si>
  <si>
    <t>@KurtSchlichter They only care abt building voting blocks to shore up their power to advance globalist agenda. They use hate &amp;amp; identity politics against Conservatives to influence them. https://t.co/F0U6dkjeVX</t>
  </si>
  <si>
    <t>RT @KurtSchlichter: I don't see why liberals think that I must care about  illegall alien children more than their parents.</t>
  </si>
  <si>
    <t>RT @July041776: #WhereAreTheChildren #SaturdayMorning 
Live look at the democrat party👇 https://t.co/QqQxUMHVhZ</t>
  </si>
  <si>
    <t>RT @johnfhuizing: #qanon Whether Q is fake or true, the fact is that more people are researching for truth and are coming up with more inte…</t>
  </si>
  <si>
    <t>Arent these children interfering with other’s rights? Shame on them. Also, do they know how filthy those floors are? Ugh! 😝 https://t.co/zZ8C0dAKcc</t>
  </si>
  <si>
    <t>RT @MrsT106: This morning our family joined the many volunteers to help place flags and pay respect at the Southern #Nevada #Veterans Cemet…</t>
  </si>
  <si>
    <t>RT @jobeeswing: #2A  #2AShallNotBeInfringed #2Amendment 
Don't mess with our #Constitution !!
That is what made America great!
#WeThePeople…</t>
  </si>
  <si>
    <t>RT @LATiffani1: Honorable. Brave. 
Remembering their strength and courage. 
#MemorialDay https://t.co/etMX27HxhE</t>
  </si>
  <si>
    <t>RT @RightWingAngel: Dress rehearsal for the Memorial Day concert open to the public at the  Capitol tonight. Actual concert tomorrow. Perfo…</t>
  </si>
  <si>
    <t>RT @PaulineHansonOz: #TommyRobinson has been arrested in the UK for “breaching the peace” while reporting on Islamic grooming gangs.
This…</t>
  </si>
  <si>
    <t>RT @johncardillo: .@Comey, did you approve #McCabe spending $70,000 of taxpayer money on a conference table, then hide that from Congressio…</t>
  </si>
  <si>
    <t>RT @synthotope: FIND A GOOD HOUR THIS WEEKEND, AND READ THIS. https://t.co/4Aj5e9Elu2</t>
  </si>
  <si>
    <t>RT @alimhaider: ❤️❤️❤️ https://t.co/yFCkRXHHYo</t>
  </si>
  <si>
    <t>RT @LifeNewsToo: Today in 2017: Judge Censors Video Exposing Planned Parenthood Doc Laughing About Aborted Baby’s Eyes Popping Out https://…</t>
  </si>
  <si>
    <t>RT @WoolyBuggins: @geraldpayne25 @TertiusIII @zythophiliac @bubbacav85 @TakeThatEpi @tattoosandbones @umfpt @LeannEAF @KitemanArgues @Koper…</t>
  </si>
  <si>
    <t>RT @OliverMcGee: I’m NOT pleased at Who’s Speaking at 2018 College Graduations. They’re liberals &amp;amp; few conservatives!
I’m an Aerospace, Me…</t>
  </si>
  <si>
    <t>RT @1Romans58: This Police chief picked the wrong women to try and intimidate. .@DLoesch doesn't back down, epically to un-American keyboar…</t>
  </si>
  <si>
    <t>RT @RealKyleMorris: In the final year of the Obama Administration, HHS awarded more than $5.8 million in grants to foolish projects. Certai…</t>
  </si>
  <si>
    <t>RT @LVNancy: "Hope &amp;amp; change"
Innocent Americans left to rot in jails of foreign dictators
We Paid for Hostages
Gave away our #UraniumOne
Am…</t>
  </si>
  <si>
    <t>RT @Ruthie19: @SaRaAshcraft @MariEastman @Joan1Barb today’s students are taught more important lessons about Civics and love of America and…</t>
  </si>
  <si>
    <t>@SaRaAshcraft @Ruthie19 @Joan1Barb In an effort to mainstream challenged children, the rest of the students were left behind because not all teachers are trained in special education &amp;amp; their time was misdirected. Add Common Core &amp;amp; frustrate the kids &amp;amp; teachers! Big Govt Sucks! #SchoolChoice</t>
  </si>
  <si>
    <t>RT @SaRaAshcraft: @Joan1Barb Many don't study anything, and that's the heart of the problem. No child left behind became no child brought a…</t>
  </si>
  <si>
    <t>RT @redsteeze: Those donations include gun control groups, same sex marriage support groups and Planned Parenthood. Awesome work Team Hogg!…</t>
  </si>
  <si>
    <t>RT @SummonableTrap: @prayingmedic I'm not against such a rule but I'd  much rather prefer the players recognize how good they have it and s…</t>
  </si>
  <si>
    <t>RT @TrumpRevoluti0n: @prayingmedic The damage is already done. We already know the NFL players hate America, our flag, and our national ant…</t>
  </si>
  <si>
    <t>RT @Picard888: @prayingmedic @NFL is starting to understand the consequences... too late now. People watch sports to escape this kind of st…</t>
  </si>
  <si>
    <t>RT @cocobutt07: @prayingmedic Too late!</t>
  </si>
  <si>
    <t>RT @CrazyGrandma00: @tracy_mzz @prayingmedic @MsContrarianSci They lost their base and advertising.  NFL is toast.</t>
  </si>
  <si>
    <t>RT @tracy_mzz: @prayingmedic @MsContrarianSci I didn't watch one game last. Year..I knew from the start the kneeling was meant to desensiti…</t>
  </si>
  <si>
    <t>RT @Education4Libs: A couple from Portland, who owned an Amazon Alexa, discovered their private conversations were sent to a random person…</t>
  </si>
  <si>
    <t>RT @DanielHarrelsoo: @prayingmedic When my friend son played football he would take a knee in respect for the opposing team's player with a…</t>
  </si>
  <si>
    <t>RT @prayingmedic: https://t.co/M9AfggDqvs</t>
  </si>
  <si>
    <t>RT @theantiantifa: ShareBlue is injecting tons of fake troll accounts into Twitter today for one last gasp at narrative control over social…</t>
  </si>
  <si>
    <t>RT @prayingmedic: #Qanon https://t.co/39Y6WPY7PZ</t>
  </si>
  <si>
    <t>RT @prayingmedic: 28) Since the takedown of global corruption is the goal for many who do not follow #Qanon why not embrace all who are wor…</t>
  </si>
  <si>
    <t>RT @prayingmedic: 27) If Q and his team are who we believe them to be, we'll be standing at the end of this journey alongside many who did…</t>
  </si>
  <si>
    <t>RT @prayingmedic: 26) It's easy to overlook people who don't post about #Qanon but we ought to include them in our prayers and we should su…</t>
  </si>
  <si>
    <t>RT @prayingmedic: 24) I had 3 dreams last night about the mission we're on with #Qanon. I'd like to share one dream with you now. 
In the d…</t>
  </si>
  <si>
    <t>RT @prayingmedic: 25) I saw not just people like @LisaMei62, @paul_serran &amp;amp; @tracybeanz but also people like Sundance (@TheLastRefuge2).
Wh…</t>
  </si>
  <si>
    <t>RT @prayingmedic: 23) Enjoy the show.
#Qanon https://t.co/cKbzMxnChX</t>
  </si>
  <si>
    <t>RT @prayingmedic: 20) Info on Ed O'Callaghan
[TRUST O'Callaghan]
#Qanon 
https://t.co/5HSeq5gWNz https://t.co/J5YpL6tev5</t>
  </si>
  <si>
    <t>RT @prayingmedic: 18) An anon apologized for those who are still causing division.
#Qanon https://t.co/h7ObFNEl11</t>
  </si>
  <si>
    <t>RT @prayingmedic: 17) #Qanon remined the anons, we're seeking unity, not division. 
He posted a link to a news article about Thursday's mee…</t>
  </si>
  <si>
    <t>RT @prayingmedic: 15) #Qanon said the second photo was provided as proof if identity because he and the team know attacks are coming and th…</t>
  </si>
  <si>
    <t>RT @prayingmedic: 11) On November 9th, while POTUS was visiting Asia, #Qanon posted this image on 4chan. 
Note the filename and metadata:…</t>
  </si>
  <si>
    <t>RT @prayingmedic: 8) #Qanon said Ohr's use of the HAM radio was an attempt to evade the NSA. https://t.co/xrDFuhImqO</t>
  </si>
  <si>
    <t>RT @prayingmedic: 7) Background info on Bruce and Nellie Orh and their HAM radio license.
#Qanon 
https://t.co/plNfPWQgZk</t>
  </si>
  <si>
    <t>RT @prayingmedic: 6) An anon posted a screenshot from @TheLastRefuge2 about Nellie Ohr's HAM radio license. Nellie is Bruce Orh's wife. Bot…</t>
  </si>
  <si>
    <t>RT @prayingmedic: 5) #Qanon asked if we've seen the interview with Paul Ryan. 
I assume he speaking of this one, where he admits that Presi…</t>
  </si>
  <si>
    <t>RT @prayingmedic: 3) Once again, #Qanon posted a link to the Breitbart article explaining why allowing John Huber to conduct his investigat…</t>
  </si>
  <si>
    <t>RT @paul_serran: #QAnon #TheStorm #GreatAwakening #WWG1WGA #IBOR #OIGReport #PatriotsFight 
(2) Instead of slow-building it, I will start…</t>
  </si>
  <si>
    <t>RT @prayingmedic: 21) An anon put together this graphic of the "Pain in -23" post.
#Qanon https://t.co/xHrLVnRg1k</t>
  </si>
  <si>
    <t>RT @prayingmedic: 22) To my fellow healthcare providers: 
Remember, pain is an important vital sign that should always be documented.
#Qano…</t>
  </si>
  <si>
    <t>RT @prayingmedic: FBI Agents Want Congress To Issue Them Subpoenas https://t.co/NndCfQeqXA</t>
  </si>
  <si>
    <t>RT @realDonaldTrump: Look how things have turned around on the Criminal Deep State. They go after Phony Collusion with Russia, a made up Sc…</t>
  </si>
  <si>
    <t>RT @LisaMei62: Seriously folks...please STOP DM'ing me asking if Q is a psyop or fraud or ponzi scheme. I would NOT be sharing Q info if I…</t>
  </si>
  <si>
    <t>RT @C_3C_3: FBI knew the Dossier was FAKE
CIA knew the Dossier was FAKE
DOJ knew the Dossier was FAKE
FISC knew the Dossier was FAKE
MEDIA…</t>
  </si>
  <si>
    <t>https://t.co/9nHu6WQf26</t>
  </si>
  <si>
    <t>RT @TIMENOUT: @SaraCarterDC Maybe America hasn’t said but I will say it Thank You for everything you do every single day. If it was up to m…</t>
  </si>
  <si>
    <t>RT @NameRedacted7: This thread is pretty great. You should read it. https://t.co/k4JwCBa4Aj</t>
  </si>
  <si>
    <t>RT @davereaboi: Hi @netflix. I just cancelled my subscription, and so did my parents. We’re sick of Obama. Thanks.</t>
  </si>
  <si>
    <t>RT @TheAnaBraga: @realDonaldTrump Ur doing amazing things! May God keep u safe 🙏🏼❤️🇺🇸</t>
  </si>
  <si>
    <t>@FirstDudeUS @realDonaldTrump Obama did worse than that to America’s Liberties by weaponizing FBI, CIA, IRS etc to go AFTER law-abiding citizens. Democrats work to destroy our Republic to advance their globalist agenda. #DrainTheDeepState https://t.co/sLPOU1FcNi</t>
  </si>
  <si>
    <t>RT @AppSame: @realDonaldTrump Another @BarackObama Mess you had to clean up thank you</t>
  </si>
  <si>
    <t>RT @PinholeBurn: @The_UnSilent_ @realDonaldTrump What the hell has happened to the Left?
What a disaster fot them,</t>
  </si>
  <si>
    <t>RT @realDonaldTrump: Good news about the release of the American hostage from Venezuela. Should be landing in D.C. this evening and be in t…</t>
  </si>
  <si>
    <t>RT @realDonaldTrump: Thanks to very brave Teacher &amp;amp; Hero Jason Seaman of Noblesville, Indiana, for his heroic act in saving so many preciou…</t>
  </si>
  <si>
    <t>“On what PLANET is this herp-wart on the butt cheek of humanity a CONSERVATIVE?!?!?” #GTFO  https://t.co/Q0sh9Knlh6</t>
  </si>
  <si>
    <t>Pres Trump teaching spoiled bureaucrats the old lesson of an ‘Honest Day’s Work for an Honest Day’s Pay’. #MAGA #Winning  https://t.co/s6iW4FzaOZ</t>
  </si>
  <si>
    <t>Kennedy believed...she was bulletproof; that she could be as obnoxious as she pleased &amp;amp; we dumbass Americans would still get in line because spaceships &amp;amp; laser-guns are cool ‘n stuff.
She was wrong, The Last Jedi was the beginning of the end. -John Nolte https://t.co/MEx0C2df6F</t>
  </si>
  <si>
    <t>“Decades of goodwill have been squandered, the golden goose has been made constipated, and all because of the one thing true constant in America, that thing that will never change: liberals eventually ruin everything.” #Truth  https://t.co/MEx0C2df6F</t>
  </si>
  <si>
    <t>https://t.co/wlKZJb3aOv</t>
  </si>
  <si>
    <t>RT @chuckwoolery: "The Constitution shall never be construed... to prevent the people..." https://t.co/CyQTT3GqNk via @BrainyQuote</t>
  </si>
  <si>
    <t>RT @ResignNowKim: @JohnLamping Nothing to see here, PEASANTS. Nothing can interrupt...coup in progress. Shhhhhhhh. #MOLEG #MOSEN #mogov . S…</t>
  </si>
  <si>
    <t>RT @blackwidow07: @JohnLamping So no one asked why he was like a father figure??? OK</t>
  </si>
  <si>
    <t>RT @HotPokerPrinces: @JohnLamping @Sticknstones4 This is just about the luckiest hair dresser ever.  She has affair with Governor,  Stacey…</t>
  </si>
  <si>
    <t>RT @JohnLamping: From page 58 of first testimony.  Committee (paraphrase): "what's your relationship with Koster?"    KS: "He's like a fath…</t>
  </si>
  <si>
    <t>RT @STLCountyGOP: AIRPORT, NORTHWEST AND MIDLAND TOWNSHIP ANNUAL PICNIC https://t.co/cql9W6OxGr</t>
  </si>
  <si>
    <t>RT @DevinNunes: Happy Memorial Weekend from the San Joaquin Valley...where we love The United States of America!!! https://t.co/X1HYlSU2mZ</t>
  </si>
  <si>
    <t>RT @GartrellLinda: Ex Navy SEAL Dan Crenshaw Secures Landslide Victory in Texas GOP Runoff Good news as he will be a strong supporter of ou…</t>
  </si>
  <si>
    <t>RT @willmann12: Vote out the Democrats. Vote out the RINOs. #boycottCNN #boycottMSNBC #boycottkimmel #boycotttheview #boycotttheiradvertise…</t>
  </si>
  <si>
    <t>RT @CoreyLMJones: An armed citizen shot and killed a man who went on a killing spree at a restaurant in Oklahoma!
Countless lives were sav…</t>
  </si>
  <si>
    <t>@JohnTrumpFanKJV @willmann12 We must not forget to continue to do OUR part by praying everyday for God’s protection on Pres Trump &amp;amp; ALL who fight to ‘Save Our Republic’. #MemorialDay2018 🇺🇸 #GodBlessOurMilitary https://t.co/ngH2pDYGH0</t>
  </si>
  <si>
    <t>RT @JohnTrumpFanKJV: God chose Donald J Trump to be President of the United States of America. 
God knew exactly what he was doing.
I can't…</t>
  </si>
  <si>
    <t>#Winning in America! 🇺🇸 https://t.co/9ck3mKEwkQ</t>
  </si>
  <si>
    <t>RT @BlueSea1964: 🚨 THE LIST: At Least 6 And Potentially 7 Known Suspected Intelligence Informants Accused Of Spying On Trump Campaign!
#Bl…</t>
  </si>
  <si>
    <t>RT @RealJamesWoods: John Brennan “doesn’t do evidence.” So he just yaps basically?  https://t.co/jMxJnvM3WY</t>
  </si>
  <si>
    <t>RT @JacobAWohl: Remember this name: E.W. "Bill" Priestap — He was central to starting up the "collusion" hoax. More about him will come out…</t>
  </si>
  <si>
    <t>What? So Obama &amp;amp; Democrats ignore fighting the real threats to America in lieu of destroying their political opposition? Desperate to hold onto their power that included their plan to destroy our Republic? #DrainTheDeepState https://t.co/j4NbjxkZLh</t>
  </si>
  <si>
    <t>RT @realDonaldTrump: “Everyone knows there was a Spy, and in fact the people who were involved in the Spying are admitting that there was a…</t>
  </si>
  <si>
    <t>RT @qkode: They Said I Was Within a Minute of Death: Shot with a high-powered rifle that was aimed to kill, Steve Scalise is lucky to be al…</t>
  </si>
  <si>
    <t>RT @qkode: Thin-Skinned Bully: Elon Musk Is Owning The Media And CNN Does Not Like It https://t.co/mlsyPjOlea</t>
  </si>
  <si>
    <t>RT @S_Cooper0404: Teacher indoctrinating kids, via song, with the Obama Agenda.... 
Is this an indication of some of the kids programming…</t>
  </si>
  <si>
    <t>RT @S_Cooper0404: MUST WATCH! MUST SHARE! 
Obama has been trying to indoctrinate our kids since 2009. 
https://t.co/MysNrbjdxy</t>
  </si>
  <si>
    <t>RT @jturnershow: As
Blacks Break Away From Democrat Plantation, Los Angeles Rapper OG LA’s Hit Song
“Plantation” Is The New Anthem For Blac…</t>
  </si>
  <si>
    <t>RT @ThomasWictor: Veteran @ronnieraysr speaks.
https://t.co/QcEbTKr8UM</t>
  </si>
  <si>
    <t>RT @ThomasWictor: That is so excellent.
YOU made me vote for you. It was the second GOP debate. I realized that you had used the first deb…</t>
  </si>
  <si>
    <t>RT @PradRachael: Anti-Trump forces threaten GOP lawmakers' lives in name of #Resistance https://t.co/EWZsWoebOA via @washtimes</t>
  </si>
  <si>
    <t>@drpridgen @joshdcaplan It is evident that Pres Trump loves America &amp;amp; the opptys she has to offer. He could no longer sit by &amp;amp; watch the Swamp Rats &amp;amp; Deep State destroy it all with their globalist plans on the backs of the taxpayers. 🇺🇸#MemorialDay2018</t>
  </si>
  <si>
    <t>RT @oldscool18: I just got done watching an old movie called "Confessions of a Nazi Spy". It gave a list of tactics used by Nazis: Indoctri…</t>
  </si>
  <si>
    <t>RT @DIOGEKNEES1: “There are good ways to make room for everyone, without letting a boy into the girls' ... restrooms,” says high schooler A…</t>
  </si>
  <si>
    <t>RT @therealroseanne: follow @ThomasWictor for analysis of Middle East-a changing revolutionary epic!</t>
  </si>
  <si>
    <t>RT @FloydianOne: @ThomasWictor I really hope someday that more people will know and appreciate what true patriots like Flynn and Adm. Roger…</t>
  </si>
  <si>
    <t>RT @Rtep25: Open your mind and read this 👇🏻 https://t.co/9NOFk5fhSM</t>
  </si>
  <si>
    <t>RT @paul_serran: @ThomasWictor Forgive me for an off-topic comment. :) I have a troll impersonating me! he changed the L for a capital I, s…</t>
  </si>
  <si>
    <t>RT @dbongino: Trump has a unique set of political skills. It’s the rare politician that can get the Democrats to expose who they are, and t…</t>
  </si>
  <si>
    <t>RT @seskvocovicqm: Black Pastor Says Trump Is Creating ‘Real Opportunities’ for African Americans unlike Obama https://t.co/RXm3noolaT</t>
  </si>
  <si>
    <t>RT @LVNancy: I have a question for "USC President C.L. Max Nikias" 
You ignored the gynecologist accused of abusing student's for 2 decade…</t>
  </si>
  <si>
    <t>RT @AppSame: @RepAdamSchiff Sharyl Atkisson: Surveillance was conducted on no fewer than 7 Trump associates. Stephen Bannon; Michael Cohen;…</t>
  </si>
  <si>
    <t>RT @larryelder: Hey @NFL players,
Why don't you kneel right now? It's off season. So you have plenty of time to devote to kneeling. And yo…</t>
  </si>
  <si>
    <t>RT @thebradfordfile: Free advice for Democrats:
If you are surprised about President Trump's tweets in the past week, remember this:
He's…</t>
  </si>
  <si>
    <t>RT @willmann12: @Jayne720 @kwilli1046 It’s time for all #MAGA supporters to vote with their wallets as well as in the voting booth. Right n…</t>
  </si>
  <si>
    <t>RT @judywil93035110: @Jayne720 @steffan_nancy MS-44 Democrats....</t>
  </si>
  <si>
    <t>RT @harjo111: @Jayne720 Just another day in the life of being a Trump Supporter or a Republican, or both.</t>
  </si>
  <si>
    <t>RT @JanetPursley: @Jayne720 @FirstFlag1776 Threats are punishable so why are they getting away with it? I'll pay for more jails for all the…</t>
  </si>
  <si>
    <t>RT @DIOGEKNEES1: @Jayne720 @GilbertLane14  https://t.co/augkK2pfwe</t>
  </si>
  <si>
    <t>RT @Jayne720: Anti-Trump forces threaten GOP lawmakers' lives in name of #Resistance #Evil #Dangerous
#FridayFeeling #VoteRed2018 https://t…</t>
  </si>
  <si>
    <t>“A Democratic Watergate is unfolding before our eyes.
John Brennan’s running scared because it’s starting to look like he may have been a co-conspirator in the biggest political scandal since, well, Watergate.” #DrainTheDeepState 
😳 https://t.co/ViUO4r1CTS</t>
  </si>
  <si>
    <t>RT @robjh1: Why didn’t the first black president wh had 2 terms pardon Jack? Obama was too busy creating chaos. https://t.co/u2re0Xpffy</t>
  </si>
  <si>
    <t>RT @WhosGoneGalt2: @KyleKashuv SMDH, bunch of SPOILED, ENTITLED little punks that need their ass kicked.</t>
  </si>
  <si>
    <t>RT @FoxNews: Porn star lawyer Michael Avenatti ‘hot-tempered,’ ‘loud,’ wife says in docs detailing messy divorce https://t.co/zsJJoUWCgs</t>
  </si>
  <si>
    <t>RT @lukerosiak: Dems want to hide hack by Imran Awan &amp;amp; keep him out of jail. (He'd implicate congressmen in a fraud scheme &amp;amp; highlight thei…</t>
  </si>
  <si>
    <t>🙄 https://t.co/e70zlL2iLW</t>
  </si>
  <si>
    <t>RT @SharylAttkisson: Full DOJ/FBI personnel changes CHART UPDATED HERE: See who was in charge of counterintelligence during Trump campaign.…</t>
  </si>
  <si>
    <t>RT @SharylAttkisson: Here's the link to the "Collusion against Trump" timeline. A work in progress. https://t.co/A5S4yDCyW6</t>
  </si>
  <si>
    <t>RT @AriFleischer: Seems to me the headline here should have been the quote cited by Peter Strzok, attributed to a redacted source, saying “…</t>
  </si>
  <si>
    <t>RT @SharylAttkisson: In my case, you might say they placed 3 classified govt documents on my computer as an "insurance policy." To this day…</t>
  </si>
  <si>
    <t>RT @RealKyleMorris: While you may not always agree with @MeghanMcCain, there is no denying the brevity and tenacity she exhibits when cover…</t>
  </si>
  <si>
    <t>RT @jamestaranto: Who exactly is killing children on the border? https://t.co/1rtOmvgNA0</t>
  </si>
  <si>
    <t>RT @DonaldJTrumpJr: Honestly it’s time for me to put this out… https://t.co/RpiwrAftWW</t>
  </si>
  <si>
    <t>RT @IMAO_: “This arrogant, bewildering lecture from a tone deaf left-winger brought to you by Trump 2020.” https://t.co/EmMMUNm5Gh</t>
  </si>
  <si>
    <t>RT @KimStrassel: Dictionary definition of spy: “person who secretly collects and reports information on the activities, movements, and plan…</t>
  </si>
  <si>
    <t>RT @The_War_Economy: Evelyn Farkas founded Farkas Global Strategies LLC on April 23, 2016.
She seemed to do a lot in April.
https://t.co/…</t>
  </si>
  <si>
    <t>RT @T_S_P_O_O_K_Y: No, @brithume - what you know is not complete. The basis authorization and process was illegal based on EO 12333 - and t…</t>
  </si>
  <si>
    <t>RT @brithume: “Spygate,”with its echoes of Watergate, is too strong a term based on what we know now. But that informant was spying. Why el…</t>
  </si>
  <si>
    <t>RT @therealroseanne: FOLLOW @_VachelLindsay_  4 GENIUS ANALYSIS</t>
  </si>
  <si>
    <t>RT @ChuckRossDC: It's quite blatant how IC people and Democrats are solely focused on the "spy" semantics while ignoring real issue. I reme…</t>
  </si>
  <si>
    <t>RT @MarkSox251: @jmclaughlinSAIS @JBWolfsthal Seriously you're going to have to do better than semantics. To cover up the corruption by the…</t>
  </si>
  <si>
    <t>RT @ChuckRossDC: Is this guy saying America doesn't have spies? https://t.co/ohtH3J1hAB</t>
  </si>
  <si>
    <t>RT @ChuckRossDC: I mean, he walked right past a bunch of reporters. https://t.co/bNA42L2XQP https://t.co/oeKDPwd0kN</t>
  </si>
  <si>
    <t>RT @ChuckRossDC: Ol' Boom Boom's just jamming up the federal court system with lawsuits aimed at making his buddy Comey look good. https://…</t>
  </si>
  <si>
    <t>RT @ChuckRossDC: BE SAFE SWAMP PEOPLE! https://t.co/e4bn5OOU4N</t>
  </si>
  <si>
    <t>RT @ChuckRossDC: And so my first tweet isn't misinterpreted -- I got the story on Halper's involvement, but didn't know the part about him…</t>
  </si>
  <si>
    <t>RT @ChuckRossDC: That silence you hear is WaPo and NYT writing CYA pieces on Halper/FBI/CIA</t>
  </si>
  <si>
    <t>RT @The_War_Economy: The relevant @dailycaller article by @ChuckRossDC is here:
https://t.co/R3uYUMRK4T</t>
  </si>
  <si>
    <t>RT @The_War_Economy: That is a picture of Marcia Case, but that's neither here nor there.
In December 2012, Karen Finnegan worked as a rec…</t>
  </si>
  <si>
    <t>RT @Debradelai: The inkshitter deep in the guts of #spygate still at it.
Who gave it to you this time, chump? https://t.co/wFeUvaehVd</t>
  </si>
  <si>
    <t>RT @realDonaldTrump: Chicago Police have every right to legally protest against the mayor and an administration that just won’t let them do…</t>
  </si>
  <si>
    <t>@TimothyKruzic @rzvsrm @Joelsh12 @_VachelLindsay_ Speaking of dog crap, here is just a few of Pres Obama’s scandals &amp;amp; abuse of power, that was ignored by a biased media &amp;amp; the corrupt globalists in the Swamp. This doesnt include the illegal spying on Trump campaign. https://t.co/7Jeo27lOHK</t>
  </si>
  <si>
    <t>@LinRoseResists @dotnetchris @_VachelLindsay_ Pres Obama should be investigated for his agencies abuse of power but the corrupt Swamp plus activists instead of journalists run interference for him. #DrainTheDeepState https://t.co/WQ70ESHHk2</t>
  </si>
  <si>
    <t>RT @BrandonHathaw12: Our corner of Twitter Intelligentsia is starting to creep up in bigger media.  @dbongino Podcast, Rush Limbaugh show,…</t>
  </si>
  <si>
    <t>RT @realDonaldTrump: On behalf of the American People, CONGRATULATIONS! We love you! https://t.co/YRlj0vRXwk</t>
  </si>
  <si>
    <t>RT @TheLastRefuge2: Alexa is only listening to protect you.
Promise.
#SpyGate #JamesClapper</t>
  </si>
  <si>
    <t>RT @TheLastRefuge2: Broward County Sheriff’s Son Was Diversion Program Beneficiary – 3 Day School Suspension For Sexual Battery… https://t.…</t>
  </si>
  <si>
    <t>RT @TheLastRefuge2: People thought I was wrong when I previously outlined the scale/scope of how student criminal behavior was/is hidden by…</t>
  </si>
  <si>
    <t>RT @joshdcaplan: Awesome video of Pres. Trump shaking hands of Naval Academy graduates for 90 minutes. Here’s every single one in under a m…</t>
  </si>
  <si>
    <t>@ltodd14 @Newsweek The list was more to remind the public of how he used govt to hurt the country.</t>
  </si>
  <si>
    <t>RT @DebD51: @realDonaldTrump is a man that loves this country and the people that serve or in this case will serve for it... https://t.co/Y…</t>
  </si>
  <si>
    <t>RT @IWillRedPillU: Fake “Black” Democrat Rachel Dolezal BUSTED for Felony Theft in Food Stamp Fraud
#Karma #Dolezal #VoteDemsOut  #FridayFe…</t>
  </si>
  <si>
    <t>I ❤️ President Trump! 🇺🇸 #MAGA https://t.co/e0vc8QaKb5</t>
  </si>
  <si>
    <t>Trump's Tweet Got Saudi Arabia to Drop the Price of Oil | Breitbart https://t.co/kPq04MMmN6 via @BreitbartNews</t>
  </si>
  <si>
    <t>RT @RyanAFournier: Retweet if you’re sick of all of the gun control talk or if you’re a responsible gun owner.
.@AndrewPollackFL has a rea…</t>
  </si>
  <si>
    <t>RT @relentlessseeds: @cjdtwit @ArnoldZiffle18 @WillOfThePeopl5 @Satchalistic1 @WandaIsBack @Fusion4Trump @RealBiddle @thomaspearc3120 @2Sam…</t>
  </si>
  <si>
    <t>RT @IndeCardio: @Thomas1774Paine Obama's Netflix projects are Trojan Horse propaganda!</t>
  </si>
  <si>
    <t>RT @cvpayne: It's #FleetWeekNYC  and the @USNavy is in the studio.  
God Bless these young men and women.
@FoxBusiness</t>
  </si>
  <si>
    <t>RT @TheGreatFeather: Conservatives are capitalists! We believe in earning and building wealth. Who are the real Nazis? https://t.co/bwTqQbT…</t>
  </si>
  <si>
    <t>@AugustusBeau @StarChamberMaid @NRA Yeah but all the Soros-funded PACs will take care of all that!😡😡😡</t>
  </si>
  <si>
    <t>“Recently, California lawmakers proposed giving health care to illegal immigrants, which would make it the first in the state to do so. The plan would cost state taxpayers billions of dollars.” https://t.co/1dIqwsiDqT</t>
  </si>
  <si>
    <t>“None of these folks at DOJ and FBI were elected officials and yet they are consistently keeping information from the committees and the American people” -Rep. Jim Jordan https://t.co/7QCvvbqLRj</t>
  </si>
  <si>
    <t>@tmspears @Midwesterner196 @JaxAlemany @Bencjacobs @ArdenFarhi Think about it: the man is rolling back policies that the climate change, enviro-whackos think are necessary. I have no doubt the threats are world-wide.</t>
  </si>
  <si>
    <t>RT @Seaflash1956: @JaxAlemany @ArdenFarhi He has to spend on security because violent leftists are threatening his life and the lives of hi…</t>
  </si>
  <si>
    <t>RT @realDonaldTrump: Democrats are so obviously rooting against us in our negotiations with North Korea. Just like they are coming to the d…</t>
  </si>
  <si>
    <t>RT @drawandstrike: As you watch this awesome video, note how a 71 year old man remains easily upright for AN HOUR AND A HALF on his feet sh…</t>
  </si>
  <si>
    <t>RT @NiceDeb: Donald Trump Is The Powerful Man Barack Obama Never Could Be https://t.co/hYt3h63J94</t>
  </si>
  <si>
    <t>RT @flightcrew: Trump: "I Could Make This Commencement Address ... And Immediately Leave and Wave Goodbye ... Or I Could Stay For Hours and…</t>
  </si>
  <si>
    <t>RT @SebGorka: “We will not apologize for who we are. 
We are witnessing the great reawakening of the American Spirit. 
And YES America is…</t>
  </si>
  <si>
    <t>RT @AlexisMcAdamsTV: HERO: This is Jason Seamon  - the Noblesville science teacher who risked his own life to protect his students after po…</t>
  </si>
  <si>
    <t>RT @ElliottRHams: Never made the claim that gun control helped contribute to the Shoah. My point is that the main lesson of the Shoah is th…</t>
  </si>
  <si>
    <t>RT @StarChamberMaid: SHAKE DOWN ARTIST https://t.co/xrp33VQvsG</t>
  </si>
  <si>
    <t>RT @smanning00: @drawandstrike She totally spilled the beans.  Frankly, I'm surprised Bug-Eye Evelyn hasn't been disappeared.</t>
  </si>
  <si>
    <t>RT @Shem_Infinite: @drawandstrike The media cheered this, and repeated it over and over again for months too! "You see, no way Trump's crim…</t>
  </si>
  <si>
    <t>RT @drawandstrike: Pretty sure once that interview aired, a whole lot of people involved in this coup attempt wailed in high holy horror at…</t>
  </si>
  <si>
    <t>RT @drawandstrike: In case you've never seen it, here's Evelyn Farkas appearing on Morning Joe on MSNBC on March 2nd, 2017. 
https://t.co/…</t>
  </si>
  <si>
    <t>Oh We The People havent forgotten the wild-eyed Evelyn Farkas who spilled the beans abt Obama’s Deep State. https://t.co/NC7WivCmd0</t>
  </si>
  <si>
    <t>RT @RepLeeZeldin: Hot off the press! Here's the now filed 12 pg H.Res.907 w 25 original cosponsors, detailing misconduct at highest levels…</t>
  </si>
  <si>
    <t>RT @LarrySchweikart: Told you guys this was coming. Trump always does this: drops a hint or a news release, then says nothing for two month…</t>
  </si>
  <si>
    <t>RT @thechrisbuskirk: The Open Secret of the FBI's Investigation of Trump's Campaign
So if the FBI was spying on Trump the whole time then…</t>
  </si>
  <si>
    <t>RT @LarrySchweikart: Don Jr. makes a very important point: so called "conservative" neverTrumpers, IMHO, were NEVER truly conservative. The…</t>
  </si>
  <si>
    <t>RT @LarrySchweikart: Robert Mueller, You’re Starting to Scare Me https://t.co/NwVKDo7jMf
Remember I said perhaps 6 months ago that when th…</t>
  </si>
  <si>
    <t>RT @LarrySchweikart: If its ratings don’t really matter, why is Netflix suddenly canceling so many shows? https://t.co/0AK9PIahsu
I said t…</t>
  </si>
  <si>
    <t>RT @LarrySchweikart: ‘I think the morale there is probably as bad as I’ve seen it in my 22-year tenure.’ How the sports colossus lost its w…</t>
  </si>
  <si>
    <t>RT @LarrySchweikart: Donald Trump: 'Corrupt' Media Hates 'Spygate' Story https://t.co/ab59rguZlS via @BreitbartNews</t>
  </si>
  <si>
    <t>RT @LarrySchweikart: Iowa Dem State Senator Suspends Run for Governor Following Sexual Misconduct Allegations via @freebeacon https://t.co/…</t>
  </si>
  <si>
    <t>https://t.co/WFFVpE9LZ4</t>
  </si>
  <si>
    <t>Poll: Only 31% of Californians Want to Keep Paying for High-Speed Rail Project | Breitbart https://t.co/cW1ZXlsXXu</t>
  </si>
  <si>
    <t>RT @LisaSmith4680: PLEASE NEVER forget the TRUE, solemn meaning of #MemorialDay as you focus on your barbecues &amp;amp; long #MemorialDayWeekend.…</t>
  </si>
  <si>
    <t>“Six months later, the senior FBI agent in charge of that investigation resigned from the case and retired from the FBI because he felt the case was going ‘sideways’; that’s law enforcement jargon for ‘nowhere by design,'” Napolitano wrote.” https://t.co/vYSs9cLb0g</t>
  </si>
  <si>
    <t>RT @Truthisbackx2: @TomStark913 @PGOperations @Debradelai @MtRushmore2016 Well we know for sure if it were to stand Cryin, Wackadoo, and Sh…</t>
  </si>
  <si>
    <t>Nolte -- Why Hillary Really Lost: Obama Didn't Send Spies to Help Her Campaign https://t.co/9MJQM34qTT</t>
  </si>
  <si>
    <t>RT @charliekirk11: It seems like the media is refusing to put students from the Santa Fe, Texas shooting on TV unlike after the Parkland sh…</t>
  </si>
  <si>
    <t>RT @ChairmanKimNK: Why didn't I finish reading "The Art of The Deal"</t>
  </si>
  <si>
    <t>RT @PressSec: “It ain't how hard you hit; it's about how hard you can get hit, and keep moving forward,” -Rocky Balboa 
Thank you @TheSlySt…</t>
  </si>
  <si>
    <t>RT @Lrihendry: Maxine Waters on Time Magazine’s most influential list. 
That’s accurate...  since she’s able to influence thousands of vot…</t>
  </si>
  <si>
    <t>RT @Jamierodr10: I Bet All The #Fakenewsmedia and Democrats especially Nancy Pelosi and Adam Schiff are eating there words tonight!  ***Nor…</t>
  </si>
  <si>
    <t>RT @qexplained: And then there's Cathy O'Brien's story... Sad if true. Shouldn't #justice apply to all? No one should be above the law, rig…</t>
  </si>
  <si>
    <t>RT @DBloom451: Since #MorningJoe's audience is largely ignorant Democrats, they continually use straw man arguments like, "Trump is attacki…</t>
  </si>
  <si>
    <t>@Marsides @LedgeSomewhere Let’s help remind the former Liar-In-Chief of just a few of his scandals, doesnt include the abuse of power from his FBI &amp;amp; DOJ henchman against Pres Trump! #SmidgenOfCorruption #DrainTheDeepState https://t.co/z3Z93Qoyxd</t>
  </si>
  <si>
    <t>RT @mitchellvii: Look at the amount of ink the corrupt media gave a washed-up hooker where no crime was even involved vs. actual spying on…</t>
  </si>
  <si>
    <t>RT @ARmastrangelo: The mainstream media accuses Trump of lying about #SpyGate despite the fact that James Clapper admitted there were spies…</t>
  </si>
  <si>
    <t>RT @dbongino: Clueless Democrat congressman apparently unaware of the consequences of a government spy attempting to contact an opposition…</t>
  </si>
  <si>
    <t>RT @StephenMilIer: Somebody please explain to the Democrats that the party of abusers and rapists are not supposed to lecture America about…</t>
  </si>
  <si>
    <t>RT @Trey_VonDinkis: #LeftistSedition #LeftistTerrorism #LeftistGunGrab #2Apatriots
.
.
🇺🇸2A WORKS - PATRIOT DROPS MASS SHOOTER at OKLAHOMA…</t>
  </si>
  <si>
    <t>RT @BarbaraRedgate: Dearest Family And Fellow Patriots I Just Wanted You To Know From Your Contributions I Have Made 2 Large Payments (175K…</t>
  </si>
  <si>
    <t>RT @CharlieDaniels: Morning prayer
Lord, in this confusing world, let us see our way clearly
and walk It confidently.</t>
  </si>
  <si>
    <t>RT @realTylerZed: In Oklahoma a man opened fire at a restaraunt injuring three. He would have injured/killed more had it not been for an ar…</t>
  </si>
  <si>
    <t>RT @qexplained: RIGGED: Capitol Police “Accidentally” Gave Key Evidence To Imran Awan’s Defense Attorney Instead of Federal Prosecutors htt…</t>
  </si>
  <si>
    <t>RT @mitchellvii: One think Kim in NK must remember, Trump is more than happy to take a near-term political "hit" for a long-term American g…</t>
  </si>
  <si>
    <t>RT @LoufromCT: Makes for a stronger society. Teaches youth life’s priorities and promotes greater opportunity for success. https://t.co/skx…</t>
  </si>
  <si>
    <t>RT @RNcat50: Our @POTUS Will Continue To Do A Great Job For Our Country!! 
             🙌🏼🇺🇸❤️🇺🇸🙌🏼
To @Comey How Will You Explain to your G…</t>
  </si>
  <si>
    <t>RT @1776Stonewall: Pollster Frank Luntz says that women are leaving the Democrat party in droves - mostly working women and women with chil…</t>
  </si>
  <si>
    <t>RT @LarrySchweikart: If true, entirely possible Trump doesn't want this out just yet either. Public probably not ready for that big a leap.…</t>
  </si>
  <si>
    <t>A hear a gigantic GULP from the Democrats! 😝 https://t.co/CYd9cGU2s2</t>
  </si>
  <si>
    <t>RT @AntarcticPress: @OscuraStudios @BrettRSmith76 @POTUSThump Thanks for writing, The link just went live. 400 available. https://t.co/rp8h…</t>
  </si>
  <si>
    <t>RT @LarrySchweikart: Just got my copy. 
SUPPORT CONSERVATIVE WARRIORS FIGHTING THE SJWS! https://t.co/9L09K88P9k</t>
  </si>
  <si>
    <t>RT @NameRedacted7: All those Leftists &amp;amp; Never Trumpers who spent all day gloating, high-fiving, mocking @realDonaldTrump for calling off th…</t>
  </si>
  <si>
    <t>RT @ABPatriotWriter: TRUMP JUDGES - @SenateMajLdr has set up a vote for three of Trump's district judges next week. One from AL, one from T…</t>
  </si>
  <si>
    <t>RT @RealJamesWoods: I learned a new word today as well: #Idiottsunami. As in, one idiot politician can feel like a veritable groundswell of…</t>
  </si>
  <si>
    <t>RT @LisaMei62: The first of many big fish directly linked to HRC...more to come. https://t.co/oIbkIUdJc0</t>
  </si>
  <si>
    <t>RT @ideapalooza: This thread makes perfect sense. The Russian affair was made up to provide Obama et. al. cover to ‘legally’ spy. https://t…</t>
  </si>
  <si>
    <t>RT @JohnWHuber: GO READ THIS RIGHT NOW 👇👇👇
Is the "Crossfire Hurricane" codename for the FBI counterintel investigation into Trump, a refe…</t>
  </si>
  <si>
    <t>RT @TomFitton: You can bet Obama knew about Spygate targeting of @RealDonaldTrump.  https://t.co/5B7VCr9Wod https://t.co/L1RElLJfLL</t>
  </si>
  <si>
    <t>RT @LisaMei62: Excellent thread by @_VachelLindsay_ tying #SpyGate directly to Hussein. I've worked in the IC for 38 years...this sounds mo…</t>
  </si>
  <si>
    <t>RT @JohnWHuber: N.B: Spoiler for a future post: Hilary Clinton sent that email to PRESIDENT OBAMA from 🇷🇺RUSSIA🇷🇺, via her insecure email s…</t>
  </si>
  <si>
    <t>RT @ktellmemore: @_VachelLindsay_ Fantastic thread Rex!
This all MUST come out b4 mid-terms! God forbid Republicans lose majority this will…</t>
  </si>
  <si>
    <t>RT @ZarbaNotZorba: @_VachelLindsay_ Trump has known everything since that first meeting with Admiral Rogers.  We've known Brennan and Clapp…</t>
  </si>
  <si>
    <t>RT @bignutslanger: @_VachelLindsay_ does a wonderful job blowing the lid off of #spygate
Please read and share. https://t.co/Tvlx8QRIpF</t>
  </si>
  <si>
    <t>RT @drawandstrike: @_VachelLindsay_ And I’m pretty sure at some point those ‘suspicious’ contacts between Harper &amp;amp; Page/Papadopoulos were r…</t>
  </si>
  <si>
    <t>RT @NYCDogs4Trump: @_VachelLindsay_ Trump knows. That’s why he said “Obama” spied on him when he first tweeted about it in 2017 (not “the O…</t>
  </si>
  <si>
    <t>RT @ThomasWictor: Thread on espionage.
https://t.co/OT4FdfLjb7</t>
  </si>
  <si>
    <t>RT @ThomasWictor: (6) Israel got 1000 pounds--half a ton--of paper and CDs from the most secret building in Iran.
That means members of th…</t>
  </si>
  <si>
    <t>RT @ThomasWictor: The problem is that Clapper is lying.
If Russia had actually "turned" the election, the Intelligence Community would hav…</t>
  </si>
  <si>
    <t>RT @almostjingo: Oops @_VachelLindsay_  just cracked #spygate 🗝💩 https://t.co/ulXdF20gau</t>
  </si>
  <si>
    <t>RT @TheLastRefuge2: Chairman Xi Jinping says "oh snap": first Trump hit w/ a sec.232 trade review on auto manfring.. Then he cancelled the…</t>
  </si>
  <si>
    <t>RT @markknoller: In a statement reflecting profound humility, Master Chief Slabinski said his Medal also belongs "to the 7 Americans killed…</t>
  </si>
  <si>
    <t>@ltodd14 @Newsweek So easily disprovable! Here’s just a short-list of Pres Obama’s scandals! #ObamaGate #SpyGate https://t.co/OP2c6hHfUA</t>
  </si>
  <si>
    <t>RT @JPW3775: Do you speak Liberal? Here are some new terms to add to your lexicon;
'Conspiracy theory': I don't like what you are talking…</t>
  </si>
  <si>
    <t>RT @robdager: Michelle Obama Praised Sexual Predator Harvey Weinstein as a 'Wonderful Human Being'  #HarveyWeinstein #wwg1wga #pizzagate #O…</t>
  </si>
  <si>
    <t>RT @BreitbartNews: Oh baby. https://t.co/u9aUjTF4MK</t>
  </si>
  <si>
    <t>RT @ClintonMSix141: We were 'protecting' Trump from Russians when we spied on his campaign....
Trump should be 'happy' to be spied on.
🤔i…</t>
  </si>
  <si>
    <t>RT @ericbolling: Wage growth declined under Bush 43. And was stagnant under Obama. Get your own facts straight pal https://t.co/5sxz8Q0fY3</t>
  </si>
  <si>
    <t>Meadows to N. Korea: Trump’s ‘Serious About the Punitive Measures --- He Will Not Blink’ | Breitbart https://t.co/oWGcdBdQou</t>
  </si>
  <si>
    <t>RT @bbusa617: Gov. Cuomo Pardons Officially Give 24K Parolees Voting Rights Including Cop Killer https://t.co/ZAuYPCeGxK #AndrewCuomo #Felo…</t>
  </si>
  <si>
    <t>RT @G_Pond47: @MtRushmore2016 Exactly why we need National Conceal Carry! It saves Lives &amp;amp; helps us Protect our Personal Safety.</t>
  </si>
  <si>
    <t>RT @G_Pond47: @Lrihendry Liberals aren’t that smart. They think the Money Tree Fairy pays for Socialism. They have no concept of Capitalism…</t>
  </si>
  <si>
    <t>....but not in a Good Way! 😂#JustSaying  https://t.co/UdBfDruR9B</t>
  </si>
  <si>
    <t>“The only confirmed fatality is the suspect. He was apparently shot-to-death by an armed citizen,” the Oklahoma City Police Department wrote on Twitter.  #2A  https://t.co/o0cJwC7RF4</t>
  </si>
  <si>
    <t>RT @RealKyleMorris: Suspect "apparently shot-to-death by an armed citizen."
A good guy with a gun stops a bad guy with a gun in Oklahoma C…</t>
  </si>
  <si>
    <t>RT @marklevinshow: Armed citizen killed mass shooter. Most lib media ignores. https://t.co/KprGmAdLiS</t>
  </si>
  <si>
    <t>RT @cnnbrk: An armed citizen killed a shooter at an Oklahoma City restaurant, police say https://t.co/1KzH6h66kO https://t.co/ONBCZ5j3xy</t>
  </si>
  <si>
    <t>RT @ThomasWictor: (18) At the heart of North Korean political ideology is something called "juche," which means "self-reliance."
The North…</t>
  </si>
  <si>
    <t>RT @storm_chaser82: Won't hear about Lake Hefner Oklahoma restaurant shooting anywhere on the news since the shooter was taken out by a goo…</t>
  </si>
  <si>
    <t>Hmmm, USA’s The Colony is eerily familiar to reality... references Deep State &amp;amp; shows them framing a guy who is wise to them working against The People. 🤔 https://t.co/2zROPHETHh</t>
  </si>
  <si>
    <t>RT @christine152962: @grahammctavish @ColonyUSA @USA_Network #hellogorgeous I’ll start watching The Colony immediately!</t>
  </si>
  <si>
    <t>RT @grahammctavish: Look out for this dodgy fella on @ColonyUSA @USA_Network  starting tomorrow, May 16. #joinmyresistance https://t.co/d5l…</t>
  </si>
  <si>
    <t>RT @Education4Libs: Just broke 1000 subscribers on our @OfficialE4L podcast channel!!!
We’ve only done 3 episodes &amp;amp; are just getting start…</t>
  </si>
  <si>
    <t>RT @JohnTrumpFanKJV: Lord Jesus Please shield President Trump from all harm. May his enemies fall into the pits they dig, and be snared in…</t>
  </si>
  <si>
    <t>RT @JudgeJeanine: No Jim - now that you and Obama are gone, we are coming out of the dangerous time.
https://t.co/H1l9Tzqs5r</t>
  </si>
  <si>
    <t>Raise your hand if you’re actually surprised.🙄🙄🙄🙄🙄🙄🙄🙄🙄🙄🙄 https://t.co/idDuUQxdrD</t>
  </si>
  <si>
    <t>RT @BeecheyPat: @laaul @SpencerFernando @MtRushmore2016 Thank you, we are hopeful for a new Prime Minister for Canada as well.</t>
  </si>
  <si>
    <t>RT @SavtheRepublic: @Liz_Wheeler @MtRushmore2016 President Trump right again! The left is always on the wrong side of the issues that keep…</t>
  </si>
  <si>
    <t>RT @BillCox70251656: @Antiknotright @MtRushmore2016 Are all of the left on drugs? Because they have to be having hallucinations. It’s so ba…</t>
  </si>
  <si>
    <t>RT @MaxwellPichan: Relevant today https://t.co/Gy1KyDax9v</t>
  </si>
  <si>
    <t>RT @1Romans58: Do it!  You don't get to take breaks when you haven't finished the job. Lock them in a room until it is finished. 
GOP thre…</t>
  </si>
  <si>
    <t>RT @Liz_Wheeler: MS-13 gang member sentenced to 40 years in prison for murdering a child.
His gang nickname? Animal.</t>
  </si>
  <si>
    <t>RT @ken_grinder: Don't these Leftist Democrat Wayward Souls just make you want to vote for them as the new Progressive America?  Being a pr…</t>
  </si>
  <si>
    <t>RT @RealSaavedra: EXPOSED: Obama Advisors' Emails In Immediate Sandy Hook Aftermath Reveal Anti-Gun Agenda: 'Tap Peoples Emotions'  https:/…</t>
  </si>
  <si>
    <t>RT @TwitchyTeam: Thought police? Dana Loesch curious about who Houston's police chief will have 'watching' her https://t.co/NIRt43hqWY</t>
  </si>
  <si>
    <t>RT @KurtSchlichter: Fussy government worker says words that make no sense that seem to be about Texas defamation law, a subject I know a bi…</t>
  </si>
  <si>
    <t>RT @JennJacques: #WednesdayWisdom Here's How The Second Amendment Became A Women's Movement: https://t.co/KcaH9RxEvw by @JennJacques #2A @N…</t>
  </si>
  <si>
    <t>RT @NRATV: .@DLoesch tells @ArtAcevedo: “I will always, as a free citizen, use my free speech right to call to account any elected or nomin…</t>
  </si>
  <si>
    <t>RT @DLoesch: This was a good line of questioning from @ChrisCuomo here and he makes a good point about CNN’s security and controlled access…</t>
  </si>
  <si>
    <t>RT @DLoesch: Everytown/Moms Demand founder on taxation. https://t.co/hqOT3jp1Cw</t>
  </si>
  <si>
    <t>RT @DLoesch: This is abhorrent treatment of two heroes who engaged, drew fire to save lives, and one is in critical condition for his actio…</t>
  </si>
  <si>
    <t>RT @DLoesch: Reached out to @houstonpolice re the thread below where @ArtAcevedo says “we will be watching” after I criticized his stance o…</t>
  </si>
  <si>
    <t>RT @ChristyM_KVUE: Santa Fe student says more officers on campus would make him feel safer - security camera “won’t come down and save you”…</t>
  </si>
  <si>
    <t>RT @DLoesch: These people are all WRONG https://t.co/tmqLd8KRW5</t>
  </si>
  <si>
    <t>RT @DLoesch: We give a half a billion taxpayer dollars a year to Planned Parenthood, a for profit business that donates those dollars almos…</t>
  </si>
  <si>
    <t>RT @Chicago1Ray: Former Cilintonista Mark Penn weighs in " What Kind of techniques were used? Where their raiding PPL and threatening them…</t>
  </si>
  <si>
    <t>RT @SiddonsDan: “Anytime Anyone criticizes the media, the media shreiks ‘You’re just like @realDonaldTrump!’ Why do they think he got elect…</t>
  </si>
  <si>
    <t>RT @Antiknotright: What a disgrace that moron is. https://t.co/HpAfgHrgXE</t>
  </si>
  <si>
    <t>RT @pepesgrandma: Maybe because it was an, “informant”? 💡Notice the Dem switch in terminology from informant to spy? They are not off the h…</t>
  </si>
  <si>
    <t>RT @CraigAr64: Once you quit thinking like a law abiding, you realize there are no gun laws that could stop you if you want to commit a cri…</t>
  </si>
  <si>
    <t>RT @Technologyoffe4: Trump says that MS-13 gang members are animals. Do you agree?
 Vote and retweet for authentic results</t>
  </si>
  <si>
    <t>RT @josieLanterneer: #mustbeAliberal https://t.co/0TMFEUBZqs</t>
  </si>
  <si>
    <t>RT @DannyTarkanian: Always a pleasure speaking with friends and members of the @LasVegasACC. Thank you for sharing your time and stories wi…</t>
  </si>
  <si>
    <t>RT @StephenMilIer: Trump is not Obama. We will not negotiate a deal with a nation that doesn't know to show respect for the greatest nation…</t>
  </si>
  <si>
    <t>RT @The_War_Economy: Since North Korea is already asking for the meeting again, is it okay for me to say this didn't age well or should I l…</t>
  </si>
  <si>
    <t>RT @peterboykin: Everyday there is a constant issue with the shadow banning and censoring of conservatives and the common complaint is
WHA…</t>
  </si>
  <si>
    <t>RT @realJeffreyLord: While Visiting Melania In The Hospital, Trump Met Wounded Vets And Invited Them To White House https://t.co/mmWUhGK9sr…</t>
  </si>
  <si>
    <t>RT @KristiTalmadge: @BillKristol I am comfortable with the President of the United States attacking the Deep State.  In fact, that's one of…</t>
  </si>
  <si>
    <t>RT @1stAirDel_USMCR: @BillKristol Damned straight I'm fine with it, Kristol, because the evidence to date is KristolKlear: Comey, Lynch, Ob…</t>
  </si>
  <si>
    <t>RT @airwolf1967: @BillKristol Conservatives don’t condone Treason by the Criminal Deep State. They are going to prison.</t>
  </si>
  <si>
    <t>RT @usedtobeafreer: Exercise
Your
Civic
Duty
VOTE TRICIA FLANAGAN https://t.co/5TGLjSRTmY</t>
  </si>
  <si>
    <t>RT @NewDayForNJ: Join me May 30th at noon at the NJ State House in Trenton to tell Phil Murphy we are standing against his unconstitutional…</t>
  </si>
  <si>
    <t>RT @realDonaldTrump: It was my great honor to host a roundtable re: MS-13 yesterday in Bethpage, New York. Democrats must abandon their res…</t>
  </si>
  <si>
    <t>RT @creepingsharia: Muslim from Seattle sentenced to life without parole for murder of New Jersey student. He killed 3 others too, on a sel…</t>
  </si>
  <si>
    <t>...Residents thanking the President for his harsh crackdown on the cartel that has terrorized communities for over a decade! 😉🇺🇸 https://t.co/fTvX9WCnLk</t>
  </si>
  <si>
    <t>RT @seanhannity: We stand with @FoldsofHonor and remember those who gave the ultimate sacrifice this Memorial Day https://t.co/OmwiZNvodQ</t>
  </si>
  <si>
    <t>Yeah, this oughta turn out well! ....(yawn) 😴😴😴 https://t.co/idBMXIVASj</t>
  </si>
  <si>
    <t>RT @brithume: Remember folks: it was Mueller &amp;amp; Co who decided when to bring the indictment. This is not a good look.  https://t.co/MNknuiTt…</t>
  </si>
  <si>
    <t>RT @brithume: You’re absolutely right. How could I have missed it? Those coins will allow North Korea to have everything it can’t get becau…</t>
  </si>
  <si>
    <t>@brithume Buwahahaha.....   😂 https://t.co/DQGZLApOav</t>
  </si>
  <si>
    <t>RT @brithume: This is probably my favorite tweet of all time. https://t.co/AoCEf69PMI</t>
  </si>
  <si>
    <t>RT @ByronYork: This looks pretty awful. 'David Letterman’s Netflix Show Is An Endless, Awkward Parade Of Liberal Guilt.' https://t.co/XcfxT…</t>
  </si>
  <si>
    <t>RT @ByronYork: Reading tea leaves in Michael Flynn case: In January, both sides asked court for 90-day sentencing delay. This month, they a…</t>
  </si>
  <si>
    <t>RT @ByronYork: Link: FBI appears ready to miss another deadline in Trump-Russia probe. https://t.co/DHz5Xq6Jkf</t>
  </si>
  <si>
    <t>RT @ByronYork: Problem with brouhaha over use of word 'spy' is that it's a common word, and people slamming Trump for using it loosely have…</t>
  </si>
  <si>
    <t>RT @ByronYork: Family regrets voluntarily installing Amazon spyware in every room of their home. https://t.co/M1IRSJIpv6 https://t.co/hXCYu…</t>
  </si>
  <si>
    <t>RT @Dolphieness: MS-13 suspect who allegedly killed man, burned body entered US as 'unaccompanied alien child' https://t.co/4iYnw2Unj2 #Fox…</t>
  </si>
  <si>
    <t>RT @FoxNews: Jason Hill on Chicago violence: "We have police who are unable to [systematically] fight this type of gang warfare. This is un…</t>
  </si>
  <si>
    <t>RT @dcexaminer: Democrat drops out of Iowa gubernatorial contest after sexual misconduct accusations https://t.co/mtJyBXmwv7 https://t.co/V…</t>
  </si>
  <si>
    <t>RT @dcexaminer: Devin Nunes' fundraising explodes amid aggressive defense of Trump from Russia probe https://t.co/zFirdUTfLa https://t.co/f…</t>
  </si>
  <si>
    <t>RT @Dennis17Viper: Stop with the fertilizer politicians, the plants have stopped growing. 
Until such time as one, not a dozen, high level…</t>
  </si>
  <si>
    <t>RT @gibson_medley: Oldie but a goodie https://t.co/FxzM7AcRBr</t>
  </si>
  <si>
    <t>RT @IM_FN_RIZZED: I truly believe that if the Deep State is drained, we will see the technologies and services released that have been supp…</t>
  </si>
  <si>
    <t>RT @RepMarkMeadows: Amazing. This is what the DOJ frequently uses redactions for. 
Not for national security reasons, as they claim, but t…</t>
  </si>
  <si>
    <t>RT @Lrihendry: If the court ruled that Trump is not allowed to block anyone on Twitter, why is Twitter allowed to delete our accounts becau…</t>
  </si>
  <si>
    <t>RT @JosephBrass: I Remember.....driving one of those....RYDER TRUCKS.....Remember....and the truck would have a Governor on it......you kno…</t>
  </si>
  <si>
    <t>RT @T_S_P_O_O_K_Y: Redactions...to protect the guilty, not to maintain national security... https://t.co/CbYoPPnhI5</t>
  </si>
  <si>
    <t>RT @benshapiro: NK tried to leverage Trump and he pulled out instead. That’s what he’s supposed to do.</t>
  </si>
  <si>
    <t>RT @bbusa617: BOOM: Netflix boycott CRUSHES goal https://t.co/V8SGNGJPUE
LESS THAN 24HRS "I LOVE MY FREEDOM. ORG" Started A Boycott Netfli…</t>
  </si>
  <si>
    <t>RT @PollackHunter: The people of Santa Fe are getting a lot less media coverage than parkland, I can’t decide if it’s:
-The agenda doesn’t…</t>
  </si>
  <si>
    <t>RT @hidehunt1: If our @realDonaldTrump is being ordered to not block accounts (censored) then doesn’t that mean Twitter is in violation, to…</t>
  </si>
  <si>
    <t>RT @Jamierodr10: This is vile! Anti-Police Spits at police officers while they were marching at a pro-police demonstration in New York! #Ba…</t>
  </si>
  <si>
    <t>RT @RealSaavedra: Left Wing Billionaire Michael Bloomberg: Raising Taxes on Poor People is a "Good Thing." https://t.co/GcO9xT3vkl</t>
  </si>
  <si>
    <t>RT @MtRushmore2016: Expect Publix's popularity to soar in 3, 2, 1... #MAGA 🇺🇸 https://t.co/ueGICMeCEn</t>
  </si>
  <si>
    <t>Arne Duncan also exposed his bigotry against countless parents “of color,” like myself, who’ve long opposed Fed Ed’s sabotage of academic excellence, local control, and student privacy in school districts across the country. https://t.co/XarpUKnH7I</t>
  </si>
  <si>
    <t>“Obama appointees relied on Democratic opposition research to push Trump collusion claims into the public domain. They also leaked sensitive material to news media, some of it grossly misleading.” https://t.co/2zAoxGTd8X</t>
  </si>
  <si>
    <t>RT @MtRushmore2016: “Raise your hand if you do not work for the NFL and are allowed to express yourself in whatever way you please while yo…</t>
  </si>
  <si>
    <t>RT @blad3fath3r: @MtRushmore2016 Ordering the family some subs for dinner online right now.</t>
  </si>
  <si>
    <t>Deadline is June 2, 2018! https://t.co/ciMvVFXniV</t>
  </si>
  <si>
    <t>Expect Publix's popularity to soar in 3, 2, 1... #MAGA 🇺🇸 https://t.co/ueGICMeCEn</t>
  </si>
  <si>
    <t>Mike Rowe: Apply Now -The Work Ethic Scholarship Program: YOU READY TO WORK SMART AND HARD? https://t.co/n9dww11duj</t>
  </si>
  <si>
    <t>“Danielle said 2 weeks ago their love for ALEXA changed w/an alarming phone call. "The person on the other line said, 'unplug ur Alexa devices right now,'" she said. "'You're being hacked.'" That person was 1 of her husbands employees calling from Seattle” https://t.co/RsLTIedgLM</t>
  </si>
  <si>
    <t>“Raise your hand if you do not work for the NFL and are allowed to express yourself in whatever way you please while you are on the job.”  https://t.co/vijTjl0FCx</t>
  </si>
  <si>
    <t>Thou shalt not bear false witness against thy neighbor. “When I saw the video, I was shocked that someone who is supposed to be a community leader, a pastor, and head of the NAACP would just come out and tell a blatant lie. It bothered me.” #BackTheBlue https://t.co/fV7s9z2mb3</t>
  </si>
  <si>
    <t>RT @MattWolking: “Once I got a copy of that body cam, it's as if he made the whole story up.” https://t.co/8Di6vHJK71</t>
  </si>
  <si>
    <t>RT @FoxNews: James Wedwick on reports of spying on Trump campaign: "The guidelines say, if you're gonna use an informant to infiltrate a po…</t>
  </si>
  <si>
    <t>RT @FoxNews: .@IngrahamAngle: "There [are] a few major problems with the Democrats adopting an anti-corruption platform, because they are t…</t>
  </si>
  <si>
    <t>RT @pnjaban: Looking forward to joining @IngrahamAngle tonight to discuss Obama administration political spying allegations with Laura and…</t>
  </si>
  <si>
    <t>RT @LifeZette: Hollywood Is Smearing Kanye as ‘Mentally Ill’ for His Trump Support https://t.co/D7qAnodFEw</t>
  </si>
  <si>
    <t>So now Hollyweird deems a difference of opinion as a Mental Illness! But are we really that surprised? The Intolerant Left expects all to goose-step to their lop-sided rules. https://t.co/AVb0zxR7Jv</t>
  </si>
  <si>
    <t>RT @IngrahamAngle: Larger passengers, smaller seats. Obscene.  https://t.co/xjFX9YGHCm</t>
  </si>
  <si>
    <t>“Of course the communist teacher who put up the Open Borders sign faced no repercussions.” https://t.co/kUw8RY0Z2K</t>
  </si>
  <si>
    <t>RT @IngrahamAngle: WORRIED ABT RUSSIA? THIS IS WHAT "FREEDOM" LOOKS LIKE IN CHINA: China's social credit system has blocked people from tak…</t>
  </si>
  <si>
    <t>RT @KimStrassel: 4) The cleanest way out of this is for the WH to declassify everything. The DOJ/FBI/Intelligence community has forfeited i…</t>
  </si>
  <si>
    <t>RT @therealroseanne: biggest conspiracy theory of all time: trump-russia collusion 'theory'</t>
  </si>
  <si>
    <t>RT @FoxNews: .@ingrahamangle: "Day by day, we learn more information that seems to indicate that the government may have used its prosecuto…</t>
  </si>
  <si>
    <t>RT @ArchKennedy: CNN’s James Clapper on the view admitted to spying on the Trump Campaign (Crossfire Hurricane) but only did it to protect…</t>
  </si>
  <si>
    <t>RT @RagingGayCons: Leftists don't understand the definition of "free." Nothing is FREE. Anything you get for free was paid for by someone e…</t>
  </si>
  <si>
    <t>RT @JosephBrass: HER BRAIN CIRCUITRY.....is having a....GIGGLE FIT......thank you....please leave your donations in the jar by the door...🚽…</t>
  </si>
  <si>
    <t>RT @thebradfordfile: CNN: North Korea's Kim Jong-un is winning.
TELL THAT TO THE FREED HOSTAGES YOU COMMIE DIRTBAGS.</t>
  </si>
  <si>
    <t>RT @Education4Libs: The Southern Poverty Law Center claims referring to MS-13 as "animals" is "racist" &amp;amp; similar to the way Hitler spoke ab…</t>
  </si>
  <si>
    <t>RT @CocoThePatriot: Simple..:: pass voter ID laws with stiff penalties and the left will not care about illegals anymore https://t.co/0EPMe…</t>
  </si>
  <si>
    <t>RT @charliekirk11: Since the FBI was spying on Trump the entire time, doesn’t that now mean they knew there was no collusion all along? 
🤔</t>
  </si>
  <si>
    <t>RT @JackPosobiec: Police have released mug shots of the four teenagers charged as adults in the murder of  Baltimore Officer Amy Caprio htt…</t>
  </si>
  <si>
    <t>RT @DaveSchreiber3: Stay the course @realDonaldTrump Mr. President. RINO's, at this point in time, support your President. We the people ar…</t>
  </si>
  <si>
    <t>RT @PGOperations: @Debradelai @MtRushmore2016 Can I twist this same ruling to my advantage saying Twitter can't block/ban/mute me??? :)</t>
  </si>
  <si>
    <t>April Schentrup, principal at Pembroke Pines Elementary, told School Bd members the district tried to dock her pay for time she took to grieve her daughter Carmen. #Parkland https://t.co/dGzMtkX06J</t>
  </si>
  <si>
    <t>RT @JGunlock: More disgusting behavior from Broward school officials. When is @RobertwRuncie going to resign?  https://t.co/xz4Iow8xkr</t>
  </si>
  <si>
    <t>RT @LouDobbs: Kim Jung Un’s antics don’t work with @realDonaldTrump   @POTUS cancels Summit #MAGA #AmericaFirst #TrumpTrain #Dobbs https://…</t>
  </si>
  <si>
    <t>RT @HeyTammyBruce: Public Podcast: Tammy Talks w @SalenaZito About Her New Book “The Great Revolt” https://t.co/m2Qi41TtrJ</t>
  </si>
  <si>
    <t>RT @IWV: "He's been constantly under attack as President -- and it hasn't stopped him. Dealing with just North Korea in the past has clearl…</t>
  </si>
  <si>
    <t>RT @DiamondandSilk: All of a sudden Don Lemon on the very Fake News is concerned about NFL players Freedom of Speech, but when @DiamondandS…</t>
  </si>
  <si>
    <t>RT @johnrobertsFox: Very interesting letter from @realDonaldTrump to Kim Jong Un.  Flatters him and thanks him - at the same time reminding…</t>
  </si>
  <si>
    <t>RT @HeyTammyBruce: Bad News for Dems: Household Income Hits All-Time High, Trump Getting Credit For It  https://t.co/p9CgQ47dgz</t>
  </si>
  <si>
    <t>RT @IWF: WATCH: @MikeBloomberg admits he wants to raise taxes on the poor for their own good ---&amp;gt; https://t.co/Zxq2F4wQyk 
#iwecon #Thursda…</t>
  </si>
  <si>
    <t>RT @stephdermody: Great article @HeyTammyBruce!  I dare the so-called feminists to read this. #truth https://t.co/xykv3f5QYB</t>
  </si>
  <si>
    <t>RT @WashTimes: "In my first book, I explain that racism, sexism and homophobia live on the left. The fact that it’s the 21st century and a…</t>
  </si>
  <si>
    <t>RT @Debradelai: (13) Nobody can force me to read or listen to idiots I do not want to read or listen to.
Nobody can force me to buy a book…</t>
  </si>
  <si>
    <t>RT @Debradelai: (12) Let’s say that contrary to her ridiculous efforts to separate blocking and muting, NEITHER banishes anyone from the pl…</t>
  </si>
  <si>
    <t>RT @Debradelai: (11) Finally, we come to the absurdity she produced yesterday.
It is so ridiculous she did not have the gall to place an…</t>
  </si>
  <si>
    <t>RT @Debradelai: (9) “Though Buchwald is a White Plains resident, he says he loves visiting both Armonk and Chappaqua.”
Gee! I wonder why?…</t>
  </si>
  <si>
    <t>RT @Debradelai: (8) After trying several serious careers, sonny boy went to the Kennedy School of Government and then run as Assemblyman in…</t>
  </si>
  <si>
    <t>RT @Debradelai: (7) There are other beauties:
Monsanto in 2012, or when she freed the assets of Oleksandr Dorozhko in 2008…
Wait!
Big co…</t>
  </si>
  <si>
    <t>RT @Debradelai: (6) J.P. Morgan, Citigroup and Bank of America’s investment in Buchwald did not pay off, but at least they bought some time…</t>
  </si>
  <si>
    <t>RT @Debradelai: (5) The appellate court thought otherwise, and in 2016, struck down her idiocies and reinstated the lawsuit.
Hey! Interes…</t>
  </si>
  <si>
    <t>RT @Debradelai: (4) That brilliant legal mind alleged that banks could not be held liable “because the LIBOR-setting process is not in itse…</t>
  </si>
  <si>
    <t>RT @Debradelai: (3) As with so many of the people appointed by this rascal, soon Judge Buchwald showed her mettle.
Enter the LIBOR scandal…</t>
  </si>
  <si>
    <t>RT @Debradelai: It is interesting how NOBODY points out the obvious links. https://t.co/oA2KUnHtHT</t>
  </si>
  <si>
    <t>RT @Debradelai: @Jajngn @econig You can say that again.
https://t.co/IE5ZCuLyce</t>
  </si>
  <si>
    <t>RT @Jajngn: @econig @Debradelai Think how many cases she’s adjudicated. That lack of brain power has affected alot of people</t>
  </si>
  <si>
    <t>RT @econig: @Debradelai Another deep dive into the deception of the liberal left that has infiltrated the courts.  On the other hand I am s…</t>
  </si>
  <si>
    <t>RT @Debradelai: (1) Now that the dust is settling, let’s have a few words about the corrupt hag that just wrote an opinion on Twitter block…</t>
  </si>
  <si>
    <t>RT @BrianDCates: Also, Giacalone was the guy running Clinton email investigation for the first seven months of it, and word I'm hearing is…</t>
  </si>
  <si>
    <t>RT @BrianDCates: Not sure what Preistap and Steinbach had to do with the Clinton Email investigation, but these guys would be INTIMATELY IN…</t>
  </si>
  <si>
    <t>RT @Kira_Media: Yep, nailed it!
* HOSTAGES - Kim no longer responsible for room &amp;amp; board
* TEST FACILITY- For sure, Kim collects big insuran…</t>
  </si>
  <si>
    <t>RT @Zaggs: @WajahatAli Pretty sure the families of the 3 hostages Trump got back would disagree.</t>
  </si>
  <si>
    <t>RT @bennyjohnson: In America, we honor our heroes. 
Well done, Navy SEAL Britt Slabinski 
🇺🇸 https://t.co/D00pVEWqdI</t>
  </si>
  <si>
    <t>RT @JammieWF: Getting woke and going broke. https://t.co/1bHWphZpOS</t>
  </si>
  <si>
    <t>Liberalism leaves a trail of failures in its wake. https://t.co/kV9n1OYK4P</t>
  </si>
  <si>
    <t>RT @MartiniShark: "A coital thespian giving a speech on dignity and decency is made more poignant when delivered in front of a porn store."…</t>
  </si>
  <si>
    <t>RT @RealSaavedra: #BREAKING: Senate votes to make lawmakers pay sexual harassment settlements https://t.co/ZjUX8NkM3h</t>
  </si>
  <si>
    <t>RT @MartiniShark: @BrianDCates @ThomasWictor Yea, a city council praising a porn Star in front t of a sex store over what is "decent" sums…</t>
  </si>
  <si>
    <t>RT @seanmdav: https://t.co/zZmCcYwhZm</t>
  </si>
  <si>
    <t>RT @JesseKellyDC: Employees working on an employer's time, at an employer's building, wearing an employer's uniform, and representing an em…</t>
  </si>
  <si>
    <t>RT @MZHemingway: @CaseyMattox_ @RyanTAnd @DavidAFrench they are not just not identical -- they're kind of worlds apart, right? One is makin…</t>
  </si>
  <si>
    <t>RT @willcain: Excuse me Coach, doesn’t your league REQUIRE players to be on the court, standing for the national anthem? Careful with that…</t>
  </si>
  <si>
    <t>RT @InezFeltscher: Ms. Prabhu's article makes me feel like we could sit down over tea and have a civil discussion about the problems this c…</t>
  </si>
  <si>
    <t>RT @MZHemingway: @CaseyMattox_ @RyanTAnd @DavidAFrench Are we sure companies providing accommodations for private protests is the same thin…</t>
  </si>
  <si>
    <t>RT @PoliticalShort: An internal FBI spy program reportedly used to surveil the Trump camp has a long history of being used to protect kille…</t>
  </si>
  <si>
    <t>RT @seanmdav: I'm A Democrat, And The Left's Russia Gaslighting Scares Me More Than Trump Does https://t.co/J8JrM3CUaR</t>
  </si>
  <si>
    <t>RT @AP: BREAKING: Trump grants posthumous pardon to Jack Johnson, boxing's first black heavyweight champion.</t>
  </si>
  <si>
    <t>RT @neontaster: I mean, we got three prisoners back, the Nork's just destroyed a testing facility, and we were the ones who pulled out of t…</t>
  </si>
  <si>
    <t>RT @FDRLST: Take away all the guns and we will simply see death by other means until we address the real issue: Our culture has become toxi…</t>
  </si>
  <si>
    <t>RT @FDRLST: Why did the FBI hide Andrew McCabe's $70,000 office table from Congress? https://t.co/1X5cy7rs8N</t>
  </si>
  <si>
    <t>RT @MZHemingway: Many many DC folks repeatedly said that Trump was going to get a bad North Korea deal because he was signaling he desperat…</t>
  </si>
  <si>
    <t>RT @davidharsanyi: Max Boot's Turn Against Israel Is Pure Trump Derangement https://t.co/RhzZjUHfiS</t>
  </si>
  <si>
    <t>RT @WilliamAEstes: Huge thanks to @JoyPullmann (plus @bdomenech, @seanmdav, @Bre_payton, @davidharsanyi, @BlueBoxDave, &amp;amp; the rest of the su…</t>
  </si>
  <si>
    <t>Parents, How much do you know about who is influencing the minds of your children?  https://t.co/BQsYpkqT2P</t>
  </si>
  <si>
    <t>RT @politiCOHEN_: .@willripleyCNN on phone from north korea now. says he was the first person to read to the north korean officials he was…</t>
  </si>
  <si>
    <t>RT @seanmdav: CNN Host Who Attacked Trump For ‘Spy’ Tweets Once Claimed Fox News Was ‘Spying’ On Him https://t.co/QYD5LPhjGv</t>
  </si>
  <si>
    <t>RT @AriFleischer: I don’t read the cancellation of the NK summit as the end of talks. It’s really part of the ongoing talks. It’s about man…</t>
  </si>
  <si>
    <t>RT @MZHemingway: Journalists are so fascinating to me. On the one hand, they're not smart enough or literate enough to understand the defin…</t>
  </si>
  <si>
    <t>RT @MattWolking: Obama was too desperate to walk away from a terrible deal with Iran. Trump is different. https://t.co/mm7TVkeqLb</t>
  </si>
  <si>
    <t>RT @NoahPollak: Good. Previous admins would have foolishly plowed forward. https://t.co/BggbqXpy0K</t>
  </si>
  <si>
    <t>RT @LarryOConnor: And while literally holding the evidence of that foreign meddling in his hands Comey directed a surveillance operation on…</t>
  </si>
  <si>
    <t>RT @seanmdav: There was absolutely, foreign interference in our 2016 election. There is also irrefutable evidence that a campaign directed…</t>
  </si>
  <si>
    <t>RT @Techno_Fog: Wait. Was pedophile Jeffrey Epstein an informant for Mueller's FBI?
From the 5/24/18 FBI Vault release: "Epstein has also…</t>
  </si>
  <si>
    <t>RT @almostjingo: Nancy Pelosi is the Kim Jong Un of her party.</t>
  </si>
  <si>
    <t>RT @rutesperanza: @The_War_Economy Deep State and swamp show for media</t>
  </si>
  <si>
    <t>RT @LennoxLewis: Me and @BronzeBomber turning @TheSlyStallone into a knuckle sandwich. 😂😂😂 We are in DC for pardoning of Jack Johnson who w…</t>
  </si>
  <si>
    <t>RT @LarrySchweikart: Scott Adams channels Trump.
He's almost as good as I am.😂 https://t.co/NmPA6Q8S8h</t>
  </si>
  <si>
    <t>RT @mkos66: @ScottAdamsSays For sure.  The only surprise is that people are surprised and are convinced that this is the end of the negotia…</t>
  </si>
  <si>
    <t>RT @ScottAdamsSays: One month ago. https://t.co/WJMiD6wP7j</t>
  </si>
  <si>
    <t>RT @LarrySchweikart: Trump to pardon boxer Jack Johnson. @SHEPMJS 
The first true black president continues to speak for black people, act…</t>
  </si>
  <si>
    <t>RT @LarrySchweikart: Good. https://t.co/sVbnKMbMea</t>
  </si>
  <si>
    <t>RT @LarrySchweikart: Oh, and "impeachment" is not needed to make sure someone "never holds office again." 
That's called a "felony convict…</t>
  </si>
  <si>
    <t>RT @LarrySchweikart: Hell to the yeah! https://t.co/3Ilnj93W1v</t>
  </si>
  <si>
    <t>RT @NolteNC: I've never worked for an institution that allowed me to offend and drive away  customers while I was on the clock; that allowe…</t>
  </si>
  <si>
    <t>RT @LarrySchweikart: 12) Conclusion: THERE ARE NO "ARTICLES OF IMPEACHMENT" BEING DRAWN UP AGAINST BARACK OBAMA. NONE ARE NEEDED.
He is su…</t>
  </si>
  <si>
    <t>RT @LarrySchweikart: 6) Burr was charged with treason, even though there was no war going on at the time, putting to rest the notion that y…</t>
  </si>
  <si>
    <t>RT @joelpollak: Look at it this way: @realDonaldTrump got #NorthKorea to free hostages and destroy its nuclear test facility without even m…</t>
  </si>
  <si>
    <t>RT @LarrySchweikart: Now we're to the point with these morons in the press that even when someone flat out says "we spied" they say, "No, t…</t>
  </si>
  <si>
    <t>RT @LarrySchweikart: Trump IRS will move to block blue-state workarounds for state, local tax deductions https://t.co/3dbXWyqRlA
WINNING.…</t>
  </si>
  <si>
    <t>RT @LarrySchweikart: Iconic black musician blasts rap and hip-hop as ‘more damaging than a statue of Robert E. Lee’ https://t.co/pxYGHAkPfv…</t>
  </si>
  <si>
    <t>@chuckschumer @NancyPelosi @TheDemocrats https://t.co/SHUhvNvDVz</t>
  </si>
  <si>
    <t>#Winning #MAGA https://t.co/HgAi8JRKxp</t>
  </si>
  <si>
    <t>RT @LarrySchweikart: Another of these "police ready to arrest" or "prosecutors considering charging."
Either it's news or it isn't. https:…</t>
  </si>
  <si>
    <t>RT @ablessedpatriot: Several days ago I received a response to a tweet from @AntoneCafe he has graciously allowed me the use of his words w…</t>
  </si>
  <si>
    <t>RT @badov49: In case you missed it.... https://t.co/e6qFFCIBGY</t>
  </si>
  <si>
    <t>RT @npnikk: Morocco's foreign minister warns Iran is seeking foothold in North Africa https://t.co/B5GfBvRq0P</t>
  </si>
  <si>
    <t>RT @favoriteauntssi: I am starting to unfollow:
1.  People who just have their own tweets on a page.  Retweeting is key to helping our mvt…</t>
  </si>
  <si>
    <t>RT @ChrisLogicMedia: If blocking people on Twitter is unconstitutional, then Twitter banning accounts is also. 
Look forward to seeing Mil…</t>
  </si>
  <si>
    <t>RT @Politick_Rick: #DeMartini2018 #JoinFrankDeMartini
Did She Just Say She Wants To Nationalize Oil Production Just Like Putin??? #LowIQ M…</t>
  </si>
  <si>
    <t>RT @AmericanSoWoke: The Mayor of West Hollywood, who just “honored” Stormy Daniels, doesn’t know what negotiations look like and doesn’t wa…</t>
  </si>
  <si>
    <t>https://t.co/eFVw3QaZdA</t>
  </si>
  <si>
    <t>Wow! Its up to the People in Seattle to hold their elected leaders accountable. Maybe they’re ok with feckless leadership &amp;amp; wearing steel-toed boots to step over dirty needles on the sidewalks!  https://t.co/eX1iRfxuZ7</t>
  </si>
  <si>
    <t>RT @Chris_1791: Deadbeat son who was sued by parents has one week to move out https://t.co/JZruyPQpOx via @nypost https://t.co/ABrPUKW8lp</t>
  </si>
  <si>
    <t>RT @IStand007: You didn’t care about any of this until they pushed the president to order it now all of a sudden you’re concerned? Where wa…</t>
  </si>
  <si>
    <t>@SenSchumer Oh puhleeze, Senator Schumer, you’re ALL partisans in the DC Swamp! What are you personally doing to get to the truth of what Obama’s agencies did to interfere w/our 2016 Election? #HillarysEmails #DrainTheDeepState https://t.co/HBW0Os3BVK</t>
  </si>
  <si>
    <t>RT @crawfishaka: Trump Just Made Boldest Move Yet Against Illegals and Mexico is NERVOUS https://t.co/yeLEERyB2I via @truthfeednews.</t>
  </si>
  <si>
    <t>“Many of these countries we give tremendous amounts of aid to. Tens of millions of dollars. And we're working on a plan to deduct a lot of the aid," Trump said at an event in New York denouncing the Salvadoran gang MS-13.” #BuildTheWall  https://t.co/JYwzG33z5g</t>
  </si>
  <si>
    <t>RT @readbuk48: @NameRedacted7 @MarkWarner @MarkWarnerVA @realDonaldTrump Complicit is mild, Warner is up to his neck in provable criminality</t>
  </si>
  <si>
    <t>RT @lauraandrhino: @NameRedacted7 @MarkWarner @MarkWarnerVA @realDonaldTrump #DeepState this guy ⬇️
#Virginia deserves so much better.
#Vot…</t>
  </si>
  <si>
    <t>RT @N2theArena: @NameRedacted7 @MarkWarner @MarkWarnerVA @realDonaldTrump I hope someone in #Virginia is reading this. Spread the word... #…</t>
  </si>
  <si>
    <t>RT @NameRedacted7: The problem is @markwarner @markwarnerva was *actively* working to HELP frame @realDonaldTrump by trying to obtain smear…</t>
  </si>
  <si>
    <t>RT @newsbusters: Elon Musk Tweets ‘No One Believes’ Mainstream Media, Defends Trump https://t.co/e1TRxQTlRf</t>
  </si>
  <si>
    <t>RT @ACTBrigitte: President Trump's letter to Kim Jong Un speaks volumes about his maturity and understanding of the deal making process.
R…</t>
  </si>
  <si>
    <t>RT @audralaray: You’re such a fucking joke https://t.co/9odWhc1Xo0</t>
  </si>
  <si>
    <t>RT @michaelbeatty3: Kim Jung Un &amp;amp; North Korea are now 
officially added to the democrat 
HAMAS/MS-13 "LIST OF LOVE"
Well played President…</t>
  </si>
  <si>
    <t>RT @continetti: There are three Americans home today who would dispute the notion that President Trump's attempt to hold a summit with Nort…</t>
  </si>
  <si>
    <t>RT @ItsAngryBob: Do you think #SpyGate goes all the way up to Obama?
#WeThePeople #WWG1WGA #QAnon #TheStorm
#MAGA #NBC #ABC #CBS #FoxNews…</t>
  </si>
  <si>
    <t>RT @npnikk: Dem Rep.: We'll Impeach Trump if We Win Back House... https://t.co/iUgxuqh2KI</t>
  </si>
  <si>
    <t>RT @JJCarafano: Trump just reminding them he is not going to get played https://t.co/VrX4TDukRE</t>
  </si>
  <si>
    <t>RT @JJCarafano: No think the simple answer is US determined that DPRK was going to come to the table and play rope a dope so US decided to…</t>
  </si>
  <si>
    <t>RT @JJCarafano: Do you think there is more that what’s in the letter? https://t.co/naFnleMALS</t>
  </si>
  <si>
    <t>RT @JJCarafano: completely disagree-if maximum pressure were a strategy dependent on total cooperation with China than I would say we are i…</t>
  </si>
  <si>
    <t>RT @JJCarafano: Moon is not naïve enough to think negotiations were going to proceed in a linear fashion, plus Trump letter was pretty open…</t>
  </si>
  <si>
    <t>RT @SenTomCotton: North Korea has a long history of demanding concessions merely to negotiate. While past administrations of both parties h…</t>
  </si>
  <si>
    <t>RT @JJCarafano: you can't eat meetings with China and Russia, nor is remaining virtually dependent on them getting Kim anywhere, so the not…</t>
  </si>
  <si>
    <t>RT @JJCarafano: Meeting w/ rocket man may be off for now but that changes little--the opposite of talking is not talking, not war</t>
  </si>
  <si>
    <t>RT @JJCarafano: Great strategic leaders are not always polished nice men and women. Blunt and brash, it was once said of Ernest King, the g…</t>
  </si>
  <si>
    <t>RT @JJCarafano: US has never asked India to take sides. Indeed, US has engagement w/ Russia and China. It’s not about balancing. We live in…</t>
  </si>
  <si>
    <t>RT @JJCarafano: You brought us all together for a little while to laugh together -think about that https://t.co/KvHsQEP90d</t>
  </si>
  <si>
    <t>RT @KayColesJames: The men and women of our armed forces sacrifice so much for us all—it's imperative that they be able to make better educ…</t>
  </si>
  <si>
    <t>RT @MeghanMcCain: This article may be a backhanded compliment but I'll take it ;-) https://t.co/Zee26EWv8g</t>
  </si>
  <si>
    <t>RT @MeghanMcCain: Please join me &amp;amp; the vets of @IAVA &amp;amp; #GoSilent for #MemorialDay in honor of a fallen friend, family member or all lost in…</t>
  </si>
  <si>
    <t>RT @JaniceDean: This picture is the best thing I’ve seen all year.  For me, even better than #royalwedding https://t.co/r13KXFuqdO</t>
  </si>
  <si>
    <t>RT @RoninEternales: @toddeherman Bennie Ray Warner. 
https://t.co/cWaqA9jfnK</t>
  </si>
  <si>
    <t>RT @hoosierdaddy8: @toddeherman @BoSnerdley Understood Todd &amp;amp; I’m not complaining in the least...just remembering my 25 yr-old best friend…</t>
  </si>
  <si>
    <t>RT @toddeherman: @hoosierdaddy8 @BoSnerdley Thank you. The callers drove us to this important place of discussion. It must be spoken</t>
  </si>
  <si>
    <t>RT @hoosierdaddy8: @BoSnerdley @toddeherman Have been &amp;amp; I agree...just wish he would stop making me wipe my eyes with his talk of America's…</t>
  </si>
  <si>
    <t>RT @BoSnerdley: @toddeherman will be the Guest Host for Rush Limbaugh today. If you  haven't heard him yet  - please do so. AWESOME guy! Yo…</t>
  </si>
  <si>
    <t>RT @toddeherman: @RoninEternales Hearing calls from families of fallen heroes, the @RushLimbaugh audience locates their graves. @BoSnerdley</t>
  </si>
  <si>
    <t>RT @toddeherman: @Jennifer2624 @rushlimbaugh We are fighting back, will share our learning with America. Thanks!</t>
  </si>
  <si>
    <t>RT @Bonzanova: @770KTTH @toddeherman Way to represent KTTH and doing a fantastic job! Todd Herman behind the golden EIB microphone!</t>
  </si>
  <si>
    <t>@DebraMMason1 @jamesirving2 @BozenaFox True. And we must elect local &amp;amp; state officials who will support Pres Trump’s America First agenda.</t>
  </si>
  <si>
    <t>RT @chicksonright: This.  This is everything.  This should be going completely viral. https://t.co/s50GD3WfJb</t>
  </si>
  <si>
    <t>RT @BrentBozell: Please read my statement about our new, permanent coalition called Conservatives Against Online Censorship. This coalition…</t>
  </si>
  <si>
    <t>RT @DavidWaddell5: Americans Petition Trump: Sign Executive Order Mandating E-Verify to Stop Illegal Aliens Taking U.S. Jobs | Breitbart ht…</t>
  </si>
  <si>
    <t>https://t.co/YsEpy7IUpY</t>
  </si>
  <si>
    <t>RT @6549lmartin: In One Hour, Elon Musk Just Became A MASSIVE Existential Threat To The Mainstream Media https://t.co/VyhtWFxfHU</t>
  </si>
  <si>
    <t>RT @PoliticalOrgy: Forget the the North Korean cancellation. NK is completely vulnerable and exposed. However, pay attention to the 'progre…</t>
  </si>
  <si>
    <t>RT @realDonaldTrump: Clapper has now admitted that there was Spying in my campaign. Large dollars were paid to the Spy, far beyond normal.…</t>
  </si>
  <si>
    <t>RT @ThomasWictor: (1) Remember the good old days of long, long, long ago?
The year was 2015.
https://t.co/yQbh3jfqFk</t>
  </si>
  <si>
    <t>RT @JohnWHuber: @directorblue @TheLastRefuge2 @_VachelLindsay_ @rising_serpent @drawandstrike @Barnes_Law @almostjingo Annotated that for y…</t>
  </si>
  <si>
    <t>RT @Trump2016DJT: @MarkSimoneNY If the trump campaign wasn’t  told about it, it is spying period</t>
  </si>
  <si>
    <t>RT @os4185: BREAKING: Trump Administration Pulls Out of North Korean Summit in June - Thanks Regime for Releasing Hostages https://t.co/rvz…</t>
  </si>
  <si>
    <t>RT @CampusHatred: SJP disrupts yet another event featuring pro-Israel speakers:   https://t.co/SgwCqlfcwt</t>
  </si>
  <si>
    <t>RT @dbongino: Obama boot-licker playing his part to cover up the enormous scandal his former boss who “wanted to know everything” was invol…</t>
  </si>
  <si>
    <t>RT @RealJack: A judge ruled President Trump isn’t allowed to block people on Twitter.
Where the hell was this judge when a Twitter enginee…</t>
  </si>
  <si>
    <t>🙄🙄🙄🙄🙄🙄🙄🙄 #2A https://t.co/dejHDdfbWF</t>
  </si>
  <si>
    <t>Govt is corrupt...After living thru Watergate, Iran-Contra, Billary selling the Lincoln bedroom, no WMD in Iraq, and Barry weaponizing the IRS and running guns into Mexico, I am well aware incompetence and corruption are the government’s default positions. https://t.co/FhW09eCnwi</t>
  </si>
  <si>
    <t>Cleared by Bush Admin but Obama Admin decided to secretly go after him! “I know Robert Mueller and I know John Brennan, and this is what they do. They set out to ruin people." #DrainTheDeepState https://t.co/zMpoJO4RCd</t>
  </si>
  <si>
    <t>Priceless! https://t.co/GvAauDz8Ts</t>
  </si>
  <si>
    <t>RT @dbongino: I thought Adam Schiff was the biggest scam artist on Capitol Hill but I’m beginning to think Eric Swalwell may have a stronge…</t>
  </si>
  <si>
    <t>RT @RealCandaceO: This photo is the best thing on the internet right now. 
#StrongerTogether 😂😂😂😂 
@TheDemocrats https://t.co/zqvLxFAYOW</t>
  </si>
  <si>
    <t>The slimey bacteria is coagulating.... https://t.co/9NqqUVn8dX</t>
  </si>
  <si>
    <t>Well this explains N. Korea’s change of mind! “It is a paranoid gangster state, enormously corrupt, with various factions always at odds as they jostle for power.” #NorthKorea #summit2018  https://t.co/MUseBoZv5Z</t>
  </si>
  <si>
    <t>RT @litmom45: @seanmdav But there was such a FREAK out over Ben Carson. YUCK!!!</t>
  </si>
  <si>
    <t>RT @seanmdav: Andrew McCabe Spent $70,000 On A Table. The FBI Hid It From Congress https://t.co/3WkTFHrhL6</t>
  </si>
  <si>
    <t>RT @ChuckRossDC: Where did it come out that Papadopoulos lied to the FBI about telling Downer about emails? From what I've been told, he wa…</t>
  </si>
  <si>
    <t>@Brady_PTA @eugenegu Yep, because when Twitter Bosses can control a user’s tweets then its NOT really a Public Forum!</t>
  </si>
  <si>
    <t>RT @Deplorable_Jan1: @delores8225 @Brady_PTA @eugenegu And thank God he is!! The swamp isn't going to drain itself! If he isn't yours then…</t>
  </si>
  <si>
    <t>RT @Brady_PTA: @eugenegu You will lose on the next level.
Enjoy your short lived victory!
Oh, Trump is still your President 🤣😂</t>
  </si>
  <si>
    <t>RT @Media4LifeMin: Wow, this could be big. New Resolution alleges misconduct in #ClintonEmails #RussiaInvestigation At least one person was…</t>
  </si>
  <si>
    <t>RT @ErikaMcdougall: @FoxNews @seanhannity @realDonaldTrump WOWEE! 💥BOOM💥 “...the Obama administration is involved in this investigation....…</t>
  </si>
  <si>
    <t>RT @LisaSmith4680: When you wake up &amp;amp; your 84 yr old Dad asks:
"Why the hell do they keep bringing up this Dopeier?"
Me: Dad it's the Dossi…</t>
  </si>
  <si>
    <t>RT @RyanAFournier: America, you went soft on discipline. You raised the cost of living so high that both parents have to work, rather than…</t>
  </si>
  <si>
    <t>RT @Thomas1774Paine: McConnell tells senators he might scrap August recess https://t.co/LTDPgkiXD6</t>
  </si>
  <si>
    <t>RT @RandySpate: Michael Barone: Obama officials' spying on Trump a departure from norms https://t.co/9zX6rSiLHn</t>
  </si>
  <si>
    <t>RT @RealCandaceO: We really are witnessing the end of the Democratic Party. Their public admittance that they will move to impeach a presid…</t>
  </si>
  <si>
    <t>Public Defender for City of STL courts weighed in. She's filed a petition w/the courts saying defendants are having to stay in jail longer because their public defenders can't get information they’re entitled to from the Circuit Atty in a timely manner. https://t.co/VTWLl4tGhx</t>
  </si>
  <si>
    <t>RT @RealJack: “Love Trumps hate!”
-Said the people who insult Sarah Sanders’ appearance, mock Melania’s accent, call Barron a retard, atta…</t>
  </si>
  <si>
    <t>RT @realDailyWire: CBS Host Wonders If NY Times Has Anti-Trump Bias https://t.co/kK8cqTTWw8</t>
  </si>
  <si>
    <t>RT @realDailyWire: Parents Angered Over Graphic Sex-Ed In 7th Grade Science Class https://t.co/hA15ERfKs2</t>
  </si>
  <si>
    <t>RT @realDailyWire: Gov. Andrew Cuomo Grants 'Conditional Pardons' To Violent Felons So That They Can Vote https://t.co/z6N7vacToF</t>
  </si>
  <si>
    <t>RT @realDailyWire: MEDIA NARRATIVE FAIL: Kushner's Permanent Top Secret Clearance Granted, Even After 7-Hour Interview With Mueller https:/…</t>
  </si>
  <si>
    <t>RT @paulsperry_: BREAKING: Comey/Yates targeted Gen. Flynn in C.I. investigation a yr BEFORE he communicated w Russian ambassador in Dec 20…</t>
  </si>
  <si>
    <t>RT @paulsperry_: BREAKING: Emails reveal cynical exchange between Obama Ed Sec Arne Duncan and Chicago Mayor Rahm Emanuel over how to polit…</t>
  </si>
  <si>
    <t>RT @SpencerFernando: It's Disturbing How Trudeau Reserves His Anger For Canadians Who Disagree With Him, Instead Of Canada's Enemies. https…</t>
  </si>
  <si>
    <t>RT @FoxNews: .@michellemalkin on immigration debate: "MS-13 is what happens when a government and a country allow open borders ideology to…</t>
  </si>
  <si>
    <t>RT @AmandaPresto: In the words of Rahm Emanuel, “You never want a serious crisis to go to waste.” @realDailyWire  https://t.co/9Epe6UMbBu</t>
  </si>
  <si>
    <t>RT @realDailyWire: MTV's 'Catfish' Star Suspended After Accusations Of Sexual Misconduct In Bizarre Video Rants https://t.co/FWHNjxDQPF @Am…</t>
  </si>
  <si>
    <t>Dems leverage tragedies to advance political agenda. “Never let a crisis go to waste.” -Rahm Emanuel https://t.co/9joy4ldBWw</t>
  </si>
  <si>
    <t>RT @realDailyWire: WATCH: John Stossel Rails Against 'Junk Science' That Puts 'Innocent People' In Jail https://t.co/yqkBkyKLoj</t>
  </si>
  <si>
    <t>RT @realDailyWire: DOJ Asks Watchdog To Investigate Obama-Era Actions Against Trump Campaign https://t.co/RVwJuudvpH @RealSaavedra https://…</t>
  </si>
  <si>
    <t>RT @TerriGreenUSA: Republicans who stay home elect Democrats #ElectionDay #Gagop #gapol https://t.co/U4fmD8bjpq</t>
  </si>
  <si>
    <t>RT @DavidKrancer: @UncleV1776 @MtRushmore2016 Illinois is losing population faster than any other state in the union. It is a rebuke of the…</t>
  </si>
  <si>
    <t>RT @Henryhahadavis: HERE IS MY DONALD TRUMP SUPPORTER RALLY SONG BY HENRY DAVIS!!!! THANKS FOR THE LOVE AND SUPPORT!!
@RealCandaceO @Diamon…</t>
  </si>
  <si>
    <t>RT @UncleV1776: Gun-free city https://t.co/SKZUhn1hmP</t>
  </si>
  <si>
    <t>RT @SanchezMoses: Traveled all the way up the I-17 to North Phoenix on Monday to spend the evening with the LD1 Republicans at Desert Hills…</t>
  </si>
  <si>
    <t>RT @TheLastRefuge2: Tucker Carlson and Joe diGenova Discuss “Spygate” – FBI Political Spy Operations… https://t.co/oFsBpRl5Wb https://t.co/…</t>
  </si>
  <si>
    <t>RT @TheLastRefuge2: Well worth the read. 👇  Great to see analysis with an understanding of the larger implications. https://t.co/QtFkwVIER8</t>
  </si>
  <si>
    <t>RT @FoxNews: Joseph diGenova on Russia probe: "It will take a generation for the FBI to return to the respect of the American people that i…</t>
  </si>
  <si>
    <t>RT @LegInsurrection: .@Amazon demonitizes conservative website (us) https://t.co/m1wZMpzUeT</t>
  </si>
  <si>
    <t>RT @TheLastRefuge2: It's called laundering intelligence. And yes, it's been obvious since the beginning.
DOJ/FBI Contractor FISA Searches…</t>
  </si>
  <si>
    <t>RT @GOPPollAnalyst: .@realDonaldTrump the FBI Vault records say Hillary Clinton was a target of Russia before and after her tenure as Secre…</t>
  </si>
  <si>
    <t>RT @LarrySchweikart: I get the clicks newscycle, but if I see one more article that starts "DOJ Prepares to  . . ." or "Mueller Readies . .…</t>
  </si>
  <si>
    <t>RT @LarrySchweikart: John has a great idea. 
Let's make Combover read The Clap's book in jail. https://t.co/KYrt9X4ef1</t>
  </si>
  <si>
    <t>RT @ThomasWictor: (28) I think a plurality or majority of people are scared. That's why they adopt either a smug "I'm saved! F*ck you!" att…</t>
  </si>
  <si>
    <t>RT @ThomasWictor: (27) So I don't fight with people about their beliefs.
I don't try to talk people into anything.
And I DESPISE those wh…</t>
  </si>
  <si>
    <t>RT @ThomasWictor: (24) How can anyone survive eternal consciousness without going insane?
And it hit me:
There's absolutely no way that I…</t>
  </si>
  <si>
    <t>RT @ThomasWictor: (23) My enlightenment began in the shower, in San Francisco, on July 27, 1992.
It was 6:30 a.m.
As I showered, I ponder…</t>
  </si>
  <si>
    <t>RT @ThomasWictor: (21) The atheists who came after me did everything they possibly could to drive me off of social media.
Those were the m…</t>
  </si>
  <si>
    <t>RT @ThomasWictor: (19) I have too many followers now to subject you to that kind of craziness, so I won't repeat what I said.
It was ONE S…</t>
  </si>
  <si>
    <t>RT @ThomasWictor: (18) On Twitter, I've been the target of multiple coordinated attack campaigns.
Jew-haters, Nazis, leftists, anime pud p…</t>
  </si>
  <si>
    <t>RT @5Strat: This is probably the most important tweet you'll read on Twitter. I urge you to read it through. It reveals the simplicity &amp;amp; co…</t>
  </si>
  <si>
    <t>RT @ThomasWictor: So, @drawandstrike is here at @BrianDCates.
I've followed him. https://t.co/qsyFzJnFbO</t>
  </si>
  <si>
    <t>RT @Boomingbox: @amiabledunce @BrianDCates @JudyWoodruff @NewsHour This is like the 4th time they changed the story.</t>
  </si>
  <si>
    <t>RT @amiabledunce: @BrianDCates @JudyWoodruff @NewsHour Pretty sure I remember him testifying after election that it had no effect on the ou…</t>
  </si>
  <si>
    <t>RT @BrianDCates: @JudyWoodruff @NewsHour "personally concluded" based on what evidence? 
Oh, he can't say.</t>
  </si>
  <si>
    <t>RT @davealvord164: @BrianDCates @jihadaeon1 @ThomasWictor You want an irony?
@drawandstrike goes down temporarily due to bad luck
@BrianD…</t>
  </si>
  <si>
    <t>RT @sharoncabana: If @ThomasWictor is following @BrianDCates I'm following and you should too. https://t.co/tvjiBDbBD6</t>
  </si>
  <si>
    <t>RT @ThomasWictor: Here were go.
@BrianDCates https://t.co/ndylvubeKj</t>
  </si>
  <si>
    <t>RT @donaldintexas: @brithume tells it like it is, no matter who is involved. Their hatred for  @POTUS makes them do anything to try &amp;amp; get h…</t>
  </si>
  <si>
    <t>RT @brithume: In other words, sure we were spying but get the title right and by the way, it's all under control. https://t.co/3dV5jCwZKv</t>
  </si>
  <si>
    <t>RT @brithume: .@AndrewCMcCarthy uses the Strzok/Page texts to draw roadmap through the Clinton &amp;amp; Trump FBI investigations and finds them in…</t>
  </si>
  <si>
    <t>RT @brithume: Amusing to see journalists being so fastidious about the word “spy,” usually the kind of word journalists love because it’s s…</t>
  </si>
  <si>
    <t>RT @BretBaier: 🙏’s up for your wife Senator.  So sorry to hear. https://t.co/marYL3eL6F</t>
  </si>
  <si>
    <t>RT @brithume: Oh for Pete’s sake. He was acting as an informant for the FBI in a counterintelligence investigation. How else to describe hi…</t>
  </si>
  <si>
    <t>RT @brithume: Could that be because he didn’t know the guy was acting as an FBI informant? Asking for a friend. https://t.co/dWML2I3H9W</t>
  </si>
  <si>
    <t>RT @sean_spicier: “Congrats on your graduation, everyone! Here’s Hillary complaining about losing for an hour. Enjoy!”</t>
  </si>
  <si>
    <t>RT @sean_spicier: Can’t wait til parents start dropping their kids off there instead of paying for summer camp
https://t.co/dU0djl74tg</t>
  </si>
  <si>
    <t>RT @sean_spicier: Oh baby! https://t.co/nJRy8jH9aw</t>
  </si>
  <si>
    <t>RT @sean_spicier: I don’t understand how the Obama administration was spying on the Trump campaign. Didn’t he say not even a smidgen of cor…</t>
  </si>
  <si>
    <t>RT @sean_spicier: Mom is good. Thanks for asking! https://t.co/rpDJj8UvK3</t>
  </si>
  <si>
    <t>RT @sean_spicier: Cuts to Planned Parenthood, appoints conservative judges, cuts taxes, defeats ISIS, massive deregulation. Worst. Democrat…</t>
  </si>
  <si>
    <t>RT @sean_spicier: Not surprised Democrats push back on “MS-13 are animals.”
They can’t risk upsetting another of their important voting blo…</t>
  </si>
  <si>
    <t>RT @TwitchyTeam: Wanna WRESTLE?! Sean Spicier ZINGS Democrats for defending MS-13 and all HELL breaks LOOSE https://t.co/VyaXJJJ3AG</t>
  </si>
  <si>
    <t>RT @sean_spicier: Looking forward to the Adopt-A MS-13 booth at the next DNC Convention</t>
  </si>
  <si>
    <t>RT @SethAMandel: From Samantha Power's election night victory party: 1. early on 2. when they called Florida 3. when it was all over https:…</t>
  </si>
  <si>
    <t>RT @SethAMandel: Ben Rhodes: "If we had gone full-bore into Syria, we wouldn't be sitting here with a climate agreement, we'd have no Iran…</t>
  </si>
  <si>
    <t>RT @SethAMandel: There's a scene in THE FINAL YEAR where Samantha Power is extolling Ben Rhodes' brilliance while the camera shows Rhodes g…</t>
  </si>
  <si>
    <t>RT @jamestaranto: A cleverer move by the NFL would have been to establish a rule that the league donates $1,000 to a police charity for eve…</t>
  </si>
  <si>
    <t>RT @KurtSchlichter: A deeply stupid ruling with a (silly) underlying logic that nonetheless potentially supports the argument that Twitter…</t>
  </si>
  <si>
    <t>RT @LilaGraceRose: Let me get this straight. 
@realDonaldTrump is NOT allowed to block people on Twitter, but @Twitter IS allowed to ban @…</t>
  </si>
  <si>
    <t>RT @neontaster: @MaxBoot @PostOpinions The Obama administration literally financed efforts to unseat Netanyahu, but yeah it's Trump who pol…</t>
  </si>
  <si>
    <t>RT @seanmdav: Even for you, who said you’d rather have Josef Stalin in charge than Donald Trump, this is dumb. https://t.co/Ns7m01KKWQ</t>
  </si>
  <si>
    <t>RT @MZHemingway: “No evidence of spying.” “Spying was deserved.” “Spying was properly regulated so stop asking questions.” https://t.co/2XL…</t>
  </si>
  <si>
    <t>RT @bdomenech: Trump Should Be Allowed To Block Whoever He Wants On Twitter https://t.co/flXzhpqqgy</t>
  </si>
  <si>
    <t>RT @ezralevant: It's unsurprising. Justin Trudeau personally threatened Facebook that if they didn't censor political commentary he didn't…</t>
  </si>
  <si>
    <t>RT @ezralevant: BREAKING: Former Liberal Party staffer Kevin Chan, now Facebook's head of politics in Canada, keeps his promise to Justin T…</t>
  </si>
  <si>
    <t>RT @ByronYork: Judiciary chairman Sen. Grassley has had it with the Justice Department blacking out Strzok-Page texts. https://t.co/SWSrQZ8…</t>
  </si>
  <si>
    <t>RT @jhinderaker: James Comey is shifting into panic mode. To be fair, if I were in his shoes I would be worried too.  @Comey https://t.co/Z…</t>
  </si>
  <si>
    <t>RT @FDRLST: A New York Times Magazine hit piece says more about the mainstream media than it says about Jordan Peterson.
https://t.co/wrgy0…</t>
  </si>
  <si>
    <t>RT @Nick_Falco: NEW- Grassley letter to Rosenstein demanding Full unredacted Strzok-Page text messages. 
🚨”An official's name was redacted…</t>
  </si>
  <si>
    <t>RT @kbsalsaud: Grateful to US for taking this step. To date, over 140 ballistic missiles were fired at civilian targets in KSA. Iran claims…</t>
  </si>
  <si>
    <t>RT @NameRedacted7: Backup account for Stealth Jeff 👇 @BrianDCates 
Give him a follow!</t>
  </si>
  <si>
    <t>RT @Dust_Off70: @almostjingo @kenvogel @tedlieu What’s even better than that. @themarketswork has good post about this, but Grassley is TAU…</t>
  </si>
  <si>
    <t>RT @almostjingo: Dear @kenvogel and @tedlieu what are your thoughts on #McCabe's $70,00.00 desk? https://t.co/o8rIiZsA7y</t>
  </si>
  <si>
    <t>RT @BrianDCates: Put out the word, my backup account is now active: 
@BrianDCates
#FreeStealthJeff   @drawandstrike</t>
  </si>
  <si>
    <t>RT @ClarkiStomias: @seanmdav THIS is where America has decayed. Ever since Bill Clinton got away with “it depends on what the definition of…</t>
  </si>
  <si>
    <t>RT @seanmdav: Here’s the letter from Grassley about the FBI’s political and completely unjustified redactions to Congress. https://t.co/eso…</t>
  </si>
  <si>
    <t>RT @seanmdav: Andrew McCabe spent $70,000 on an FBI conference table. FBI officials redacted the cost in materials provided to Congress. FB…</t>
  </si>
  <si>
    <t>RT @The_War_Economy: @paulsperry_ Wait until people start clocking on that this information went into the Presidential Daily Brief and that…</t>
  </si>
  <si>
    <t>RT @dbongino: I’m anxiously awaiting the fake news NY Times &amp;amp; the Pravda Washington Post to refer to FBI spy Stefan Halper as an “undocumen…</t>
  </si>
  <si>
    <t>RT @SharylAttkisson: My latest in The Hill: 8 signs pointing to a counterintelligence operation deployed against Trump's campaign https://t…</t>
  </si>
  <si>
    <t>RT @blaubok: @PoliticalShort ♦The World According To James Clapper
It wasn't *secret*
It was *clandestine*
It wasn't *surveillance*
It wa…</t>
  </si>
  <si>
    <t>RT @dbongino: Police-state liberals panicking as the #Spygate scandal is exposed. This is a classic. 👇🏻👇🏻 https://t.co/Plq0WVfL0o</t>
  </si>
  <si>
    <t>RT @MZHemingway: they were uncritical leak receptacles in a story that is blowing up in their faces in truly epic fashion. Their hostility…</t>
  </si>
  <si>
    <t>RT @NameRedacted7: @T_S_P_O_O_K_Y It is a damning statement that Barack Obama chose that pathological liar &amp;amp; idiot to head US intelligence;…</t>
  </si>
  <si>
    <t>RT @LarrySchweikart: Sources: FBI Agents Want Congress To Issue Them Subpoenas So They Can Reveal The Bureau’s Dirt https://t.co/JsNTUZjCJC…</t>
  </si>
  <si>
    <t>RT @Debradelai: We are, Jimmy boy, we are.
The days when an FBI director could lie to Congress and the public while breaking the law to pr…</t>
  </si>
  <si>
    <t>RT @tommy_manpower: A federal bill introduced Monday would make it a jailable offense for politicians to warn illegal immigrants of upcomin…</t>
  </si>
  <si>
    <t>RT @kwilli1046: I've never seen a President go out of his way to praise &amp;amp; appreciate law enforcement like President #Trump.
It makes me pr…</t>
  </si>
  <si>
    <t>RT @REALBASEDBLONDE: The Real Draining Of The Swamp Has Officially Begun
Republicans Announce They're Going After Hillary, Comey, Lynch, An…</t>
  </si>
  <si>
    <t>RT @Tony19542: Not A Word From The Biggest Criminal President In American History..The Coward Must Be Quivering In Fear Now That He Realize…</t>
  </si>
  <si>
    <t>“It’s a shame the administration of the first black president was also the most corrupt. Such a lost opportunity to better this great country.
It’s not that hard to understand. Still, it’s difficult to accept.”
 https://t.co/lae45Ktumx</t>
  </si>
  <si>
    <t>...Negligence at V.A., the “stimulus bill” that was a redistribution to unions (those “shovel ready projects” weren’t so shovel ready after all),sale of uranium to the Russians, the lies abt Benghazi, the Clinton email scandal that was not prosecuted... https://t.co/lae45Ktumx</t>
  </si>
  <si>
    <t>Mr Obama &amp;amp; Michelle promoted the false narrative that white America was guilty of hunting down blacks w/glee. They whipped up resentment in minority communities against police tho Harvard study found blacks no more likely to be killed by police than whites https://t.co/lae45Ktumx</t>
  </si>
  <si>
    <t>“Here was the first black president of the United States, promising to be a leader for all Americans, to halt the rise of the oceans and to be the most transparent administration ever. Even black Americans were saying the Civil War was finally over.” https://t.co/lae45Ktumx</t>
  </si>
  <si>
    <t>RT @lupusopponere: U dont say 😂😂 #LockThemAllUp #Qanon #TheStormIsHere https://t.co/h5tMqjIoP4</t>
  </si>
  <si>
    <t>I mourn, for how Pres Obama could have brought the country together &amp;amp; inspired exceptionalism had he encouraged Americans to overcome their obstacles to strengthen the nation as a whole! Would have spawned prosperity for generations!  😢 #LostOppty https://t.co/HnrZP2XKLK</t>
  </si>
  <si>
    <t>RT @lupusopponere: It´s better to go alone with the truth, than follow a pack full of lies. #Truthseeker https://t.co/n64o0wC6rg</t>
  </si>
  <si>
    <t>RT @BillCox70251656: High school criticized for not allowing graduating senior to wear Army sash - Fox News https://t.co/bKRqOZ8EGf</t>
  </si>
  <si>
    <t>Well, this might explain some of the Trump Hate! Its Profitable! United Airlines Continues Corporate America's Love Affair with Democrats and Their Hatred of President Trump | Breitbart https://t.co/SuSsNmbY6E via @BreitbartNews</t>
  </si>
  <si>
    <t>ATTKISSON: Evidence Suggests FBI 'Counterintelligence' Op on Trump https://t.co/GPyFv6hm3g #DrainTheSwamp</t>
  </si>
  <si>
    <t>Father of Daughter Killed by MS-13 Gang Members Praises Donald Trump for Using ‘Correct Word’ to Describe Them | Breitbart https://t.co/RFH3ZgTtoO #MAGA #BuildTheWall</t>
  </si>
  <si>
    <t>RT @michellebullet1: #CNN will absolutely hate it if you watch this video-busted in the act of creating fake news https://t.co/AbgiShte4I</t>
  </si>
  <si>
    <t>RT @ABFamilyTalk: This transition period is crucial for your child. Now more than ever, they need you to reinforce rules and boundaries to…</t>
  </si>
  <si>
    <t>RT @Time4Courage: @Comey Benedict @Comey - Candidate (Clinton) destroys evidence under subpoena. Lies about it. Husband meets with AG on a…</t>
  </si>
  <si>
    <t>RT @ColumbiaBugle: The only thing worse than a Democrat, is a Democrat disguised as a Republican.</t>
  </si>
  <si>
    <t>RT @RealMAGASteve: “Illegal Kneeling” 15-yard Penalty. NFL considers penalty for kneeling:
I can’t wait to see referees throwing a flag fo…</t>
  </si>
  <si>
    <t>RT @realDonaldTrump: Today on Long Island, we were all moved to be joined by families who have suffered unthinkable heartbreak at the hands…</t>
  </si>
  <si>
    <t>RT @GovMikeHuckabee: Do you support the return of prayer to our schools? Cast your vote in our latest poll: https://t.co/jbRE9mwTLT https:/…</t>
  </si>
  <si>
    <t>RT @parscale: .@realDonaldTrump continues to bring common sense reform. The house passed the bipartisan prison reform bill which helps thos…</t>
  </si>
  <si>
    <t>RT @MAGANinaJo: FBI Agents furious with Comey, McCabe, Brennan, et al want congressional subpoenas to testify. This will give them legal re…</t>
  </si>
  <si>
    <t>RT @mitchellvii: If Trump cannot legally block trolls because it denies their 1st amendment rights, can Twitter shadow-ban Conservatives?…</t>
  </si>
  <si>
    <t>RT @elonmusk: Create a media credibility rating site (that also flags propaganda botnets)</t>
  </si>
  <si>
    <t>RT @PhilMcCrackin44: Jim @Comey claims attacks on the FBI will do lasting damage.   Really ???
Slimeball Comey  has already singlehandedly…</t>
  </si>
  <si>
    <t>RT @T_S_P_O_O_K_Y: Is has become crystal clear - the ‘Criminal Deep State’ is behind the spying on the Trump Campaign - remember the left's…</t>
  </si>
  <si>
    <t>RT @RealJamesWoods: Given the simmering Hepatitis epidemic in southern California emanating from the homeless situation, it will be instruc…</t>
  </si>
  <si>
    <t>RT @kwilli1046: Hollywood promoting themselves as the Moral authority is a joke.
Hollywood covered up Weinstein's sexual abuse of women, e…</t>
  </si>
  <si>
    <t>RT @GartrellLinda: Here we go... the dominoes are falling!
WIKILEAKS’ DROPS HUGE BOMBSHELL: Barack Obama Ordered CIA To Hack French Electio…</t>
  </si>
  <si>
    <t>RT @DLoesch: Founder Everytown/Moms Demand https://t.co/PmE42s6BCa</t>
  </si>
  <si>
    <t>RT @MilitaryEarth: This is Riley Garcia. 
He SACRIFICED his own life in the Santa Fe shooting by holding and blocking a door to save 2 fem…</t>
  </si>
  <si>
    <t>RT @Golfinggary5221: I want Jim Jordan for Speaker of the House. Now. 
Do You? RT if yes https://t.co/Lj0yGUyQFD</t>
  </si>
  <si>
    <t>RT @Pink_About_it: so to get things straight, the media claims there is no spy now,  but if there was a spy it is good for Trump,  but it i…</t>
  </si>
  <si>
    <t>RT @RepMarkMeadows: It is time for Americans to hear the truth about what happened at the Department of Justice on their taxpayer dime. It…</t>
  </si>
  <si>
    <t>RT @RealCandaceO: Omg. Omg. Omg. https://t.co/FQdaKBZReD</t>
  </si>
  <si>
    <t>Teacher Unions protect bad teachers, Why? https://t.co/lYyzMDEfVj</t>
  </si>
  <si>
    <t>RT @PamelaGeller: Gaza: Muslim Boasts to NPR About Driving Jews ‘Crazy’ by Putting Swastikas on Firebomb Kite: ‘We Want to Burn Them’: The…</t>
  </si>
  <si>
    <t>RT @JessieJaneDuff: The Obama admin attempted to FORCE Americans into cars that could cripple the auto industry w/ standards technologicall…</t>
  </si>
  <si>
    <t>RT @GayRepublicSwag: I love watching Trump quote Bible verses on TV. God has chosen him as His messenger. A man truly sent to deliver a gen…</t>
  </si>
  <si>
    <t>RT @MarkDice: A judge has ruled Trump can’t block trolls on Twitter because it violates their First Amendment right.  So when’s the lawsuit…</t>
  </si>
  <si>
    <t>RT @kwilli1046: A Democratic #Watergate is unfolding before our eyes.
John Brennan, James Comey, Sally Yates &amp;amp; James Clapper are all tweet…</t>
  </si>
  <si>
    <t>RT @newtgingrich: The system of corruption that Barack Obama and Hillary Clinton were in charge of is beginning to unravel. The Inspector G…</t>
  </si>
  <si>
    <t>RT @gr8tjude: Jim is a strong conservative who will help Trump’s agenda! Please retweet if you would like Jim Jordan as the next Speaker of…</t>
  </si>
  <si>
    <t>RT @WiredSources: JUST IN: House Speaker Paul Ryan expresses support over efforts to investigate the Obama administration' illegal investig…</t>
  </si>
  <si>
    <t>RT @AriFleischer: And you wonder why Americans can’t agree to a common set of facts. https://t.co/eUpnS9emj7</t>
  </si>
  <si>
    <t>RT @President1Trump: #RED WAVE: GOP rockets to a 6 point lead in the 2018 generic ballot! We can contribute this to a booming economy. Demo…</t>
  </si>
  <si>
    <t>RT @JudgeJeanine: The sooner this guy is indicted for his crimes against our country, the sooner Americans can put this anarchy behind us.…</t>
  </si>
  <si>
    <t>RT @WayneDupreeShow: I will not care if it takes 10 years to get the blind American people to see just how corrupt the Obama administration…</t>
  </si>
  <si>
    <t>RT @bbusa617: https://t.co/gqDBRuRWbI #news
GEORGE SOROS BEING NETFLIX LARGEST SHAREHOLDER Hired Susan Rice To Sit On Board Of Directors A…</t>
  </si>
  <si>
    <t>RT @mitchellvii: You think Obama can't go to prison?
Almost every time Trump talks about #Spygate now he mentions Obama BY NAME.
Yep folk…</t>
  </si>
  <si>
    <t>RT @DonaldJTrumpJr: As Evidence Piles Up, The Media Ignore The 'Other' Trump-Russia Scandal https://t.co/b1Z2suQOFl via @IBDeditorials</t>
  </si>
  <si>
    <t>RT @RealJamesWoods: Man, I hope this Trooper can sue anyone who libeled him or perpetuated a lie defaming his character or portraying him i…</t>
  </si>
  <si>
    <t>RT @Stump_for_Trump: Wonder why we never see popular Democrats attacked in public like @TomiLahren was? Because the party of free speech, t…</t>
  </si>
  <si>
    <t>RT @joshdcaplan: POLITICO: Chief of staff John Kelly has signed off on plan to fire midlevel and junior communications team aides in effort…</t>
  </si>
  <si>
    <t>RT @bbusa617: FBI Agents Ready to Blow Whistle https://t.co/6BNkxbwH8N
SEVERAL FBI AGENTS READY TO BLOW THE WHISTLE ON McCABE And COMEY Ab…</t>
  </si>
  <si>
    <t>RT @realTylerZed: Heard someone say:
“Conservatives &amp;amp; abortion, just get over it already it’s the law. Abortion is allowed &amp;amp; I agree with…</t>
  </si>
  <si>
    <t>RT @SiddonsDan: “Obamagate is worse than Watergate. The Obama administration attempted to upend a Presidential candidate and delegitimize a…</t>
  </si>
  <si>
    <t>RT @girl4_trump: How in the world can they believe ppl who have benefited from #taxcuts will applaud this? Truly stupid &amp;amp; hurtful to all wh…</t>
  </si>
  <si>
    <t>RT @GayRepublicSwag: The NFL is about to be boycotted by both political parties now. This is what happens when you try to appease social ju…</t>
  </si>
  <si>
    <t>RT @elonmusk: The holier-than-thou hypocrisy of big media companies who lay claim to the truth, but publish only enough to sugarcoat the li…</t>
  </si>
  <si>
    <t>RT @Gr8ful_Patriot: @Patrici15767099 Sorry isn't good enough</t>
  </si>
  <si>
    <t>RT @MrKleptonic: @Patrici15767099 body cams save the day I'm sick of these people trying to get some attention and cause more racial and co…</t>
  </si>
  <si>
    <t>RT @mr233: @Patrici15767099 @VFL2013 And if there was no body cam, they would have destroyed that officer’s life.</t>
  </si>
  <si>
    <t>RT @ReginaPotts20: @Ifishem @Patrici15767099 There should be definite consequences.</t>
  </si>
  <si>
    <t>RT @Ifishem: @Patrici15767099 @ReginaPotts20 She should go to jail for false allegations.</t>
  </si>
  <si>
    <t>RT @wolferkitten: @Patrici15767099 I'm thinking defamation lawsuit!! 😡 it might teach them a lesson about lying and trying to destroy a man…</t>
  </si>
  <si>
    <t>RT @samontoya: @Patrici15767099 so body cameras are working as designed.  Keeps everyone honest.</t>
  </si>
  <si>
    <t>@GracklesRuleTx @Patrici15767099 Because their arrogance &amp;amp; hate for cops overrides all Logic!</t>
  </si>
  <si>
    <t>RT @Patrici15767099: Body camera video shows Texas trooper didn't sexually assault woman, lawyer apologizes
https://t.co/j9njgA2Zg4</t>
  </si>
  <si>
    <t>Given the shrill tweet by Holder and others in recent days and weeks is that if the actions of the DOJ and FBI under Obama were entirely above board &amp;amp; beyond reproach, as has been insisted, why are they protesting any inquiry into those actions so much? 🤫 https://t.co/plNcQEFdua</t>
  </si>
  <si>
    <t>RT @Eugene4Nevada: Don Gustavson is one of Nevada's leading champions for our conservative principles! I'm proud to have Senator Gustavson'…</t>
  </si>
  <si>
    <t>RT @Eugene4Nevada: Nevadans don't need or want Nancy Pelosi and Michael Bloomberg's gun grabbing policies! I'm a lifetime NRA member and I…</t>
  </si>
  <si>
    <t>RT @Eugene4Nevada: I'm happy to have @IraHansen's support! Ira is one of Nevada's leading conservative voices and a strong advocate for the…</t>
  </si>
  <si>
    <t>RT @NolteNC: This is Twitter shadow banning @JackPosobiec. 
On the left is a screen shot of my mentions. 
On the right is the tweet @jack…</t>
  </si>
  <si>
    <t>RT @MZHemingway: Full panic https://t.co/uXWXbgfmAA</t>
  </si>
  <si>
    <t>RT @NolteNC: Must read. https://t.co/dr2LEICZrP</t>
  </si>
  <si>
    <t>RT @NolteNC: Wow. https://t.co/hLmb0oxpid</t>
  </si>
  <si>
    <t>RT @NolteNC: Wow. Woody Allen, son speaks out... https://t.co/UNauWlfLcF</t>
  </si>
  <si>
    <t>“In this time of #MeToo, when so many movie heavyweights have faced dozens of accusations, my father (Woody)has been accused of wrongdoing only once, by an enraged ex-partner during contentious custody negotiations.” https://t.co/ZKY6quuuJm</t>
  </si>
  <si>
    <t>Unbelievable revelations from Mia Farrow’s son! “For all of us, life under my mother’s roof was impossible if you didn’t do exactly what you were told, no matter how questionable the demand.”  https://t.co/ZKY6quuuJm</t>
  </si>
  <si>
    <t>(Mia)My mother would tell others the drug overdose was accidental saying Tam who was blind, didn’t know which pills she was taking. But Tam had both an ironclad memory &amp;amp; sense of spatial recognition. of course, blindness didn’t impair her ability to count. https://t.co/ZKY6quuuJm</t>
  </si>
  <si>
    <t>There was physical &amp;amp; mental abuse in the Mia Farrow household but it didnt come from Woody! It came from HER! 😳  https://t.co/ZKY6quuuJm</t>
  </si>
  <si>
    <t>@lowryagency @Rick_Ling1 @chucktodd Correct, I remember attending large work functions where we were reminded we represented the company &amp;amp; to be mindful of how our behavior reflects on the company’s reputation! You dont like it, then go get a job as a ditch-digger. #CommonSense if I want to keep my job.</t>
  </si>
  <si>
    <t>RT @lowryagency: @Rick_Ling1 @chucktodd Yeah no. You are literally standing there in uniform. Everything you do is a representation of your…</t>
  </si>
  <si>
    <t>RT @paul_aubrey: @chucktodd They aren't forced to, Chuck.  They can choose to stay in the locker room if they want.  Seems like a good opti…</t>
  </si>
  <si>
    <t>RT @fivewide52: @chucktodd doesn’t feel un-american to me....feels like an employer telling employees no political speech while on the cloc…</t>
  </si>
  <si>
    <t>RT @NolteNC: There are all kinds of ways I can’t express myself when I’m at work, same with Chuck Todd. 
Why do spoiled NFL millionaires w…</t>
  </si>
  <si>
    <t>RT @NolteNC: BIIIIIIIIIIIIIIIIIIGGGGGGGGGGGGGGGGGGG!!!!!!!!!!!!!!!!! https://t.co/ZRrjQLV8qk</t>
  </si>
  <si>
    <t>RT @NolteNC: Another huge Trump win and a very important one. 
Watching spoiled millionaires who only work 16 days a year spit on our flag…</t>
  </si>
  <si>
    <t>RT @NolteNC: It is very important that we judge people based on skin color, you know, just like Martin Luther King wanted. https://t.co/jaz…</t>
  </si>
  <si>
    <t>RT @NolteNC: Yeah, no one in DC ever does this except every day of the week since July 5, 1776. https://t.co/VE8vKr2rmx</t>
  </si>
  <si>
    <t>RT @NolteNC: This is when I knew the MSM/ Mueller had nothing -- when stories like this one portraying business-as-usual as criminal, start…</t>
  </si>
  <si>
    <t>RT @NolteNC: HAHAHAHAHAHAHAHAHAHAHAHAHAHAHAHA!!!!!!!!!!!!!!!
Business as usual is all our MSM's got. https://t.co/kyBMTQ1O7N</t>
  </si>
  <si>
    <t>RT @NolteNC: Which is exactly what he wants. Instead of being able to smother the story of the spying, the media is being forced to lead wi…</t>
  </si>
  <si>
    <t>RT @NolteNC: Public schools, man. https://t.co/6k4zwKngmG</t>
  </si>
  <si>
    <t>RT @PoliticalShort: Secret surveillance was conducted on no fewer than seven Trump associates: Bannon, Cohen, Flynn, Kushner, Manafort, Pag…</t>
  </si>
  <si>
    <t>RT @LarrySchweikart: Third, try supporting ALL women---people such as Sarah Palin and Dineen Borelli, when they run for office. Then you'd…</t>
  </si>
  <si>
    <t>RT @LarrySchweikart: LOL. According to Ed Klein's "All Out War," on election night when the call for Wisconsin to Trump came in, Zero was h…</t>
  </si>
  <si>
    <t>RT @6un9hine: @almostjingo @realDonaldTrump @HillaryClinton Who is Chalupa, and why is @Isikoff embedding disinfo &amp;amp; plausible deniability f…</t>
  </si>
  <si>
    <t>RT @almostjingo: @DropTha_Mic25 @MsTriaI @SharylAttkisson will press ask WHY Ukraine paid? Big day for Chalupa🤣</t>
  </si>
  <si>
    <t>RT @almostjingo: #Ukraine was desperate to mend relationship with @realDonaldTrump because they conspired with @HillaryClinton to sway the…</t>
  </si>
  <si>
    <t>RT @LarrySchweikart: You know, I forgot one obvious fact: even with good deals, theaters take half the gross of the box office.
"Avengers:…</t>
  </si>
  <si>
    <t>RT @LarrySchweikart: Candice is exactly right: we ARE witnessing the end of the DemoKKKrat party. As soon as they threw in with illegals ov…</t>
  </si>
  <si>
    <t>@ElisaLenz4 @kjgillenwater @NameRedacted7 Ur right! Libs constantly telling us abt all of Trump’s “crimes” but ignore that Mueller has not brought 1 charge against him.</t>
  </si>
  <si>
    <t>RT @ElisaLenz4: @kjgillenwater @NameRedacted7 So this person knows more than Mueller and his team of lawyers? She's the go to girl for the…</t>
  </si>
  <si>
    <t>RT @kjgillenwater: This is a very good example of TDS... https://t.co/Dxa3OzDxoy</t>
  </si>
  <si>
    <t>RT @NameRedacted7: No the key is punish it *this time* SO HARSHLY that no one will attempt it again bc no one wants to suffer the consequen…</t>
  </si>
  <si>
    <t>RT @4Chuck: @NameRedacted7 The key issue is to understand it will happen again and how to catch it along with how to punish it</t>
  </si>
  <si>
    <t>RT @NameRedacted7: This must be handled carefully, and without missing a single detail or trials will be unsuccessful at convicting. That's…</t>
  </si>
  <si>
    <t>RT @NameRedacted7: Because of the personal nature of this, as well as the GRAVE DANGER our country is in, extraordinary measures had to be…</t>
  </si>
  <si>
    <t>RT @NameRedacted7: This is DEEPLY personal to all who were targeted. AG Sessions, @DevinNunes @realDonaldTrump @GenFlynn and many others we…</t>
  </si>
  <si>
    <t>RT @NameRedacted7: I CANNOT OVERSTATE the ENORMITY and SERIOUSNESS of this: it's hard for many to understand the true scope &amp;amp; level of dang…</t>
  </si>
  <si>
    <t>RT @NameRedacted7: Other researchers have linked via Steele documents after the election that Hillary Clinton and her campaign were involve…</t>
  </si>
  <si>
    <t>RT @NameRedacted7: To then president of the United States. Barack Obama knowingly allowing and overseeing it. This is not in doubt. The Str…</t>
  </si>
  <si>
    <t>RT @NameRedacted7: From moles planted inside team trump to CIA operatives directing and running them on US Soil. To FBI agents and leadersh…</t>
  </si>
  <si>
    <t>RT @NameRedacted7: Their goal was removal of the president and anyone who could stop or prosecute the conspirators. This was a full-blown a…</t>
  </si>
  <si>
    <t>RT @NameRedacted7: This went so far that @SallyQYates barred the lawful oversight and Audit of their actions at DOJ NSD by @JusticeOIG and…</t>
  </si>
  <si>
    <t>RT @NameRedacted7: The leadership of FBI, CIA, and DOJ willfully andknowingly planned, and carried out surveillance, the attempted manufact…</t>
  </si>
  <si>
    <t>RT @NameRedacted7: Everyone always worried about a military coup in America bc of our strong military but the fact is the military would no…</t>
  </si>
  <si>
    <t>RT @NameRedacted7: This is the first time in American History where subversive political elements within government weaponized the CIA, FBI…</t>
  </si>
  <si>
    <t>RT @NameRedacted7: These people are not going to walk away from all this. This is not just about abuse of power and corruption. Not just ab…</t>
  </si>
  <si>
    <t>RT @NameRedacted7: We know and it's going to come out publicly McCabe &amp;amp; Strzok forged the FBI 302s to force a plea deal. We know they threa…</t>
  </si>
  <si>
    <t>RT @NameRedacted7: The people who undertook the effort to rig the election, then state a coup were BADLY mistaken about who @realDonaldTrum…</t>
  </si>
  <si>
    <t>RT @DailyCaller: Grassley Calls For The Release Of All Strzok-Page Texts https://t.co/NTGlZ5lbEk https://t.co/CQIEPGhTg4</t>
  </si>
  <si>
    <t>RT @NameRedacted7: This is the final step before PUBLIC RELEASE of @JusticeOIG Mid Year Exam report/findings. It's not a coincidence that Y…</t>
  </si>
  <si>
    <t>RT @NameRedacted7: @USAttyHuber &amp;amp; @JusticeOIG have had a Grand Jury convened &amp;amp; operating since last AUGUST. Last week, people like Comey &amp;amp;…</t>
  </si>
  <si>
    <t>RT @NameRedacted7: On the record, @USAttyHuber is himself a @TheJusticeDept federal prosecutor w subpoena &amp;amp; prosecutorial powers. Ditto oth…</t>
  </si>
  <si>
    <t>RT @NameRedacted7: Reminder of the powers under law of the @JusticeOIG - he has @USAttyHuber appointed to him as well. Huber oversees a tea…</t>
  </si>
  <si>
    <t>RT @LarrySchweikart: A staff of 500!! https://t.co/zs5IgmDz3i</t>
  </si>
  <si>
    <t>RT @LarrySchweikart: But John THIS DOES NOT MATTER.
CNN does not depend on ratings to stay on the air. It depends on Soros funding &amp;amp; wealt…</t>
  </si>
  <si>
    <t>RT @NolteNC: Oh.
My. 
https://t.co/gOnGrY2yg1</t>
  </si>
  <si>
    <t>RT @LarrySchweikart: Rosenstein just did mic drop-If an IG investigation involving "any past or present Department employee  requires crimi…</t>
  </si>
  <si>
    <t>RT @LarrySchweikart: 19) But the possibility of a billion-dollar flop is. It's only a question of which of the two will do in several major…</t>
  </si>
  <si>
    <t>RT @LarrySchweikart: 17) These films seriously run the risk of eating too much candy. At a point, ya puke. At a point, either the (such as…</t>
  </si>
  <si>
    <t>RT @LarrySchweikart: 16) To make matters worse they must please their PC masters, which is where the real crash is coming: you CANNOT simul…</t>
  </si>
  <si>
    <t>RT @LarrySchweikart: 14) Meanwhile, they funnel almost everything into the dark, dystopian "action" films laden with special effects.
15)…</t>
  </si>
  <si>
    <t>RT @LarrySchweikart: 13) But "Avengers: Infinity War" was rumored to be $1b. Once you appreciate this, you know how close to the edge the s…</t>
  </si>
  <si>
    <t>RT @LarrySchweikart: 11) This is akin to a baseball team having sunk all its money into a star pitcher and a couple of star hitters. They'r…</t>
  </si>
  <si>
    <t>RT @LarrySchweikart: 9) At the same time, Hollywood film is going a similar, yet slightly different direction. Depending on which sources y…</t>
  </si>
  <si>
    <t>RT @LarrySchweikart: 8) So whither the future of news? It will be on interactive social media forums for the most part. No, we internet sle…</t>
  </si>
  <si>
    <t>RT @LarrySchweikart: 7) contd. I won't rehash that history, but "news"papers were founded by the DemoKKKrat party SOLELY as propaganda tool…</t>
  </si>
  <si>
    <t>RT @LarrySchweikart: 6) They allowed the newspapers to fail in large part because they simply weren't effective &amp;amp; because another "prostitu…</t>
  </si>
  <si>
    <t>RT @LarrySchweikart: 5) These outlets will continue to be bankrolled by DemoKKKrat richies for another reason---even with very low viewersh…</t>
  </si>
  <si>
    <t>RT @LarrySchweikart: 4) It's much like the rich guy who goes to a prostitute to have him tell her he's really handsome &amp;amp; special, but bette…</t>
  </si>
  <si>
    <t>RT @LarrySchweikart: 3) I have warned you in the past this does NOT mean they are going away. They will exist if they have zero viewers &amp;amp; r…</t>
  </si>
  <si>
    <t>RT @LarrySchweikart: 1) There are twin dynamics going on today in the fake news media &amp;amp; in movie entertainment. They aren't exactly identic…</t>
  </si>
  <si>
    <t>RT @LarrySchweikart: https://t.co/w8S51LQoDC
Dems lose voting majority on CPSC. 
WINNING</t>
  </si>
  <si>
    <t>RT @LarrySchweikart: WINNING https://t.co/X4GNssZTtd</t>
  </si>
  <si>
    <t>RT @JesseKellyDC: Wow. What a great article. Highly recommend. https://t.co/Th5CIMnsvi</t>
  </si>
  <si>
    <t>RT @RebekahWorsham: So Trump can't block trolls from his own Twitter feed, but Twitter can shadowban Conservative accounts because they don…</t>
  </si>
  <si>
    <t>RT @JudicialWatch: Judicial Watch won a big court victory for our client (veteran &amp;amp; VA activist) Robert Rosebrock. Now President Trump shou…</t>
  </si>
  <si>
    <t>RT @LindaSuhler: Hmmmmm...
But I thought that as a private company, twitter wasn’t subject to First Amendment freedoms for individuals. Is…</t>
  </si>
  <si>
    <t>RT @DavidLimbaugh: What? A judge says Trump can’t block people without violating the First Amendment? Since when did it become a right to h…</t>
  </si>
  <si>
    <t>RT @kerpen: If the First Amendment prohibits the president blocking, is it unconstitutional for Twitter to ban people?</t>
  </si>
  <si>
    <t>RT @Grummz: "First Amendment"
People upset that a private company, the NFL, is making players stand for flag, says its violates 1st amendm…</t>
  </si>
  <si>
    <t>RT @JamesOKeefeIII: If POTUS can't block users on Twitter per First Amendment violation, can Twitter not shadowban tweets for political con…</t>
  </si>
  <si>
    <t>@wvufanagent99 @robconn4 @Sundncefn @CB618444 @GrizzleMeister @hickorymtnman @UberDick @Golfinggary5221 @SuzaSusza @watspn1013 @battleofever @paulajarvis69 @PatriotJenn Just ask the Tea Party groups who were harassed by Obama’s corrupt IRS! People wouldnt believe what hoops they made those ppl jump thru including numerous audits. Some agents admitted it wasnt right! 😡 That’s Tyranny! #SmidgenOfCorruption #DrainTheSwamp</t>
  </si>
  <si>
    <t>RT @wvufanagent99: Good morning 2 every1 except Harvard law professor Laurence tribe. Sir, If U want 2 talk about some1 “abusing the author…</t>
  </si>
  <si>
    <t>Don’t we have about 1 of these FAKE police brutality stories a week? Give up, Liberals! We aren’t buying your BS anymore! #BlueLivesMatter  https://t.co/9t3sE281fZ</t>
  </si>
  <si>
    <t>More Liberal HATE.... #StayClassy  https://t.co/0E618FN6dt</t>
  </si>
  <si>
    <t>RT @chuckwoolery: Was Susan Rice’s Board Role Part of the Obama-Netflix Deal? https://t.co/Wwd5lCruHr https://t.co/v82W4WgPqR</t>
  </si>
  <si>
    <t>RT @mitchellvii: Someone very close to the YourVoice™ America family is having serious surgery today.  Please, prayers.</t>
  </si>
  <si>
    <t>RT @JCunninghamMO: 1/2 - I’ve noticed something that saddens me. Some of my conservative friends &amp;amp; former colleagues, who should be thrille…</t>
  </si>
  <si>
    <t>RT @JCunninghamMO: The only known from your embellished list is a consensual affair. My focus is what is in it for Missourians and they are…</t>
  </si>
  <si>
    <t>RT @STLCountyGOP: Tim Fitch, Tim Lowery and Peter Pfeifer to attend North St. Louis County Republican Club dinner https://t.co/3KbyK7qSqI</t>
  </si>
  <si>
    <t>RT @DevinNunes: Great take...this guy is the best! https://t.co/sxGk5BQjCO</t>
  </si>
  <si>
    <t>@Comey So why are FBI agents requesting to be subpoenaed by Congress so they can share the abuse of power they observed under your leadership? https://t.co/dF9mzsHTJq #DrainTheSwamp</t>
  </si>
  <si>
    <t>RT @mea5050: @brandon_r_horan @Comey WHY do you leftard-useful-idiots continue to LIE???  You've got NOTHING and we all know it.  Your lies…</t>
  </si>
  <si>
    <t>RT @RicciGeri: Can anyone imagine the civil unrest, riots, cities burning if this same #conspiratorialsedition #attemptedcoup was formulate…</t>
  </si>
  <si>
    <t>RT @RepDeSantis: Exhibit A as to why Congress needs to authorize the Trump border wall. Fentanyl is now driving the opioid crisis — we can’…</t>
  </si>
  <si>
    <t>“There are agents all over this country who love the bureau &amp;amp; are sickened by Comey’s behavior and McCabe and Holder and Lynch and the thugs like Brennan–who despise the fact that the bureau was used as a tool of political intelligence by the Obama admin.” #DrainTheDeepState https://t.co/cKk9eIE24M</t>
  </si>
  <si>
    <t>RT @LarrySchweikart: https://t.co/Em528PGBO1
The winning continues.</t>
  </si>
  <si>
    <t>RT @LarrySchweikart: Supreme Court Rules In Contract Case, 5-4 https://t.co/D8Fvb9nYxH via @ConDailyPost
Gorsuch already having an impact.</t>
  </si>
  <si>
    <t>RT @IamJusbe: @FedupWithSwamp WAGER: In those 33,000 emails and on that DNC server we’ll find clear Obama/HRC collusion to fabricate all th…</t>
  </si>
  <si>
    <t>#MAGA https://t.co/vOKPMumoSt</t>
  </si>
  <si>
    <t>RT @LarrySchweikart: Good results in TX and AR as well. https://t.co/szkJRZw3Br</t>
  </si>
  <si>
    <t>RT @WinWithJMC: ARKANSAS PARTISAN TURNOUT: With 49% of precincts reporting, 68% are choosing a Republican ballot (54% did in 2014 primary)</t>
  </si>
  <si>
    <t>RT @LarrySchweikart: Daily Presidential Tracking Poll - Rasmussen Reports® https://t.co/R1lMritsdq  Trump back to 50% approve, disapprove d…</t>
  </si>
  <si>
    <t>RT @LarrySchweikart: Illinoisans Fleeing State by Tens of Thousands over Taxes and Financial Loss https://t.co/5SB3HxRN16</t>
  </si>
  <si>
    <t>RT @DianeLong22: @TexasLo4Ever @MtRushmore2016 @DamienStayBusy @mp5986mom Mine turned us into too!!! These state agencies rarely punish the…</t>
  </si>
  <si>
    <t>RT @T_S_P_O_O_K_Y: @CillizzaCNN Dude - @CillizzaCNN - I'm not sure if you are just dense or a @HillaryClinton loyalist. This is dangerously…</t>
  </si>
  <si>
    <t>RT @NameRedacted7: No fusion GPS paid shill, righteous anger at subversives abusing law enforcement &amp;amp; intelligence agency positions to atte…</t>
  </si>
  <si>
    <t>RT @T_S_P_O_O_K_Y: It's important to understand how rock stupid &amp;amp; self absorbed the @CNN idiots are- here is a doooosie! @AshaRangappa_ cha…</t>
  </si>
  <si>
    <t>RT @MADE__USA: JUST IN: GOP Lawmakers Throw Down the GAUNTLET and Demand Second Special Counsel https://t.co/XBmV1JY3hw via @truthfeednews</t>
  </si>
  <si>
    <t>RT @Buffbadbadger: Shouldn't it be called De-planned Parenthood?</t>
  </si>
  <si>
    <t>@mp5986mom @TexasLo4Ever @Twinch1965 I raised my kids telling them to have a plan of action by age 18: College or a Full-Time Job. And growing up, they had lots of boundaries w/consequences when crossed, making moving out quite attractive by age 18. Our job is to raise responsible &amp;amp; productive citizens! #MAGA</t>
  </si>
  <si>
    <t>RT @mp5986mom: @TexasLo4Ever @Twinch1965 On my 20th birthday, I returned home to find all my things neatly packed sitting on the front porc…</t>
  </si>
  <si>
    <t>RT @stumac1000: @TexasLo4Ever @DianneSteiner Socialism's malignant infection is the abject lack of ambition</t>
  </si>
  <si>
    <t>RT @TexasLo4Ever: @DamienStayBusy @mp5986mom My oldest got one lick from her dad for sassing &amp;amp; her dance teacher called CPS. I told her whe…</t>
  </si>
  <si>
    <t>RT @mp5986mom: @TexasLo4Ever I once told my Mom, I'm going to call the police because I wasn't getting my way. Mom said "I'll help you pack…</t>
  </si>
  <si>
    <t>@TexasLo4Ever @crickafer00 Ben Franklin said it best!🇺🇸 https://t.co/cIbZA0n7rJ</t>
  </si>
  <si>
    <t>RT @Doug_Giles: The Prof That Vandalized NRA Lobbyist’s House Just Got Some Bad News https://t.co/mkB3lOauOR via @doug_giles</t>
  </si>
  <si>
    <t>RT @Doug_Giles: University Offers ‘Queer Space’ Course That Examines ‘Bathhouses And Cruising Grounds’ https://t.co/6uo9YiRs9c via @doug_gi…</t>
  </si>
  <si>
    <t>RT @cmlvngstn: Thank God for @JamesOKeefeIII @HannahMGiles and @project_veritas for exposing Soros' corrupt #ACORN Shame on  @PBS for tryin…</t>
  </si>
  <si>
    <t>RT @leonterry0589: ACORN and the Firestorm https://t.co/V5oYS2PZnZ</t>
  </si>
  <si>
    <t>RT @EyeAmTruth: ACORN and the Firestorm. Very interesting film on the rise and fall of #Acorn. @PBS https://t.co/q9T36OG8cb</t>
  </si>
  <si>
    <t>RT @Doug_Giles: Here’s 4 Reasons You Should Tell Netflix, ‘Adios!’ https://t.co/ACPzP1zdKv via @doug_giles</t>
  </si>
  <si>
    <t>RT @ClaytonPlourde: Ok, the words between JL and Kanye were kind of amusing and fun to read. JL has just been removed from all my playlists…</t>
  </si>
  <si>
    <t>RT @ClaytonPlourde: I saw the @marklevinshow interview with @GarySinise recently and he is an impressive &amp;amp; humble man. Very worthy charity…</t>
  </si>
  <si>
    <t>RT @TexasLo4Ever: This is what happens when your raise entitled children who live for the participation trophies. They will never leave bec…</t>
  </si>
  <si>
    <t>Can America KEEP The Republic or will we become Venezuela? “Protests Against Socialism Sweep Venezuela Following Sham Election” https://t.co/GDPuPs63Si #DrainTheSwamp #MAGA</t>
  </si>
  <si>
    <t>#MAGA Establishment Loses Big as Grassroots Candidates Surge in Texas, Georgia | Breitbart https://t.co/U9arXygDHw via @BreitbartNews</t>
  </si>
  <si>
    <t>RT @JacobAWohl: #HisNameWasSethRich https://t.co/P0aKoeAOxw</t>
  </si>
  <si>
    <t>RT @JacobAWohl: Devin Nunes will make an excellent Speaker of the House</t>
  </si>
  <si>
    <t>RT @mflynnJR: .@TheDemocrats will run on emotion in November...
@GOP will run on facts...</t>
  </si>
  <si>
    <t>RT @mflynnJR: #AppointmentsClause https://t.co/OndolM08px</t>
  </si>
  <si>
    <t>RT @cristinalaila1: @LLH713 For real😂😂I've got dumb@sses trolling me from their Obama phones telling me they know more than Mark Levin😂😂😂</t>
  </si>
  <si>
    <t>RT @LLH713: @cristinalaila1 Cute how so many twitter folk think they know more about Constitutional law than Mark Levin 😂😂😂😂😂</t>
  </si>
  <si>
    <t>RT @cristinalaila1: Levin argues since Mueller's lawyers have dual status as US Attorneys, this makes Mueller a roving US Attorney. Only th…</t>
  </si>
  <si>
    <t>RT @mflynnJR: But Trump hasn’t committed any crimes Ed and after a year there’s ZERO evidence.  Again I’d refer you to @AndrewCMcCarthy col…</t>
  </si>
  <si>
    <t>RT @pragpro: #ACORN and the Firestorm | How a Video Sting to Bring Down Community Organizing Group Set Off Media Frenzy | Independent Lens…</t>
  </si>
  <si>
    <t>RT @IndependentLens: Watch #ACORN AND THE FIRESTORM thru June 4: the story of how an explosive YouTube video divided the nation. #IndieLens…</t>
  </si>
  <si>
    <t>RT @WNYCMidday: Now! @ReubenAtlas is talking w/ guest host @arunNYC about his new #IndieLensPBS film “ACORN and the Firestorm.”
https://t.…</t>
  </si>
  <si>
    <t>RT @PBSSoCal: How did a YouTube video bring down a 40-year old organization? Find out tonight at 10p on @IndependentLens' ACORN AND THE FIR…</t>
  </si>
  <si>
    <t>RT @IndependentLens: In 2009, an explosive YouTube video divided the nation. But who were the real people behind ACORN AND THE FIRESTORM? #…</t>
  </si>
  <si>
    <t>RT @IndependentLens: One nation. Divisible. With a media frenzy for all. ACORN AND THE FIRESTORM - Monday, May 21 on #IndieLensPBS https://…</t>
  </si>
  <si>
    <t>RT @ChrisNeiweem: .@DanCrenshawTX congratulations on a win for Texas 2D! Dan Crenshaw winning the republican primary primary against all es…</t>
  </si>
  <si>
    <t>Congratulations on your win, Dan Crenshaw in CD2 in Texas! @DanCrenshawTX 🇺🇸❤️🇺🇸❤️🇺🇸❤️🇺🇸❤️🇺🇸❤️ #MAGA https://t.co/9gSsJBpBSD</t>
  </si>
  <si>
    <t>Missouri House of Representatives: Urgent! Stop the Coup Against Gov. Eric Greitens https://t.co/fzQcRe0uuL via @Change</t>
  </si>
  <si>
    <t>RT @IAM1AMERICA: I was Minister Edward Cage. Twitter kicked me off. I lost 36,000 people. It's not FREEDOm OF SPEECH if you have to watch w…</t>
  </si>
  <si>
    <t>https://t.co/XvNuuvGfDX</t>
  </si>
  <si>
    <t>Report: NFL Considering 15-Yard Penalty for Kneeling During the National Anthem | Breitbart https://t.co/REllwTn2PR</t>
  </si>
  <si>
    <t>Trump policy forces the market to hire the best &amp;amp; most valuable Employees! Trump's Rising Wages are 'Nightmare' Says Restauranteur | Breitbart https://t.co/PdoejxZ5QK #Winning #MAGA</t>
  </si>
  <si>
    <t>Protests Against Socialism Sweep Venezuela Following Sham Election https://t.co/GDPuPs63Si</t>
  </si>
  <si>
    <t>“President Trump’s tightened labor market thru increased enforcement of immigration is forcing home builders to recruit American women rather than relying on cheap, illegal alien workers.” Trump's Immigration Crackdown Opening Construction Jobs for Women. https://t.co/x5eVnJaYRy</t>
  </si>
  <si>
    <t>RT @JCunninghamMO: A friend tweeted this: “It’s a shame some in #MoLeg are letting their distaste for the Gov ‘s actions cause them to take…</t>
  </si>
  <si>
    <t>RT @JW1057: @ksdknews Still don't think this is political? Kitty runs around for months screaming privacy and then gives interview on eve o…</t>
  </si>
  <si>
    <t>Uh, wow! https://t.co/TSm1ripFWO</t>
  </si>
  <si>
    <t>RT @mizzoudownunder: The ninth circle of hell in Dante’s Inferno, specially round four, was the closest to Satan. 
It contained Judas Isca…</t>
  </si>
  <si>
    <t>RT @JCunninghamMO: #MOLeg beware. This letter writer expresses what a lot of your base strongly think.  https://t.co/ReVLsgmItg</t>
  </si>
  <si>
    <t>RT @JW1057: @JohnLamping Sign petition and support @GovGreitensMO.
https://t.co/k8iYXhjOl5</t>
  </si>
  <si>
    <t>RT @JohnLamping: The party of lower taxes.... https://t.co/4tyyE7Lx5r</t>
  </si>
  <si>
    <t>RT @JohnLamping: Difference is Parson will will do what he's told by lobbyist (sign), Eric is a fiscal conservative. https://t.co/ijXgliNhQC</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</si>
  <si>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</si>
  <si>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</si>
  <si>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RT @JohnLamping: This passed too? https://t.co/GfBC4rtEaU</t>
  </si>
  <si>
    <t>RT @JCunninghamMO: Why?  After two prosecutors dropped their cases for lack of evidence, moving forward by the legislature looks like a per…</t>
  </si>
  <si>
    <t>RT @lloyd_sloan: The Missouri legislative needs a lot of reforms. 
Thanks to Lisa Pannett for some clear statistical evidence of a mismanag…</t>
  </si>
  <si>
    <t>RT @jrosenbaum: The thing really got to me about @CaseyNolen's interview is the reason I keep harping on the $100K to Al Watkins. This woma…</t>
  </si>
  <si>
    <t>RT @SheenaGreitens: Delighted to see the Missouri General Assembly pass both #SB819 and #SB800! We worked hard last year to develop many of…</t>
  </si>
  <si>
    <t>RT @EricGreitens: Great to see @jortego, who is visiting the Capitol today for the final week of session. Jack led our office in our weekly…</t>
  </si>
  <si>
    <t>RT @EricGreitens: Motorcycles. Veterans. Flags. No better way to celebrate the service of a generation of veterans. A moving tribute—hundre…</t>
  </si>
  <si>
    <t>RT @CJheartart: Would someone @dbongino &amp;amp; Joseph diGenova @RadioFreeAllman &amp;amp; @seanhannity &amp;amp; @IngrahamAngle PLEASE look into the Missouri me…</t>
  </si>
  <si>
    <t>RT @seanmdav: When asked by Bret Baier if he knew who leaked the dossier briefing, Comey said he didn't and then intimated he didn't partic…</t>
  </si>
  <si>
    <t>RT @MZHemingway: whoopsie https://t.co/DtHe8XqYHE</t>
  </si>
  <si>
    <t>RT @MZHemingway: I'm so old I remember when liberal journalists didn't defend the US government spying on American citizens because of thei…</t>
  </si>
  <si>
    <t>RT @MZHemingway: https://t.co/OG2TYsVsRp</t>
  </si>
  <si>
    <t>Fake News News Media is why we cant have nice things! 😵 Trust is gone! #FakeNews @CNN @abcnews @NBCNews @CBSNews https://t.co/E5oRDxd4bP</t>
  </si>
  <si>
    <t>RT @MZHemingway: Kathy Ireland giving powerful pro-life remarks at @SBAList gala right now.</t>
  </si>
  <si>
    <t>RT @MZHemingway: Shouts of “thank you!” And prolonged cheering as @realDonaldTrump takes stage at @SBAList gala. https://t.co/y4VFpq43LG</t>
  </si>
  <si>
    <t>RT @MZHemingway: President @realDonaldTrump now praising @KellyannePolls for her pro-life leadership https://t.co/53ypJL9UMW</t>
  </si>
  <si>
    <t>RT @MZHemingway: This is easily the most favorable DC-based audience @realDonaldTrump has had. In big part because it’s based in tangible a…</t>
  </si>
  <si>
    <t>RT @MZHemingway: President @realDonaldTrump just told story of this little girl Catherine’s adoption and invited her on stage. “We celebrat…</t>
  </si>
  <si>
    <t>RT @MZHemingway: “Every life has meaning and every life is worth protecting.” -@realDonaldTrump @SBAList https://t.co/LtaM3nubit</t>
  </si>
  <si>
    <t>RT @MZHemingway: President @realDonaldTrump says as long as we have faith in our citizens, confidence in our values, trust in our God, we w…</t>
  </si>
  <si>
    <t>RT @MZHemingway: At @SBAList, @KellyannePolls is awarded as a distinguished leader. She praises room for participants caring about the pro-…</t>
  </si>
  <si>
    <t>RT @MZHemingway: “You give voice to the voiceless and hope to the hopeless.” @KellyannePolls speaking to pro-lifers at @SBAList gala. https…</t>
  </si>
  <si>
    <t>RT @MZHemingway: The right to life is @KellyannePolls’ most important issue she tells @SBAList</t>
  </si>
  <si>
    <t>RT @MZHemingway: Now @KellyannePolls telling story of a friend who was told to abort her Simon Peter because he wouldn’t live long. She did…</t>
  </si>
  <si>
    <t>RT @SpeakerRyan: Great news→ The House just passed a bill providing terminally ill patients with access to experimental treatments and ther…</t>
  </si>
  <si>
    <t>RT @MZHemingway: Rep. @SteveScalise, nearly killed by would-be assassin’s bullets, talking about life as a gift from God. @SBAList</t>
  </si>
  <si>
    <t>RT @KrisParonto: Remember your BS testimony John to Mike Rogers’ HPSCI calling us liars in your effort to cover for  @HillaryClinton and @B…</t>
  </si>
  <si>
    <t>RT @realDonaldTrump: ...Follow the money! The spy was there early in the campaign and yet never reported Collusion with Russia, because the…</t>
  </si>
  <si>
    <t>RT @TexasChick1968: @NameRedacted7 @rushlimbaugh @BoSnerdley @DavidLimbaugh Here's the portion of the transcript where NR7 is talked about.…</t>
  </si>
  <si>
    <t>RT @CR7782: @NameRedacted7 I also heard it live.  Congrats!</t>
  </si>
  <si>
    <t>RT @MikeMynatt1: @NameRedacted7 The irony of it is they think Trump is the idiot and he’s running rings around these people, which is my po…</t>
  </si>
  <si>
    <t>RT @IamTheSheepdawg: @NameRedacted7  https://t.co/uXZpFGBN1V</t>
  </si>
  <si>
    <t>RT @dldsolo_duncan: @NameRedacted7 Transcripts are available free on his website by segment.</t>
  </si>
  <si>
    <t>RT @YnkyDodl: @NameRedacted7 @BoSnerdley does, he is SuperSidekick to El Rushbo</t>
  </si>
  <si>
    <t>RT @HerbieTweets: @NameRedacted7 I heard it live &amp;amp; was thrilled.   You, @TheLastRefuge2 , @almostjingo , @JohnWHuber &amp;amp; the gang really are…</t>
  </si>
  <si>
    <t>RT @NameRedacted7: Not so. My dog sleeps right next to me and I do not have flees. My dog gets flea &amp;amp; tick treatment regularly and baths to…</t>
  </si>
  <si>
    <t>RT @Shem_Infinite: @NameRedacted7 @realDonaldTrump President Trump's thoughts on revenge, for anyone wondering. You are spot on here NR7.…</t>
  </si>
  <si>
    <t>RT @WiredSources: BREAKING: Former Trump Advisor Michael Caputo confirms that the second informant who reached out to him and offered Hilla…</t>
  </si>
  <si>
    <t>RT @JohnWHuber: It's just like that time JOHN BRENNAN gave the guy who mysteriously quit as the Director of British GCHQ the highest intell…</t>
  </si>
  <si>
    <t>RT @The_War_Economy: So I am going to re-iterate the reason why I started this blitz and then randomly stopped due to tiredness. https://t.…</t>
  </si>
  <si>
    <t>RT @The_War_Economy: So I guess my question is:
Who approached Schmitz and told him to go and search for the e-mails on the dark web, then…</t>
  </si>
  <si>
    <t>RT @The_War_Economy: My favourite sentence is this though, given what's been happening recently.
"Steve Bannon told the House Intelligence…</t>
  </si>
  <si>
    <t>RT @DanOHerrin: Friends, if you’ve wondered why I haven’t been posting quite as much recently...well here you go: a lot of work has gone in…</t>
  </si>
  <si>
    <t>RT @tracybeanz: If you are in indie media, it would likely be wise to have all of your backup channels ready to go, in case the SHTF like w…</t>
  </si>
  <si>
    <t>RT @PoliticalShort: James Clapper Just Lied Again About His Previous Lies About NSA Spying https://t.co/P4Jz3b6RFF</t>
  </si>
  <si>
    <t>RT @dbongino: EXCELLENT point. Why did Comey hide the existence of the CI investigation from congressional oversight for 8 months BUT, the…</t>
  </si>
  <si>
    <t>RT @tracybeanz: But THEY DID NOT. THEY LEFT IT OUT- and the lie by omission is more telling to me than if they were to have included it.</t>
  </si>
  <si>
    <t>RT @tracybeanz: It’s apparent- the gloves have come off. This wasn’t even MENTIONED in the HPSCI Report- what kind of a SHAM is this?! You…</t>
  </si>
  <si>
    <t>RT @Dust_Off70: @NameRedacted7 @realDonaldTrump I’ve often noticed how many parallels can be seen b/t DJT and principles listed in The Art…</t>
  </si>
  <si>
    <t>RT @SentinelVI: Strange. John Brennan views @drawandstrike’s tweet/account this morning, and all of a sudden Stealth Jeff has all sorts of…</t>
  </si>
  <si>
    <t>RT @HtfuTam: What’s going on here? @jack everybody’s favorite @drawandstrike StealthJeff is in Twitter lockdown https://t.co/cECwiBrGi5</t>
  </si>
  <si>
    <t>RT @Shem_Infinite: This is my third account because my first two were shut down in their first week for posting about how much I love the P…</t>
  </si>
  <si>
    <t>RT @MarkMandellAtty: Why is jeff stealth’s account on twitter now restricted? Suppression of right to free speech! Must be getting closer t…</t>
  </si>
  <si>
    <t>RT @Perpetualmaniac: Stealth Jeff was knocked offline just now. Does anyone know a backup account for him?
#thestorm
#greatawakening
#patr…</t>
  </si>
  <si>
    <t>RT @drawandstrike: John P. Carlin, former FBI Assistant Attorney General and former head of the FBI's National Security Division who sudden…</t>
  </si>
  <si>
    <t>RT @mitchellvii: Please follow @TaxReformExpert . He had more to do with getting #TaxReform passed than anyone I know. https://t.co/7QOM0nh…</t>
  </si>
  <si>
    <t>RT @TaxReformExpert: I am hopeful that the next Speaker of the House will be a major #MAGA CONSERVATIVE!  Things are looking positive!</t>
  </si>
  <si>
    <t>RT @pulte: Now that I have a child of my own, I am more dedicated that ever to the idea of saving the kids living in our blighted inner cit…</t>
  </si>
  <si>
    <t>RT @mitchellvii: If Sessions was really a #DeepState plant then Trump was a dumbass for picking him.  Trump's not a dumbass so work back fr…</t>
  </si>
  <si>
    <t>RT @mitchellvii: I've been saying for the past year that the entire Mueller Investigation was a cover for the most sophisticated sting oper…</t>
  </si>
  <si>
    <t>RT @mitchellvii: Trump Economy Sets More Records: 1st Quarter Profits, Earnings Reach All-Time Highs – Largest Monthly Surplus in History –…</t>
  </si>
  <si>
    <t>RT @JLMarchese111: @mitchellvii @nycfla Bill my impressions dropped from over a million a month to 150,000 after Twitter suspended my accou…</t>
  </si>
  <si>
    <t>RT @mitchellvii: How did Democrats, the most RACIST party in US History, manage to convince blacks it was actually the OTHER guys who are r…</t>
  </si>
  <si>
    <t>RT @realDonaldTrump: .@AsaHutchinson, the great Governor of Arkansas, is in a primary tomorrow. He has done an incredible job with a focus…</t>
  </si>
  <si>
    <t>RT @mitchellvii: I think Sessions will go after Hillary and Bill, and they'll flip on Obama to get a deal. https://t.co/uEkVLQvwu8</t>
  </si>
  <si>
    <t>RT @mitchellvii: The Democrats have depressed their base by constantly telling them an indictment of Trump is just around the corner.  It n…</t>
  </si>
  <si>
    <t>RT @mitchellvii: The number of women Trump has in Senior Management roles in his Admin is truly extraordinary.  And yet Democrats claim he…</t>
  </si>
  <si>
    <t>RT @mitchellvii: If Twitter and Facebook are gonna ban all hate speech, what will Democrats do for social media?</t>
  </si>
  <si>
    <t>RT @mitchellvii: On my tombstone, I don't want them to write:
"Here lies the most cautious man alive, and now he's dead."</t>
  </si>
  <si>
    <t>RT @mitchellvii: The purpose of this tweet is to test Twitter's shadow-ban against me.  I have 360,000 followers.  This is just a picture o…</t>
  </si>
  <si>
    <t>RT @mitchellvii: Some trolls like to tease me about the size of my forehead.  Actually its the perfect size to go with the rest of my gigan…</t>
  </si>
  <si>
    <t>RT @ByronYork: That's some seriously eliminationist rhetoric.
https://t.co/cdpocnkInp</t>
  </si>
  <si>
    <t>RT @brithume: Not triggered by Page or Papadopoulos, writes @AndrewCMcCarthy. Triggered by the Obama administration.  https://t.co/JdpGL8ns…</t>
  </si>
  <si>
    <t>RT @AriFleischer: Brit’s last sentence  is key.  I believe any American who cooperated w Russia’s hack/dissemination of The DNC/Podesta’s e…</t>
  </si>
  <si>
    <t>RT @brithume: Oh Max, where to begin. The FBI has already shown in the cases of McCabe, Strzok, Page et al that its conduct is quite worthy…</t>
  </si>
  <si>
    <t>RT @brithume: Ted Olson thinks Mueller would have a high hill to climb to compel testimony from POTUS --&amp;gt; https://t.co/hfzAcXL9oD</t>
  </si>
  <si>
    <t>RT @brithume: Not even a baboon can stand to fly American, https://t.co/19M13OHbcE</t>
  </si>
  <si>
    <t>RT @brithume: This, from a former attorney general, gets to the question of whether there was a proper basis for the Mueller investigation…</t>
  </si>
  <si>
    <t>RT @ChuckRossDC: Hey @JRubinBlogger, this speculation about my reporting is inaccurate. I'd appreciate it if you'd correct it to report onl…</t>
  </si>
  <si>
    <t>RT @Education4Libs: A Harvard Law professor made a comment in an interview about shooting &amp;amp; killing President Trump.
And people wonder why…</t>
  </si>
  <si>
    <t>RT @SarahCorriher: A sinkhole appeared in the White House lawn. The swamp is draining too quickly. #DrainTheDeepState</t>
  </si>
  <si>
    <t>RT @C_3C_3: EVERY dirty scheme the Democrats do goes directly through Perkins Coie.
From Obama to Hillary to Podesta to Stormy to Fusion G…</t>
  </si>
  <si>
    <t>RT @Nigel_Farage: My message to Mark Zuckerberg today:
Stop telling us Facebook is a “platform for all ideas”. The evidence shows your alg…</t>
  </si>
  <si>
    <t>RT @PoliticalShort: There are multiple informants... https://t.co/ZXVrkttxST</t>
  </si>
  <si>
    <t>RT @jmclghln: @JohnBrennan following in footsteps of other @FordhamAlumni John Mitchell n G Gordon Liddy  Very sad. Plot to Infiltrate the…</t>
  </si>
  <si>
    <t>RT @agimcorp: John Brennan’s Plot to Infiltrate the Trump Campaign https://t.co/1a79vZBwM4</t>
  </si>
  <si>
    <t>😍 https://t.co/PHZ70nPtbP</t>
  </si>
  <si>
    <t>RT @ThomasWictor: @QuipShot @AdamBaldwin (11) Therefore Trump will DESTROY your party.
Count on it.
It's the only way to stop you.</t>
  </si>
  <si>
    <t>RT @ThomasWictor: @QuipShot @AdamBaldwin (10) And it's because you guys WON'T STOP.
I gave Obama EIGHT YEARS of my life. As an investor, I…</t>
  </si>
  <si>
    <t>RT @ThomasWictor: @QuipShot @AdamBaldwin (9) THAT is what trump is going to do.
I know that now.
He's going to make ALL of his enemies wi…</t>
  </si>
  <si>
    <t>RT @ThomasWictor: @QuipShot @AdamBaldwin (8) They looked, but there was none to save; even unto the Lord, but he answered them not.
Then d…</t>
  </si>
  <si>
    <t>RT @ThomasWictor: @QuipShot @AdamBaldwin (7) For thou hast girded me with strength to battle: them that rose up against me hast thou subdue…</t>
  </si>
  <si>
    <t>RT @ThomasWictor: @QuipShot @AdamBaldwin (6) I have pursued mine enemies, and destroyed them; and turned not again until I had consumed the…</t>
  </si>
  <si>
    <t>RT @ThomasWictor: @QuipShot @AdamBaldwin (5) You know how it ends?</t>
  </si>
  <si>
    <t>RT @ThomasWictor: @QuipShot @AdamBaldwin (4) With the merciful thou wilt shew thyself merciful, and with the upright man thou wilt shew thy…</t>
  </si>
  <si>
    <t>RT @TheLastRefuge2: Don't forget. While NSA Director Mike Rogers deleted the records of the unauthorized FISA(702) search results (to prote…</t>
  </si>
  <si>
    <t>RT @shadowfax_82: Oh my! And we know that Nunes' inquiry is about FISA related maters so this would tied directly in. I wonder if Nunes is…</t>
  </si>
  <si>
    <t>RT @sobeitgina: @FriendlyJMC @POTUS @starcrosswolf @alozras411 @thebradfordfile @ThomasPKennedy3 @Thomas1774Paine @PhilMcCrackin44 I don't…</t>
  </si>
  <si>
    <t>RT @rdreesen27: @FriendlyJMC @KatTheHammer1 @POTUS @starcrosswolf @alozras411 @thebradfordfile @ThomasPKennedy3 @Thomas1774Paine @PhilMcCra…</t>
  </si>
  <si>
    <t>RT @FriendlyJMC: To assist the liberally impaired
Here's the #4A
It states no one can search you or your home/effects without probable cau…</t>
  </si>
  <si>
    <t>RT @instapundit: BREAKING: E-mails Show FBI Brass Discussed Dossier Details With CNN https://t.co/a5qomJHxXu</t>
  </si>
  <si>
    <t>RT @tracybeanz: Justice must be served. And I, for one, will make as much noise as possible until we get the cold hard facts here.</t>
  </si>
  <si>
    <t>RT @tracybeanz: We need the Caputo testimony from the House and Senate committees because as the poster said before- we need to see if he t…</t>
  </si>
  <si>
    <t>RT @tracybeanz: We are learning now this week (it’s only Tuesday) in rapid fire, that this is, in fact, what happened. As @NameRedacted7 sa…</t>
  </si>
  <si>
    <t>RT @tracybeanz: It has been (and it’s getting much more obvious) my theory that the Trump campaign was LITTERED with spies trying to stop h…</t>
  </si>
  <si>
    <t>RT @tracybeanz: We had gotten this far using what little reporting there was - sure it was often spun to favor the bad guys, but the data?…</t>
  </si>
  <si>
    <t>RT @tracybeanz: Manafort came in because of a supposed “delegate crisis”. He brought along his fixer Gates. Page and P-Dop? They came becau…</t>
  </si>
  <si>
    <t>RT @tracybeanz: I’m going to say this - and it’s a theory we’ve had- but these “new informants” we are hearing about? Isn’t it odd that the…</t>
  </si>
  <si>
    <t>@SkylarR1958 @AnnStilwell1 @FoxNews @POTUS @GOP @MRichardson713 What about the BABY’s body?</t>
  </si>
  <si>
    <t>RT @AnnStilwell1: @FoxNews @POTUS @GOP @MRichardson713 I agree 100%. We need to speak for those who are unable to
defend themselves.</t>
  </si>
  <si>
    <t>RT @vannschaffner: #TCOT #NMCOT #NMGOP https://t.co/2MaAKeEDXN</t>
  </si>
  <si>
    <t>@EllpauPredi @JTMYVA Just to verify you’re consistent with the application of your “Standards”, did you have the same sense of outrage when Hillary ran her Pay-To-Play Clinton Foundation?</t>
  </si>
  <si>
    <t>@JTMYVA I’m dying here!😂😂😂</t>
  </si>
  <si>
    <t>RT @actlightning: LOL...THAT.GOOD ENOUGH, @JACK? #MAGA https://t.co/m3Il1tQn5D</t>
  </si>
  <si>
    <t>RT @buske_natalie: @B75434425 Some of you have already seen my painting before, but many haven't. Was inspired to paint it - feel I'm suppo…</t>
  </si>
  <si>
    <t>@RoundsR @USAFMEDIC21 I subscribe to the saying: “When someone’s determined to make an ass of themself, get the hell out of the way and let them do it.” #DrainTheSwamp</t>
  </si>
  <si>
    <t>RT @RoundsR: DEM leaders changing rhetoric on impeachment because emphasis on it has gotten them BEHIND in preference polls:
https://t.co/2…</t>
  </si>
  <si>
    <t>RT @RealSaavedra: 🚨 Exclusive coming out soon about the alleged second informant that supposedly targeted the Trump campaign.</t>
  </si>
  <si>
    <t>RT @CNN: Reporter: "Do you have confidence in Rod Rosenstein?"
US President Trump: "What's your next question please? ... Excuse me, I hav…</t>
  </si>
  <si>
    <t>RT @ABPatriotWriter: Yeah, except the bill is designed to help mid-sized banks, you know, the ones that did not support Hillary Clinton lik…</t>
  </si>
  <si>
    <t>RT @Chicago1Ray: "For Decades The American Taxpayers have been wrongfully forced to subsidize the Abortion Industry Through #Title 10 Feder…</t>
  </si>
  <si>
    <t>RT @buske_natalie: @_VachelLindsay_ Just a dolphin. https://t.co/swhxe6Fxod</t>
  </si>
  <si>
    <t>RT @buske_natalie: I prayed today for God to take some of my energy and give it to the world for healing. If only you could see love like I…</t>
  </si>
  <si>
    <t>RT @buske_natalie: MSM propagandists ("journalists") &amp;amp; members of Congress: there's still time for one of you to be a hero. It only takes O…</t>
  </si>
  <si>
    <t>RT @buske_natalie: When I share my stories of hardship, I hear from many of you who are currently struggling. I continue to think of you an…</t>
  </si>
  <si>
    <t>RT @OmarAlshayk: So they are done with the Russian-Trump conspiracy now they started with the Saudi-Emirati one..
@nytimes pinned thus twe…</t>
  </si>
  <si>
    <t>RT @ThomasWictor: This is so demented.
The entire world thought that Trump had no chance whatsoever to win.
The New York Times is now ins…</t>
  </si>
  <si>
    <t>RT @AndrewCMcCarthy: The Real Origination Story of the Trump-Russia Investigation - my@NRO column: https://t.co/jQRTgGjqWf</t>
  </si>
  <si>
    <t>RT @JohnWHuber: Before we begin, it's worth noting how unusual that behavior should be for so-called "journalists". Look at how @MZHemingwa…</t>
  </si>
  <si>
    <t>RT @kathieroady: @mflynnJR @CNN @MSNBC @CBS @NBCNews @ABC @realDonaldTrump  https://t.co/UVhDF3FjlT</t>
  </si>
  <si>
    <t>RT @WolfAnon3: @DigitalMartyr1 @mflynnJR @4Freedom4ever @CNN @MSNBC @CBS @NBCNews @ABC @realDonaldTrump This is what we call MEGA MAGA #MEG…</t>
  </si>
  <si>
    <t>RT @DigitalMartyr1: @WolfAnon3 @mflynnJR @4Freedom4ever @CNN @MSNBC @CBS @NBCNews @ABC @realDonaldTrump I don't need to watch the water, I…</t>
  </si>
  <si>
    <t>RT @mflynnJR: .@CNN @MSNBC @CBS @NBCNews @ABC have no clue how wrong they’ve been about @realDonaldTrump 
Just wait....</t>
  </si>
  <si>
    <t>RT @ABFamilyTalk: Instead of jumping to conclusions, engage your teen in open and honest conversations about alcohol. For more facts and ti…</t>
  </si>
  <si>
    <t>RT @Bmw2163Heart: #Arlington #MemorialDayWeekend #SacredGrounds https://t.co/qxrB7h47bB</t>
  </si>
  <si>
    <t>RT @LolaWillFollow: RT FOR Sam Blackledge  we have your back we want to hear your speech  School administrators silenced a young man’s voic…</t>
  </si>
  <si>
    <t>RT @Ladies4Trump20: The Storm is Coming! It’s here!
#qanon #MAGA #MondayMotivaton https://t.co/2UPfAH5hhM</t>
  </si>
  <si>
    <t>RT @RoaroftheLion8: @brenda_lummus Dear God, I bow my head and ask if it be Thy Will, please save this land from those who seek to destroy…</t>
  </si>
  <si>
    <t>Proverbs 16:5 ESV: “Everyone who is arrogant in heart is an abomination to the Lord; be assured, he will not go unpunished.” 😲 ⚡️ https://t.co/HjMkdfQJ4j</t>
  </si>
  <si>
    <t>😡Poor Choice of WORDS? On Impeachment- If you’re going to shoot him, you have to shoot to kill,” Tribe said. “that requires an overwhelming majority of a bipartisan kind. Otherwise you’re just going to nick the guy &amp;amp; make him feel empowered &amp;amp; vindicated” https://t.co/iR83qzpLcr</t>
  </si>
  <si>
    <t>“Bar Rescue”, John Taffer must be rolling his eyes at Starbuck’s business-killing and disloyalty to their customer base, decisions! #ReapWhatYouSow https://t.co/F2gEdRNH0Q</t>
  </si>
  <si>
    <t>RT @GovMikeHuckabee: Hard time getting hotel for Memorial Day weekend, but decided to stay @Starbucks and wash off in free restroom. I'm no…</t>
  </si>
  <si>
    <t>RT @yesnicksearcy: "Why do loyal citizens of the Soviet Union fear the KGB? If they do nothing wrong, they have nothing to worry about!" -…</t>
  </si>
  <si>
    <t>@yesnicksearcy @TheDemocrats I believe Trump supporters are blessed, that the Libs cant move past their pain; makes it so much easier to beat them.</t>
  </si>
  <si>
    <t>RT @yesnicksearcy: If @theDemocrats could ever come to terms with the truth in this article, they might get somewhere.
 But they can't.  Th…</t>
  </si>
  <si>
    <t>RT @KevinJacksonTBS: Shut up, Clown. That fool wouldn't let me make my point. And you say 3/5 th was BAD for slaves. You promote that BS. Y…</t>
  </si>
  <si>
    <t>RT @yesnicksearcy: The clip of @brhodes hemming and hawing and trying to “process” Trump’s victory that @rushlimbaugh just played on his sh…</t>
  </si>
  <si>
    <t>RT @yesnicksearcy: No one wants to spend much time with rude, biased, lying jerks. https://t.co/rl0yAvbdWj</t>
  </si>
  <si>
    <t>@mikememoli @PressSec @joshearnest It sent diabetics into a sugar coma, dripping with syrup! 🤮</t>
  </si>
  <si>
    <t>RT @yesnicksearcy: That’s because Josh enjoyed the fawning sycophancy that occurred during those briefings. https://t.co/E9MdkK6Nas</t>
  </si>
  <si>
    <t>@mikememoli @PressSec These WH briefings are impossible to watch, with the disgusting juvenile behavior from the press corps. As a citizen, I learn very little when they spend the bulk of their time on silly trivial things! #DrainTheSwamp</t>
  </si>
  <si>
    <t>RT @CoughingHillary: @mikememoli @PressSec Obama never cut off the corrupt left wing press. He just spied on reporters and bugged their hou…</t>
  </si>
  <si>
    <t>RT @AndreiSvirkov: @mikememoli @PressSec Get #redpilled, man!</t>
  </si>
  <si>
    <t>RT @dudeloe: @mszeaj @mikememoli @PressSec u never watched? that's all the press has is the same question. whichever question the dems-13 g…</t>
  </si>
  <si>
    <t>RT @jaker1419: @mikememoli @PressSec That's because reporters spend too much time developing a thesis or argument rather just just asking a…</t>
  </si>
  <si>
    <t>RT @tankerdude01: @mikememoli @PressSec First: The WH briefing isn’t YOUR briefing. It’s the WH briefing, and THEY decide not only when it…</t>
  </si>
  <si>
    <t>RT @pdugas2000: @mikememoli @PressSec I do that with my kids.</t>
  </si>
  <si>
    <t>RT @matt_w_howard: @mikememoli @PressSec Maybe @PressSec hates having to address the DNC small-group meetings any longer than necessary.</t>
  </si>
  <si>
    <t>RT @lisaindfw: @mikememoli @PressSec Maybe if the lot of you would act like grown up professionals more might be accomplished.</t>
  </si>
  <si>
    <t>RT @TracyJeffords: I don't blame @PressSec ...you people are rude as hell.  Maybe the briefings would last longer if the reporters in the r…</t>
  </si>
  <si>
    <t>RT @indiucky: @yesnicksearcy @HBO @brhodes I never wanted a back tattoo...And then I saw this.... https://t.co/8GufO1E5iB</t>
  </si>
  <si>
    <t>@yesnicksearcy @HBO @brhodes Rhodes tips us off, that they weren’t going to stand idly by &amp;amp; accept Trump as President. Grrrr.....😡</t>
  </si>
  <si>
    <t>RT @yesnicksearcy: OMG. The last 10 minutes of @Hbo’s The Final Year is just the greatest thing ever. Sad Democrats are the best Democrats.…</t>
  </si>
  <si>
    <t>RT @JesseKellyDC: Bake. That. Cake. https://t.co/Nr7lVtsx9E</t>
  </si>
  <si>
    <t>RT @NameRedacted7: LOL https://t.co/56mRKJmfuE</t>
  </si>
  <si>
    <t>RT @Shem_Infinite: @NameRedacted7 @rushlimbaugh @BoSnerdley @DavidLimbaugh Great work often gets noticed!</t>
  </si>
  <si>
    <t>RT @NameRedacted7: A huge thank you to @rushlimbaugh for the on air credit today, I'm humbled you notice my work. 
cc: @BoSnerdley @DavidL…</t>
  </si>
  <si>
    <t>RT @Uncle_Jimbo: Presenting yourself as a legitimate refugee when you are actually an economic migrant removes any obligation https://t.co/…</t>
  </si>
  <si>
    <t>Schumer is a jerk! Chairman Nunes is doing the work of We The People at digging out the truth of the Swamp’s corruption &amp;amp; lawlessness! @DevinNunes @GOP https://t.co/FoGjxSCxd1</t>
  </si>
  <si>
    <t>FBI never issued a search warrant something it does when there is concern a person will destroy evidence. Clinton deleted half her emails then claimed under penalty of perjury that she turned ovr all emails that were or potentially were work-related. https://t.co/F9r5OcHsMm</t>
  </si>
  <si>
    <t>“When Clinton claimed 39 times during a July 2, 2016, interview—an interview led by disgraced FBI agent Peter Strzok—that she could not recall certain facts because of a head injury, Comey refused the case agents’ request to subpoena her medical records.” https://t.co/F9r5OcHsMm</t>
  </si>
  <si>
    <t>“I have never witnessed investigations so fraught with failure to fulfill the basic elements of a criminal probe as those conducted under James Comey.” -Joe DiGenova  https://t.co/F9r5OcHsMm</t>
  </si>
  <si>
    <t>63 percent of polled voters in a Harvard CAPS-Harris Poll believe that the FBI withheld vital information from Congress about the Clinton and Russia collusion investigations! #DrainTheDeepState https://t.co/F9r5OcHsMm</t>
  </si>
  <si>
    <t>I’ll just leave this right here for: @NancyPelosi @CNN @TheDemocrats  https://t.co/KDvLrZ7H0i</t>
  </si>
  <si>
    <t>An idea for students who might threaten a boycott: less threatening, something you likely won’t do, more studying and reading actual books. Put the phone down. Go to the library. Pull a book from a shelf. Read it. Say hi to Kyle for us while you’re there. https://t.co/9nYCsLEkby</t>
  </si>
  <si>
    <t>Trump has 1 of the most pro-women foreign policy agendas we’ve seen in decades. Instead of sending planes filled w/cash to regimes such as Iran who arrest women 4 taking off hijabs we’ve exited the Iran deal, sending the msg we stand in solidarity w/women  https://t.co/TOaHGR3WTK</t>
  </si>
  <si>
    <t>“Google decided to shut down advertisements pertaining to Ireland's upcoming referendum to legalize abortion.” The Left must lie to advance their agenda, truth is not allowed!  #Life  https://t.co/fnOCelK5cn</t>
  </si>
  <si>
    <t>“These events are tragic. But they are rare. And there are ways to prevent them from happening in the future. It just happens that the most effective preventions are those based in reality, not in misinformation.” #2A  https://t.co/WyiLAI5Kus</t>
  </si>
  <si>
    <t>RT @SharylAttkisson: Picky, picky, picky! https://t.co/t6cpEi09nG</t>
  </si>
  <si>
    <t>RT @SharylAttkisson: NEW FBI EMAILS REVEAL the "Sensitive Matter Team" inside the FBI that dealt with anti-Trump "dossier" and tracked the…</t>
  </si>
  <si>
    <t>RT @SharylAttkisson: I wouldn't call it so much practice as symptomatic of corruption and alleged crimes within our own government/intel co…</t>
  </si>
  <si>
    <t>RT @MoralNecessity: Holy Cr*p Batman. Did the intelligence community practice on private citizens James Rosen and Sharyl Attkisson before u…</t>
  </si>
  <si>
    <t>RT @SharylAttkisson: #1 is more effective if the candidate is the target and you want to get political intel against him.
#2 is more effect…</t>
  </si>
  <si>
    <t>RT @SharylAttkisson: If you suspect Russia may try to interfere should the tact be: 1. Wiretap, surveil &amp;amp; plant informants w/ one political…</t>
  </si>
  <si>
    <t>RT @SharylAttkisson: Curiouser and curiouser. https://t.co/KtSZDeyPVJ</t>
  </si>
  <si>
    <t>RT @SharylAttkisson: The FBI had the “sensitive matter team” on the case.  https://t.co/CW1XAvPNll</t>
  </si>
  <si>
    <t>RT @CDoranHarader: SHARYL ATTKISSON CREATES DETAILED TIMELINE SHOWING COLLUSION AGAINST TRUMP
It would appear there were some seriously di…</t>
  </si>
  <si>
    <t>RT @DrMAGA2020: @ThomasWictor @QuipShot @AdamBaldwin And you said you aren’t religious! Very moving thread. God bless our President and all…</t>
  </si>
  <si>
    <t>RT @ThomasWictor: @QuipShot @AdamBaldwin (3) Here's what you and Holder and Brennan and Obama don't get:
The harder you fight, the worse i…</t>
  </si>
  <si>
    <t>RT @ThomasWictor: @QuipShot @AdamBaldwin (2) Obama was the last president who made the DOJ into his private goon squad.
NOW, those former…</t>
  </si>
  <si>
    <t>RT @ThomasWictor: @QuipShot @AdamBaldwin (1) Are you SERIOUSLY telling me that Eric Holder is arguing that the Justice Department not be po…</t>
  </si>
  <si>
    <t>RT @MarkYoungTruth: The Democrats are making the Scientologist look normal.</t>
  </si>
  <si>
    <t>RT @wb_harley: RT @AmazngEbooks Read the interview with John Wingate, author of a riveting account of America's largest underground search…</t>
  </si>
  <si>
    <t>https://t.co/1s2zHBT0CJ</t>
  </si>
  <si>
    <t>The Radical Gay agenda is ultimately hurting children.  https://t.co/XKMy8SrYU0</t>
  </si>
  <si>
    <t>https://t.co/KgIt20h6hU</t>
  </si>
  <si>
    <t>“what does change mean to you? Because she (Clarkson) said, "I'm a proud gun owner. I have a concealed handgun license." In 2012, she said she has 9 guns...and sleeps with a Colt 45. So ...are you now for repealing the Second Amendment? What are you for?”  https://t.co/3fVM3tL2uI</t>
  </si>
  <si>
    <t>“I believe the treatment of Ben Shapiro was clearly a case of discrimination. It was not discrimination by race or gender. It was more damaging than that. You have discriminated against the free dissemination of ideas.” #FreeSpeech https://t.co/5S8RIUdist</t>
  </si>
  <si>
    <t>More Leftist HATE!  https://t.co/NvIsiAuy2b</t>
  </si>
  <si>
    <t>Another reason we’re BROKE! 😡 “Public employee unions have been bankrupting localities across the country. California’s unfunded pension liabilities are staggering.” https://t.co/facCaNmELi</t>
  </si>
  <si>
    <t>RT @kathismoak: @_VachelLindsay_ Hillary emails go missing from subpoena
FBI subpoenas DNC server
DNC says they have third party reviewing…</t>
  </si>
  <si>
    <t>@Shem_Infinite @_VachelLindsay_ Then today, Clapper goes on The View &amp;amp; repeats this same BS yet none of the ladies think to ask if they were giving Hillary, the same “HELP”.  🙄 puh-leeze! #WillfullyBlind #DrainTheDeepState</t>
  </si>
  <si>
    <t>RT @Shem_Infinite: not tagging anyone, but for reference if you want to see 50 examples of how insane the NYT was about this https://t.co/u…</t>
  </si>
  <si>
    <t>RT @Shem_Infinite: @_VachelLindsay_ UGH I went over that entire dumb NYT article in depth when it came out and I knew that this was their a…</t>
  </si>
  <si>
    <t>RT @BethIrisHernan1: @SentinelVI @Mr_Alex_Graham @_VachelLindsay_ That’s because everyone is singing. McCabe told the 7th floor he was goin…</t>
  </si>
  <si>
    <t>RT @Shem_Infinite: @_VachelLindsay_ @almostjingo @maggieNYT I want to know how much Maggie was paid by Fusion GPS to try to overturn the re…</t>
  </si>
  <si>
    <t>RT @CaffnatedKate: Brilliant analysis by @_VachelLindsay_ . Follow him if you don’t already. “Obama was using his power to frame an innocen…</t>
  </si>
  <si>
    <t>@NameRedacted7 Rush is referring to your tweets, just now! 😉👌🏼👏🏻🇺🇸</t>
  </si>
  <si>
    <t>https://t.co/TGoZJ26lNp</t>
  </si>
  <si>
    <t>RT @Jamierodr10: “How about we take the half a Billion dollars from Planned Parenthood and redirect that into making sure that our schools…</t>
  </si>
  <si>
    <t>RT @RLubranicki: Guns don't kill people, testifying against Hillary kills people. https://t.co/qlPryWxi8f</t>
  </si>
  <si>
    <t>RT @LarrySchweikart: Of course they do. 
They are a union https://t.co/ASm40idMp5</t>
  </si>
  <si>
    <t>RT @gatewaypundit: Trump Economy Sets Records: 1st Quarter Profits, Earnings Reach All-Time Highs - Largest Monthly Surplus in History - Fa…</t>
  </si>
  <si>
    <t>RT @cvpayne: Massive reduction in auto tariffs July 1, 2018 will help all western auto makers...I wonder of Angela Merkel is still upset Tr…</t>
  </si>
  <si>
    <t>RT @NameRedacted7: If @JackPosobiec has any *actual* evidence to show us backing up what he's implying about Gina Haspel now would be a gre…</t>
  </si>
  <si>
    <t>RT @LarrySchweikart: There's more. Remember, one in Rand Paul's campaign. https://t.co/Q8Pb3c5Tkg</t>
  </si>
  <si>
    <t>RT @gatewaypundit: BREAKING: Former Trump Aide Caputo Drops Bombshell: 'I Was Approached by SECOND Informant' (VIDEO) @CristinaLaila1 https…</t>
  </si>
  <si>
    <t>RT @LarrySchweikart: McTurd, Corkscrewed
Of course, Minion will be tied into this as well. https://t.co/TndLOU173l</t>
  </si>
  <si>
    <t>Good! We want ALL the corruption cleaned up regardless of party becuz all these Elitists work against the American people &amp;amp; the Constitutional rule of LAW! #MAGA https://t.co/r3FfLgWBcz</t>
  </si>
  <si>
    <t>RT @Lugabriel1986: @ericswalwell @TuckerCarlson I lost 3 IQ points watching you speak on TV tonight. 😫</t>
  </si>
  <si>
    <t>RT @BrandonHathaw12: His name is Huber https://t.co/PkO7t22rs4</t>
  </si>
  <si>
    <t>RT @LarrySchweikart: Help save Cong. Steve Stockman. At least get him out til his trial.
https://t.co/QohVSawaNs</t>
  </si>
  <si>
    <t>RT @LarrySchweikart: Excellent point. Would also like to see the almost-always wrong D/R splits. https://t.co/1ea8aPU5Ng</t>
  </si>
  <si>
    <t>RT @Trader_Moe: Kip, who's a terrific trader and gets this stuff right, is calling for 4.5-5% growth by the end of Trump first term. https:…</t>
  </si>
  <si>
    <t>Another Example of how @POTUS keeps his promise to #MakeAmericaGreatAgain  🇺🇸😍👌🏼 #MAGA https://t.co/I6OsWSVvfB</t>
  </si>
  <si>
    <t>RT @LarrySchweikart: Cankles, Zero, Brennanski, and Combover have to be peeing their pants. https://t.co/4dxf3tayFa</t>
  </si>
  <si>
    <t>RT @joshdcaplan: BREAKING: Grassley requests DOJ documents on Bruce Ohr dealings with Christopher Steele on anti-Trump dossier - Fox News</t>
  </si>
  <si>
    <t>RT @tracybeanz: It’s getting interesting. https://t.co/1MPoMPb24B</t>
  </si>
  <si>
    <t>Liberals continue to ignore their “Know Your Customer” rule of business and are paying for it. https://t.co/qUPCPtf7mH</t>
  </si>
  <si>
    <t>RT @BryanDeanWright: Treachery is when the nation’s top intel &amp;amp; LE officials brief an unvetted dossier to a President — despite giving it n…</t>
  </si>
  <si>
    <t>RT @ChuckRossDC: G. Robert Blakey, the guy who wrote the RICO statute, tells me that Thor Halvorrsen has a "righteous" RICO case against Fu…</t>
  </si>
  <si>
    <t>RT @SecretsBedard: Boom: Team Trump cuts nearly twice as many regulations as promised https://t.co/JoRMuCEuvC</t>
  </si>
  <si>
    <t>RT @seanmdav: Halper endorsed Hillary Clinton over Trump in March of 2016 (and he did so using state-owned Russian media), but other than t…</t>
  </si>
  <si>
    <t>RT @BreitbartNews: "How would these idiot reporters feel if the Trump administration read their emails or tapped their cell phones or sent…</t>
  </si>
  <si>
    <t>So @CNN couldn’t weather their own STORM of ‘All Stormy All The Time’. Wow, who knew? 😂 #MediaBias #MAGA2018  https://t.co/HmNQlGdHcu</t>
  </si>
  <si>
    <t>RT @mac_balzac: THE LEFT: That's ok when it helps us. https://t.co/u29J7JDkPs</t>
  </si>
  <si>
    <t>RT @RealJamesWoods: “There is nothing more dangerous to the welfare of our republic than operatives from three-letter agencies taking sides…</t>
  </si>
  <si>
    <t>RT @flowers3712: @freenaynow @DonHensarling @welshscouse74 @jack @realDonaldTrump @The_Rain_Makers @POTUS @vestonash @therealroseanne @memo…</t>
  </si>
  <si>
    <t>RT @gr8tjude: Truth 🎯🎯🎯🎯🎯🎯🎯
Top Senate Dem admits: No gun control law would have stopped Santa Fe massacre↘️
(VIDEO) https://t.co/nJDIxkf…</t>
  </si>
  <si>
    <t>RT @NameRedacted7: The perception becomes that you will not fight back; it goes back to the psychology of dealing w bullies. If you beat th…</t>
  </si>
  <si>
    <t>RT @NameRedacted7: One of the points the President makes us that when someone screws you, you are OBLIGATED to counter it and deliver far w…</t>
  </si>
  <si>
    <t>RT @NameRedacted7: I would urge anyone worried to read @realDonaldTrump the art of the deal; focus on the 'revenge' chapter. The whole book…</t>
  </si>
  <si>
    <t>RT @NameRedacted7: There's a lot of fear &amp;amp; doubt that nothing will happen to the people who tried rigging the election for HRC, &amp;amp; then atte…</t>
  </si>
  <si>
    <t>RT @NameRedacted7: This is the first time subversive elements in the United States actively planned &amp;amp; attempted to overthrow The leadership…</t>
  </si>
  <si>
    <t>RT @NameRedacted7: They made this personal. They went after him, but they went after his family, too. They didn't want to just remove him f…</t>
  </si>
  <si>
    <t>RT @JohnWHuber: BIG: former Trump campaign advisor Michael Caputo says a SECOND SPY approached him
Caputo was only on the Trump campaign N…</t>
  </si>
  <si>
    <t>RT @ThomasWictor: Anthropogenic ("caused by humans") climate change is bogus.
None of the predictive computer models have ever come true.…</t>
  </si>
  <si>
    <t>RT @BasedBasterd: Watch:  👀
Michael Caputo drops the hammer on James Clapper!! 
"This informant, this person who they tried to plant into…</t>
  </si>
  <si>
    <t>RT @HMIBBook: Dear Socialist lovers,
Nothing is free. When you hear a candidate shout, “Free healthcare! Free Education! Free Enemas!” You…</t>
  </si>
  <si>
    <t>RT @mflynnJR: Not ironic the Deep State and those on the left are screaming louder and louder as this IG report looms.....almost as if they…</t>
  </si>
  <si>
    <t>RT @TheRickCanton: @FoxNewsInsider @TuckerCarlson Tucker - @ericswalwell was DESPERATE to lie and make this argument about the police being…</t>
  </si>
  <si>
    <t>RT @Ollyoxinfree: RT-RT-RT 💥💥💥
Even if your not in UTAH!
Get this around MAGA
Vote for👉 @KennedyForUtah
If your from Utah, be sure to comm…</t>
  </si>
  <si>
    <t>RT @MsAvaArmstrong: Too many people are "worried" about what might happen in our country if a past president and secretary of state are hel…</t>
  </si>
  <si>
    <t>RT @david_nikki: @jordanbpeterson Got my book in the mail today. So excited to read it. Thank you for sharing your wisdom! https://t.co/hxb…</t>
  </si>
  <si>
    <t>RT @ValorSearch: @jordanbpeterson To that end, thanks for allowing Dyson plenty of airtime!  #Victim #NotVictim #woesMe #munkdebate</t>
  </si>
  <si>
    <t>RT @jordanbpeterson: What shall I do with a lying man? Let him speak so that he may reveal himself. From Coda, the concluding chapter of 12…</t>
  </si>
  <si>
    <t>RT @Chris11962: #MorningJoe #Maddow #Hardball #CNN #MSNBC #MAGA #TuesdayThoughts #KAG #WWG1WGA 
Alan Dershowitz Asks The Key Question: Wha…</t>
  </si>
  <si>
    <t>RT @qkode: This Has Not Aged Well: Jake Tapper Condemns President Trump for Accusing Obama of Spying on His Campaign (VIDEO) https://t.co/x…</t>
  </si>
  <si>
    <t>Carlson: Russia Investigation Shows Ruling Class Is 'Completely Out of Control' | Breitbart https://t.co/uM1u3H8c41</t>
  </si>
  <si>
    <t>RT @kelseyjharkness: MY LATEST: SJW accuses conservative women of ‘appropriating’ feminism. https://t.co/AbsKiXILxD</t>
  </si>
  <si>
    <t>RT @CarolGarofolo: @NYGovCuomo When Buffalo flooded, you came for photo-ops but couldn't lift a sandbag. Had to leave, remember? 
NY NG got…</t>
  </si>
  <si>
    <t>RT @Tgmontana2: Cuomo got Hillary's endorsement because he paid for it. Hillary used to get millions of dollars for her endorsement. 
I won…</t>
  </si>
  <si>
    <t>RT @RJDonachie3: Read: Conservative Wave Urges Jim Jordan For Speaker https://t.co/k6ypDl3Irl via @dailycaller</t>
  </si>
  <si>
    <t>RT @KatTheHammer1: James T. Hodgkinson shot Majority Whip Steve Scalise and others at a congressional baseball practice! 
Know how many De…</t>
  </si>
  <si>
    <t>RT @MarkDice: Someone needs to have their graduation party at a @Starbucks and get the food and drinks delivered from somewhere else since…</t>
  </si>
  <si>
    <t>RT @cs0058sc: 🔴🔵CALLING TEXAS, GEORGIA, ARKANSAS and KENTUCKY MAGA PATRIOTS....
Primaries May 22nd...We need you out in force at the polls…</t>
  </si>
  <si>
    <t>RT @Lady_Greenstone: Let's respond with love and respect. If trolling continues, do not engage in rage, no matter how right we are. Remembe…</t>
  </si>
  <si>
    <t>RT @ThePatriot142: HUGE!! IG Has NO POWER TO SUBPOENA Former Obama Employees — That’s Why Rosenstein Asked Him to Investigate Spying on Tru…</t>
  </si>
  <si>
    <t>RT @Ronald_Ray_Guns: @AnthemRespect @MtRushmore2016 Corrupt to the core=Chuck Schumer !!!</t>
  </si>
  <si>
    <t>RT @ATeamMom1: When they attack American ideals, counter with ideals WE defend. 
•The US Bill of Rights. 
•Personal Responsibility
•Limited…</t>
  </si>
  <si>
    <t>https://t.co/dDQebiXnce</t>
  </si>
  <si>
    <t>RT @MZHemingway: Ok but other than that https://t.co/j3glQ5iyo1</t>
  </si>
  <si>
    <t>RT @MZHemingway: Certainly seems that was the operation https://t.co/VoIxjrZc7j</t>
  </si>
  <si>
    <t>RT @jamestaranto: Off the top of my head: Bill Clinton wasn't president. Today's meeting was, as far as I know, not surreptitious. And ther…</t>
  </si>
  <si>
    <t>RT @GrayConnolly: Never Trump promoting an unaccountable state that Never Trump warned Trump would create...there is a parable here https:/…</t>
  </si>
  <si>
    <t>RT @MZHemingway: Again, today’s WH meeting shows my debunking (below) of WP story that uncritically published DOJ spin of Trump opposing Nu…</t>
  </si>
  <si>
    <t>RT @FoxNews: .@VP on reports of @FBI surveillance of the #Trump campaign: "We'll get to the bottom of it because the American people have a…</t>
  </si>
  <si>
    <t>RT @MZHemingway: Sure, but it is kind of funny that they think it’s a good talking point https://t.co/BiA73pUynI</t>
  </si>
  <si>
    <t>RT @MZHemingway: Also to turn over the documents that Congress subpoenaed by end of the day.</t>
  </si>
  <si>
    <t>RT @MZHemingway: Trump should tell FBI/DOJ to prove to him that it's a serious national security issue to protect the spies they put on his…</t>
  </si>
  <si>
    <t>RT @MZHemingway: This was just one of many errors. But even this correction misses the Yahoo News story from September 2016 and the general…</t>
  </si>
  <si>
    <t>RT @MZHemingway: The Deep State Knows a Reckoning Is Coming  https://t.co/eskRpBvLIq</t>
  </si>
  <si>
    <t>RT @MZHemingway: Don't blame Trump for running out of patience with Mueller https://t.co/c2rEOgtBCz via @nypost</t>
  </si>
  <si>
    <t>RT @MZHemingway: "Trump was spied on" went from "tin foil hat conspiracy theory" to "totally justified, of course" in truly record time. ht…</t>
  </si>
  <si>
    <t>RT @ProfMJCleveland: Trump is right: Obama administration and career CIA, FBI, NSA's spying on his campaign is bigger than Watergate.  Here…</t>
  </si>
  <si>
    <t>RT @ByronYork: For a year, special counsel Mueller kept the true scope of his investigation secret. Now he's had to tell a judge. And a pow…</t>
  </si>
  <si>
    <t>RT @ByronYork: Just a guess, but seems likely Trump FBI plant investigation demand could fit into existing IG probe of FISA abuse; more lik…</t>
  </si>
  <si>
    <t>RT @ByronYork: Mueller was forced to give judge his real (not the public) appointment order. Now Congress wants to see it, too. https://t.c…</t>
  </si>
  <si>
    <t>RT @ByronYork: Is making 'war on Trump' in the job description of the New York state attorney general?
 https://t.co/McLzDyKNzQ</t>
  </si>
  <si>
    <t>RT @MikeEmanuelFox: Reps. Zeldin, Meadows, Jordan, DeSantis, Gaetz &amp;amp; Other Members of Congress to Announce tomorrow Introduction of 12 Page…</t>
  </si>
  <si>
    <t>RT @LydiaRodarte: @amandacarpenter Hey Amanda, here’s a reminder https://t.co/5E0GinWV44</t>
  </si>
  <si>
    <t>RT @drawandstrike: Former Assistant Deputy Attorney General Bruce Ohr has been singin' like a canary about DOJ/FBI contacts between himself…</t>
  </si>
  <si>
    <t>RT @T_S_P_O_O_K_Y: My interview from 4 March of 2017 speaks for itself...with the new information out over the last 72 hours I believe my a…</t>
  </si>
  <si>
    <t>RT @letitbethree: @dbongino One minute listening to Swalwell is enough to drive anybody over the edge. Kudos to @TuckerCarlson for being ab…</t>
  </si>
  <si>
    <t>RT @commonsensejan: @NightBird1965g @KazmierskiR @dbongino Yeah, but you can be sure he'd put a clause in to make himself exempt from such…</t>
  </si>
  <si>
    <t>RT @commonsensejan: @KazmierskiR @dbongino Oh, but he admitted some in his family are police officers so they of course would be allowed gu…</t>
  </si>
  <si>
    <t>RT @KazmierskiR: @dbongino He further humiliated himself by proposing that every American's guns should be 'bought back' and if we refuse t…</t>
  </si>
  <si>
    <t>RT @KrisBrbr93: @dbongino Very laughable!</t>
  </si>
  <si>
    <t>RT @dbongino: Congressman Eric Swalwell is busy absolutely humiliating himself, the Democrats, and the entire Russian collusion fairytale o…</t>
  </si>
  <si>
    <t>RT @TheLastRefuge2: Never, EVER, forget this little factoid from Sally Yates.  It was Sally Yates who intentionally kept the DOJ National S…</t>
  </si>
  <si>
    <t>RT @T_S_P_O_O_K_Y: Well, @JohnBrennan how's the ole sphincter muscle today? Little tight? Feeling like you wish you only had water boarding…</t>
  </si>
  <si>
    <t>RT @LarrySchweikart: Broken Kristol
Cheri Succubus
The Pud Podesta
Goldburger https://t.co/IqCg06RbIN</t>
  </si>
  <si>
    <t>https://t.co/893VH1Z7KV</t>
  </si>
  <si>
    <t>https://t.co/9jJOTo5ATN</t>
  </si>
  <si>
    <t>RT @AnthemRespect: These words are as haunting today as the day they were said by #ChuckSchumer:
“You take on the intelligence community,…</t>
  </si>
  <si>
    <t>RT @wikileaks: Harvard has announced that Hillary Clinton will receive a medal for "transformative impact on society". But there is only on…</t>
  </si>
  <si>
    <t>RT @OliverMcGee: Retweet if you will NOT be watching Barack and Michelle Obama’s Netflix series.</t>
  </si>
  <si>
    <t>@Angry_CS @NettieOliver7 @djandreezer @thehill Ur wrong, the founders thought abt this quite clearing &amp;amp; helped America dodge a bullet from the Deep State. 😂 https://t.co/wPENJrPao2</t>
  </si>
  <si>
    <t>@Angry_CS @thehill So Pres Trump is jealous of a hotbed of Marxists giving a pretend award to a fellow Marxist? Your case of Trump Derangement Syndrome is quite serious. Seek professional help.</t>
  </si>
  <si>
    <t>RT @Monica48996250: @NettieOliver7 @Angry_CS @thehill Just the Presidency. Twice</t>
  </si>
  <si>
    <t>@MaxSynergyTV @ShomahKhoobi @sup5555 @netflix @LDanteW Yep, the Obama’s will do for Netflix, what they did to America! Lousy resume. Thank God for Donald Trump who is cleaning it up.</t>
  </si>
  <si>
    <t>@netflix Netflix, just another tool for Liberal Indoctrination! 😡 The Obama’s are “transforming the country”.</t>
  </si>
  <si>
    <t>RT @johncardillo: Running the intel op against your campaign. https://t.co/1FlYfpZCmV</t>
  </si>
  <si>
    <t>@NettieOliver7 @djandreezer @Angry_CS @thehill This is why tbe Elec College was created, to prevent huge cities of Group Think from drowning out the other states’ voices. #MAGA https://t.co/6omSWzBnS0</t>
  </si>
  <si>
    <t>RT @djandreezer: @NettieOliver7 @Angry_CS @thehill Here you go. Stats on Russian attempts at influencing the US election. Trump didn’t need…</t>
  </si>
  <si>
    <t>RT @djandreezer: @NettieOliver7 @Angry_CS @thehill Considering he got the presidency, in a stunning upset against Hillary who was favored i…</t>
  </si>
  <si>
    <t>RT @Megalithicus: @_VachelLindsay_ TDS is real. 🤦🏽‍♂️</t>
  </si>
  <si>
    <t>RT @RonRichter10: @_VachelLindsay_ @thebradfordfile I had no clue how many delusional people there were out there until I got on Twitter😳</t>
  </si>
  <si>
    <t>RT @debpearsonTX: @_VachelLindsay_ She receives an award from left wing lunatics,  @realDonaldTrump receives the President of the United St…</t>
  </si>
  <si>
    <t>RT @KimStrassel: Puh-lease. Facts: 
DOJ/FBI blew their source, by leaking every detail to friendly media to spin. NYT and WaPo stories cite…</t>
  </si>
  <si>
    <t>RT @seanmdav: Weird: FBI spied on Trump campaign.
Weirder: Alleged FBI spy endorsed Hillary.
Weirdest: He endorsed her in an exclusive inte…</t>
  </si>
  <si>
    <t>RT @RepMarkMeadows: Rod Rosenstein knows exactly what happened and what is in the documents requested by Congress. Either the matter warran…</t>
  </si>
  <si>
    <t>RT @ChuckRossDC: NEW: The FBI Could Have Interviewed George Papadopoulos, But Opted To Spy On Him Instead https://t.co/ZrtuYRNMik @dailycal…</t>
  </si>
  <si>
    <t>RT @FDRLST: .@davidharsanyi: If the DOJ is as incorruptible as its defenders claim, why are they freaking out about an inquiry into the Don…</t>
  </si>
  <si>
    <t>RT @MZHemingway: OUT: Trump's a Liar and Lunatic For Saying Obama and Brennan Spied on Him
IN: Of Course Obama and Brennan Spied on Trump;…</t>
  </si>
  <si>
    <t>RT @ChuckRossDC: Completely disingenuous. DOJ leaked details about the informant to friendly reporters. That was after Nunes requested info…</t>
  </si>
  <si>
    <t>RT @MZHemingway: I can't believe that Congress is still waiting for these documents they subpoenaed weeks ago. What in the world is going o…</t>
  </si>
  <si>
    <t>RT @KimVanderkelen: @evanmcmurry Trump needs to declassify ALL of Obama’s and Brennan’s emails and texts, ASAP!</t>
  </si>
  <si>
    <t>RT @evanmcmurry: MORE: "White House Chief of Staff Kelly will immediately set up a meeting with the FBI, DOJ, and DNI together with Congres…</t>
  </si>
  <si>
    <t>RT @seanmdav: It's also noteworthy that the White House released a statement immediately following the meeting, before Rosenstein et. al. c…</t>
  </si>
  <si>
    <t>RT @johnrobertsFox: Whoa.  This is big https://t.co/vrw2lhKkGF</t>
  </si>
  <si>
    <t>RT @Timothy18342490: @johnrobertsFox Don’t hear you say that very often.... why would they need  to be told to take these steps on their ow…</t>
  </si>
  <si>
    <t>RT @Boomingbox: @Timothy18342490 @johnrobertsFox Very obvious.  It has turned into the Federal Bureau of Instigations &amp;amp; the Department of O…</t>
  </si>
  <si>
    <t>RT @brithume: Looks like the White House is intervening to end the stonewalling. https://t.co/K4AH3cC1tx</t>
  </si>
  <si>
    <t>RT @mitchellvii: I'm shadow-banned into oblivion.  You'd think Twitter would catch a clue denying our 1st Amendment Rights is backfiring on…</t>
  </si>
  <si>
    <t>RT @mitchellvii: Remember when Twitter used to pride itself on being about free speech and free ideas?
Does anyone believe that now?</t>
  </si>
  <si>
    <t>RT @mitchellvii: Twitter got Trump elected in 2016 by giving us a voice and they'll get Democrats defeated in 2018 by taking it away.</t>
  </si>
  <si>
    <t>RT @mitchellvii: You know something is broken in social media when under the guise of "limiting hate speech," the ONLY speech they allow is…</t>
  </si>
  <si>
    <t>RT @mitchellvii: Misogynist Donald Trump appoints first female CIA Director.
He sucks at misogyny.</t>
  </si>
  <si>
    <t>RT @mrmonks01: @k_ovfefe @MtRushmore2016 Yeah remember John Huber was working with  Horowitz for at least 6-9 months ( with zero leaks) bef…</t>
  </si>
  <si>
    <t>@PollackHunter Absolutely agree! Too bad the media cant show them sitting in their not-so-glamorous jail cells. Our culture is full of nutjobs craving fame courtesy of the TV cameras.</t>
  </si>
  <si>
    <t>RT @PollackHunter: We should refer to killers by prison number. For example my family refers to parkland killer as 18-1958. Sante fe should…</t>
  </si>
  <si>
    <t>RT @JackPosobiec: The DOJ is part of the Executive Branch and is not even mentioned in the Constitution https://t.co/ACCrXeitXo</t>
  </si>
  <si>
    <t>RT @LarrySchweikart: How bad is it when a DemoKKKrat advisor like Mark Penn has a better grasp on how successful Trump is &amp;amp; what good shape…</t>
  </si>
  <si>
    <t>RT @LarrySchweikart: Ponder this. Rand Paul said a long time ago his campaign was spied upon as well. Cruz hasn't. It's hard to believe tha…</t>
  </si>
  <si>
    <t>RT @LarrySchweikart: Dear Cankles: Thank you for continuing to make a horse's ass out of yourself, to wallow in your hippo-pity party, &amp;amp; to…</t>
  </si>
  <si>
    <t>RT @LarrySchweikart: Shout out to LDS friends: my friend, director Alan Peterson just did a great movie focused on Mormon teens called "Tre…</t>
  </si>
  <si>
    <t>RT @LarrySchweikart: If @JohnBrennan is the Russkie agent I believe him to be, he has far more to worry about than jail or Jeff Sessions.…</t>
  </si>
  <si>
    <t>RT @LarrySchweikart: So now, after Trump manipulated the Swamp in the Senate &amp;amp; the media into supporting these investigations, they are tur…</t>
  </si>
  <si>
    <t>RT @NameRedacted7: Put your smug attitude away. The FBI &amp;amp; DOJ would *never* begin a comprehensive spying program on opposing presidential c…</t>
  </si>
  <si>
    <t>RT @TheLastRefuge2: Notice Rod Rosenstein is not denying the activity took place.  This is important. The Deputy Attorney General is now wi…</t>
  </si>
  <si>
    <t>RT @WashTimes: "Let’s be clear, The DOJ and FBI, under Barack Obama, investigated and spied on the Trump presidential campaign complete wit…</t>
  </si>
  <si>
    <t>RT @k_ovfefe: Who wants to bet Horiwitz has already been investigating everything he was just "ordered" to investigate for months now?
*Ra…</t>
  </si>
  <si>
    <t>Citizens must be confident that their leaders are acctable under the same Laws that they are! We do not have a Monarchy though the Swamp pretends they are. https://t.co/ZE6V1YpyaL</t>
  </si>
  <si>
    <t>RT @The_War_Economy: It should come as no surprise to discover that Benjamin Wittes of Brookings / Lawfare fame also attended the same even…</t>
  </si>
  <si>
    <t>RT @LarrySchweikart: https://t.co/WxtjFn0Z8q
Whooo hooo! The Compost and Timed Out, both in a week!</t>
  </si>
  <si>
    <t>RT @jennebehre: @tracybeanz @rose_m1 @amyserwinowski @threadreaderapp @therealroseanne @dsm012 Remember, Liberals change the narrative to f…</t>
  </si>
  <si>
    <t>RT @tracybeanz: @amyserwinowski @threadreaderapp @therealroseanne @dsm012 This report isn’t verified and I mention it in this thread. He wa…</t>
  </si>
  <si>
    <t>RT @tracybeanz: AND! It makes it worse that they KNOW THIS in the Senate Intel Committee and they STILL said that there was Russian interfe…</t>
  </si>
  <si>
    <t>RT @tracybeanz: 25. So it appears, that select folks in the IC, who had used the unverified dossier already to obtain FISA warrants, etc, v…</t>
  </si>
  <si>
    <t>RT @tracybeanz: 14. This entire page needs to be read- remember this is Orbis/Steele answering. It states here the Dec memo was given to Mc…</t>
  </si>
  <si>
    <t>RT @tracybeanz: 12. The media was trying to get in front of this story, because of the massive implications it has. We learn in this lawsui…</t>
  </si>
  <si>
    <t>RT @tracybeanz: 10. The problem?? MICHAEL COHEN HAS NEVER BEEN TO PRAGUE. It was debunked back after the dossier was released, when Cohen p…</t>
  </si>
  <si>
    <t>RT @LarrySchweikart: Get used to the name John Lausch.
Sessions supposedly brought him in to help with the document transfer.
Right.
He'…</t>
  </si>
  <si>
    <t>RT @gaye_gallops: ALL ROADS LEAD TO...OBAMA.Comey suddenly SILENT.BHO campaign paid PERKINS COIE $972,000 whom filed with the FEC and SECRE…</t>
  </si>
  <si>
    <t>RT @ladydwinter: Good Morning Patriots 🇺🇸🦅🇺🇸
Stay The Coarse Encourage and Lift Up Other Patriots🕊Be Blessed 🕊
God Declares Himself To Be…</t>
  </si>
  <si>
    <t>RT @JohnFromCranber: Devin Nunes behavior poses a danger to the US, James Comey warns.
No, Devin Nunes/Donald Trump’s Behavior/Actions Pos…</t>
  </si>
  <si>
    <t>RT @firefan17: SWAMP REUNION: Obama’s Three Muses Reappear In Mueller’s Trump Investigation https://t.co/gG8LdJKlDY via @dailycaller</t>
  </si>
  <si>
    <t>RT @ReneeCarrollAZ: #MondayMotivation
🇺🇸 VOTE Tomorrow 5/22 🇺🇸
@ShaneTHazel for Congress
☑️ Husband / Father
☑️ Marine Combat Veteran
☑️…</t>
  </si>
  <si>
    <t>RT @JackPosobiec: For the people saying Stefan Halper's life is now at risk, who is threatening him? Page? Papadoloulos? Are you accusing T…</t>
  </si>
  <si>
    <t>RT @JenNongel: I think this is going to be a glorious day!! Just imagining the panic and anxiety Brennan is going through RT now makes me s…</t>
  </si>
  <si>
    <t>RT @RealJack: If Brennan, Clapper, Obama, Lynch, Comey, Halper all are totally innocent with nothing to hide...
Why are they freaking out…</t>
  </si>
  <si>
    <t>RT @MarcInNorthTex: #AbortionIsMurder #DefundPlannedParenthood https://t.co/WCP6IXAxMd</t>
  </si>
  <si>
    <t>RT @ACTBrigitte: Two of my favorite @ACTforAmerica staff members made it to the White House today.
What a wonderful President we have. #MA…</t>
  </si>
  <si>
    <t>RT @JNLevin: @iowahawkblog Starbucks is bringing a little slice of San Francisco charm to your home town.</t>
  </si>
  <si>
    <t>RT @Dylan_Ellett: @iowahawkblog I think a 60% increase in restroom traffic warrants at least a 6% raise for employees</t>
  </si>
  <si>
    <t>RT @iowahawkblog: Luckily, San Francisco solved the public restroom availability crisis</t>
  </si>
  <si>
    <t>RT @iowahawkblog: I'd estimate Los Angeles has fewer accessible public restrooms than Moville, Iowa</t>
  </si>
  <si>
    <t>RT @iowahawkblog: you know you're in a world class cosmopolitan city when all the bathrooms have to be kept under lock &amp;amp; key like the crown…</t>
  </si>
  <si>
    <t>RT @PatriotJenn: 🇺🇸🚨🇺🇸🚨ATTENTION🇺🇸🚨🇺🇸🚨
🚨#Kentucky  #GA  #Arkansas🚨
Primaries ARE TOMORROW —
Tuesday, May 22! 
🇺🇸🇺🇸SHOW UP TO VOTE! 🇺🇸🇺🇸…</t>
  </si>
  <si>
    <t>RT @Ian56789: Under Obama the cost of Health Insurance skyrocketed.
"Barack and Michelle Obama" https://t.co/n8ThSnZqSC</t>
  </si>
  <si>
    <t>RT @ScottPresler: I'm On Twitter For One Reason:
To keep our Republican majorities in the House/Senate, to reelect President Trump in 2020…</t>
  </si>
  <si>
    <t>RT @missustruth: @_VachelLindsay_ I don’t see this as revenge. But I’m cool if it is. Personally I see it as justice as there’s more harm t…</t>
  </si>
  <si>
    <t>RT @Abomination1349: @_VachelLindsay_ It’s pretty clear DJT extended an olive branch to O, HRC, et al. after the election, and was willing…</t>
  </si>
  <si>
    <t>RT @MomJar1: Has the court decided yet who owns that laptop? Wsserman or the prosecutors?
This case would seem to be a no brainer. But the…</t>
  </si>
  <si>
    <t>RT @andilnx: There is an evil cabal that easily finds bigotry where it doesn't exist. They are quick to find something that will give them…</t>
  </si>
  <si>
    <t>https://t.co/q7aH21yfnd</t>
  </si>
  <si>
    <t>Democrat Cover-up? “Some of the Awan family were getting paid a 6-figure salary and not even showing up. One of the guys was working at McDonald's," he said.
"They had this kind of fake car rental outfit. They're going back and forth to Pakistan.” #Swamp  https://t.co/oPa8cRwWwe</t>
  </si>
  <si>
    <t>What are Dems hiding? “New reports have emerged that dozens of House Democrats WAIVED the background checks on the Awan Brothers — the House I.T. aides handling their cybersecurity and with access to their email systems.” #DrainTheDeepState  https://t.co/WWCwSELux4</t>
  </si>
  <si>
    <t>RT @The_War_Economy: In a desperate attempt to defeat Trump, they're literally becoming him. https://t.co/rfL2njMw9n</t>
  </si>
  <si>
    <t>RT @THEHermanCain: They can't win on message, can't win on ideology, and can't win on Russia, so Democrats have settled on a bold strategy…</t>
  </si>
  <si>
    <t>RT @The_War_Economy: The funny thing about @EricHolder's odd tweet remarks and whatever is that he wasn't even IN the White House when the…</t>
  </si>
  <si>
    <t>RT @The_War_Economy: What do you think? Am I close with how it all went down? https://t.co/02MTmiw5qc</t>
  </si>
  <si>
    <t>RT @CassandraRules: It frustrates me to no end that nobody is willing to talk about mass shooters &amp;amp; HOW they become that way. Teen Vogue is…</t>
  </si>
  <si>
    <t>https://t.co/aPLILHHMe3</t>
  </si>
  <si>
    <t>https://t.co/7zlpuRAetw</t>
  </si>
  <si>
    <t>https://t.co/aN5anOuhLn</t>
  </si>
  <si>
    <t>RT @CovfefeLadyC: This mob must fall and fall hard #DeepState is panicing now.
We must take this group of rats down.
#DeepState has ruine…</t>
  </si>
  <si>
    <t>RT @ConnieCrowley_: @BoSnerdley I heard the call, and then later found this tweet and clip from the president:  https://t.co/ypqo64xEti</t>
  </si>
  <si>
    <t>RT @RickertKaren: @BoSnerdley I know that young man now has a HUGE cheering section out here!  Please tell him to  check in from time to ti…</t>
  </si>
  <si>
    <t>RT @hispanicmom: @BoSnerdley Rush is the best storyteller — explains issues w/clarity, historical context, humor.
He’s compassionate —as r…</t>
  </si>
  <si>
    <t>RT @GrassrootTroopr: @BoSnerdley Rush treated Jerome with true CLASS, compassion and generosity. Very inspiring call which made an impact o…</t>
  </si>
  <si>
    <t>RT @nohairkenny: @BoSnerdley I heard that call....it was amazingly inspirational</t>
  </si>
  <si>
    <t>RT @jjmtz1: @BoSnerdley That was a great call, I got a bit emotional listening to this young man &amp;amp; his story, loved the joke as well, I’m k…</t>
  </si>
  <si>
    <t>RT @cleartransition: @BoSnerdley @RetrieverQueen What matters is he feels inspired to turn his life around for the better! I hope he succee…</t>
  </si>
  <si>
    <t>RT @KJMerlo: @BoSnerdley I was/am so happy for him.  Seriously, he made me tear up. Rock on Rush!</t>
  </si>
  <si>
    <t>RT @masonweaver: @BoSnerdley The truth is getting out. We are seeing the harvest. Stay Right or Be Left.</t>
  </si>
  <si>
    <t>RT @BoSnerdley: So - Rush just took a call from a 26 year old, who started listening while he was in ad/seg in prison. Turned his life arou…</t>
  </si>
  <si>
    <t>Ya think?  https://t.co/00Xtodlx2u</t>
  </si>
  <si>
    <t>RT @jrosenbaum: I guess if Faughn won't come before the #moleg committee, the committee could always subpoena some of his sponsors. https:/…</t>
  </si>
  <si>
    <t>RT @VitoMar03987514: @RealJamesWoods @CNN https://t.co/W6VQFlLO2K</t>
  </si>
  <si>
    <t>RT @Bob72270: @MtRushmore2016 If Nikki Haley was an illegal immigrant, she would be consider a Person of Color due to her Indian heritage.…</t>
  </si>
  <si>
    <t>https://t.co/pEtVncgCbb</t>
  </si>
  <si>
    <t>https://t.co/QnAxrAFcsf</t>
  </si>
  <si>
    <t>RT @Karnythia: Thousands of kids in Chicago were exposed to a higher risk of violence because of Duncan's "brilliant" policy of closing sch…</t>
  </si>
  <si>
    <t>@squeri65 @RussOnPolitics Besides, parents who were sick of @arneduncan policies with liberal indoctrination, started boycotting the public achool system yrs ago by home schooling &amp;amp; sending kids to private schools!😉🇺🇸 #2A</t>
  </si>
  <si>
    <t>RT @squeri65: @RussOnPolitics clueless idiots! Parents can’t work if kids boycott school, this would just encourage anarchy</t>
  </si>
  <si>
    <t>RT @PGOperations: @MtRushmore2016 I'm NOT a "sue the Gov't" type of person, but for what Mueller has/is doing to many innocent ppl, financi…</t>
  </si>
  <si>
    <t>Nunes believes the American people deserve to know whether or not their intelligence agencies have followed the law. “Someone has to watch the watchers,” he told me recently. “The Constitution vests Congress w/oversight powers over the executive branch.” https://t.co/tEXqym1r5P</t>
  </si>
  <si>
    <t>Ruemmler and Monaco were prosecutors under Andrew Weissmann (part of Robt Mueller’s team) on the Enron Task Force, where they were all implicated in various forms of prosecutorial misconduct!🙄  https://t.co/Fv4SJcj6GV</t>
  </si>
  <si>
    <t>The "deep state" is in a deep state of desperation. With little time left before the Justice Dept IG rpt becomes public &amp;amp; with special counsel Robert Mueller having failed to bring down Donald Trump after a year of trying, they know a reckoning is coming. https://t.co/agFoPM1Vlc</t>
  </si>
  <si>
    <t>RT @oliverdarcy: The Washington Post stood by its reporting. The New York Times didn't respond to requests for comment. Neither did ABC, NB…</t>
  </si>
  <si>
    <t>RT @MaryAnastasiaOG: Venezuela’s Sham Election, by @MaryAnastasiaOG https://t.co/WN82i9crSt</t>
  </si>
  <si>
    <t>RT @FreemanWSJ: Thanks, Brian. Here's the link:
https://t.co/e5SNVwLSUv https://t.co/UQKL9jYcIp</t>
  </si>
  <si>
    <t>RT @Zimrico: @brianstelter @FreemanWSJ Now that you mention it, what did he know &amp;amp; when did he know it?
(rhetorical question, we all know t…</t>
  </si>
  <si>
    <t>RT @bountytx: Trump is finally bringing hammer down. No more negotiating with the deep state. He needs our total support as next couple wee…</t>
  </si>
  <si>
    <t>RT @phil200269: The Deep State was born out the same administration that empowered our enemies and gave rise to ISIS.
Robert Mueller's law…</t>
  </si>
  <si>
    <t>RT @NRATV: "Instead of teaching our kids how to cope with the harsh realities of life, we shield them in safe spaces...and tell our young b…</t>
  </si>
  <si>
    <t>RT @Charlie4USA: @johncardillo @MtRushmore2016 This is why I HATE @BarackObama he was always on the side of terrorism..... he stole our tax…</t>
  </si>
  <si>
    <t>RT @seanmdav: What a coincidence: “The fourth and final spy warrant against Page expired in Sept. 2017, the same month Page and Halper fell…</t>
  </si>
  <si>
    <t>RT @johncardillo: That time back in early 2017 when Obama gave #Hamas $221,000,000
https://t.co/yCWgkTcwt6</t>
  </si>
  <si>
    <t>RT @twitswits: Rex wrecks the fraud Feinstein. https://t.co/f1TwCsxAMJ</t>
  </si>
  <si>
    <t>RT @Shem_Infinite: @_VachelLindsay_ What would Feinsteins motive be here....I wonder https://t.co/cDwgYZMjrH https://t.co/5THHxosU50</t>
  </si>
  <si>
    <t>RT @PressSec: Historic day for our country: swearing-in ceremony for Gina Haspel, the first woman ever to serve as CIA director. Democrats…</t>
  </si>
  <si>
    <t>RT @A_Joseph1616: Before stopping Robert Mueller, have him:
-get the DNC servers
-interview Assange and Craig Murray
-respond to  @KimDotc…</t>
  </si>
  <si>
    <t>RT @factlifee0: Stop looking for reasons to be unhappy. Focus on the things you do have, and the reasons you should be happy.</t>
  </si>
  <si>
    <t>Pres Trump Vindicated! https://t.co/I6szQwXRt8</t>
  </si>
  <si>
    <t>RT @sherrardsebooks: Shop Christian NonFiction eBook Store Including I &amp;amp; II Samuel Volume 7 in the Devotionals Category https://t.co/JMgee5…</t>
  </si>
  <si>
    <t>...yawn.... 😴 https://t.co/CRM8hWzWtx</t>
  </si>
  <si>
    <t>RT @ThomasWictor: Trump, Bolton, and Kim hoodwinked everybody.
The deal is to free North Korea from China.
THAT is what will work. https:…</t>
  </si>
  <si>
    <t>RT @PrisonPlanet: Principal forced to apologize for “insensitive” language on prom tickets.
He told people to "party like it's 1776".
Can…</t>
  </si>
  <si>
    <t>RT @MarkYoungTruth: Why does the MSM refuse to report on any of the successes that President Trump has had? Click now to get the #BFT. http…</t>
  </si>
  <si>
    <t>https://t.co/6TFmGIxEeE</t>
  </si>
  <si>
    <t>RT @Barnes_Law: Sexual harasser "journalist" close to FusionGPS who spread #Dossier lies before campaign misstates the evidence: DNC NEVER…</t>
  </si>
  <si>
    <t>RT @JacobAWohl: WOW! Jim Comey denies telling lawmakers that FBI agents didn't initially think Flynn lied to them, but contemporaneous note…</t>
  </si>
  <si>
    <t>RT @gatewaypundit: The only thing left of the Obama legacy. https://t.co/eYzVhJEYBh</t>
  </si>
  <si>
    <t>RT @michellemalkin: Silly woman, in what state do you need a background check and permit to carry around your vagina?
This is your brain on…</t>
  </si>
  <si>
    <t>RT @JackPosobiec: Tom Fitton is correct
If Barack Obama ordered political spying of Candidate Trump he must be impeached, and barred from…</t>
  </si>
  <si>
    <t>RT @AndrewCMcCarthy: Thanks to my friend @scottwjohnson for kind words re my weekend @NRO column: https://t.co/9Fyfq47m5V via @powerlineUS</t>
  </si>
  <si>
    <t>RT @TomFitton: Obama, btw, can still be impeached. https://t.co/JsIU9bhnnJ</t>
  </si>
  <si>
    <t>RT @KelemenCari: When plunder becomes a way of life for a group of men in a society, over the course of time they create for themselves a l…</t>
  </si>
  <si>
    <t>RT @johncardillo: The left is terrified https://t.co/t0aslYuM04</t>
  </si>
  <si>
    <t>RT @BryanDeanWright: In normal times, it wouldn’t be alarming that an #FBI informant was trying to clarify suspected #TrumpRussia ties. But…</t>
  </si>
  <si>
    <t>RT @chuckwoolery: DREAMER Group To Hold Summer Camps For Community Organizing And Social Justice https://t.co/k5CJMk3uKm https://t.co/6hApJ…</t>
  </si>
  <si>
    <t>RT @chuckwoolery: Freedom Caucus Chair Mark Meadows Demands Documents From Rosenstein: ‘The DOJ Can’t Be Trusted to Investigate Themselves…</t>
  </si>
  <si>
    <t>RT @wisdomtolive: https://t.co/l8W7wudH8o</t>
  </si>
  <si>
    <t>RT @Henryhahadavis: MY REMARKS ABOUT DONALD TRUMP FOOD STAMP PROGRAM!! 3.7 MILLION VIEWS ON MY FACEBOOK PAGE!! GO THERE FOR FULL VIDEO! @HE…</t>
  </si>
  <si>
    <t>RT @Henryhahadavis: DAM RIGHT KANYE WEST!! I'm with you!!! https://t.co/oxpsi6uMg5</t>
  </si>
  <si>
    <t>RT @foxandfriends: “Number one issue” –Kellyanne Conway reinforces the president’s commitment to building the wall (via #SundayFutures) htt…</t>
  </si>
  <si>
    <t>RT @DiamondandSilk: We told y'all way back then whats unfolding right now.  This Obamagate collusion is some unbelievable hypocrisy.
Maybe…</t>
  </si>
  <si>
    <t>RT @FoxNews: A Milwaukee bus driver helps a young boy get to school after he falls off of his bike. https://t.co/lVJbChBhwb</t>
  </si>
  <si>
    <t>RT @InGodIDoTrust: MORE than just about spying on a campaign...an orchestrated conspiracy  to rig the election. The insurance policy was to…</t>
  </si>
  <si>
    <t>RT @RubyRockstar333: It's such a GOOD DAY in the Land of #MAGA &amp;amp; my mood couldn't be better! 
I'm feeling SO great that I'm  offering some…</t>
  </si>
  <si>
    <t>RT @Liberty4Life73: @TheLastRefuge2 @Ali_H_Soufan where do you people come up with this crap? FBI/DOJ are the Executive Branch they are not…</t>
  </si>
  <si>
    <t>RT @RobertWoodham2: @TheLastRefuge2 As hard as it is to believe he was FBI. It is still more difficult to believe he is an author.</t>
  </si>
  <si>
    <t>RT @TheLastRefuge2: Good grief... 👇this guy is "a former FBI agent"??  How do you think President Obama instructed the DOJ (Eric Holder) to…</t>
  </si>
  <si>
    <t>“But there is much more than just this small group of powerful people working toward a common goal, there is an entire infrastructure created by the left not only to destroy Trump, but to indoctrinate unsuspecting Americans into their agenda.” 😡 #MAGA https://t.co/YHGtmpqwoy</t>
  </si>
  <si>
    <t>RT @JCunninghamMO: What is it people don’t understand about conduct while “in office?”  Seems so simple and straight forward. #moleg. https…</t>
  </si>
  <si>
    <t>RT @ATeamMom1: What I’ve said ALL ALONG! As has @JCunninghamMO . The statute is clear. “In Office.” https://t.co/VRCyF7pstD</t>
  </si>
  <si>
    <t>https://t.co/8oZ6QArsCM</t>
  </si>
  <si>
    <t>“The facts are suggesting something chillingly sinister: A government operative directed by the Obama-run FBI purposely infiltrated the campaign of a candidate with the training and background needed to destabilize elections.” https://t.co/lRv2R0jckK</t>
  </si>
  <si>
    <t>RT @RuskyBotskyDA: The Twitter “Gang of Ten” 
Upon request the family tree has been updated to include handles, and add the great @NameRed…</t>
  </si>
  <si>
    <t>RT @mtenorio77: I have to say something! White students’ and teachers’ are being forced off Evergreen campus so students’ of color can have…</t>
  </si>
  <si>
    <t>RT @awaken_to_maga: Here's to the coming news &amp;amp; to the coming storm.
May your stories redpill a sleeping nation, &amp;amp; may your rain bring May…</t>
  </si>
  <si>
    <t>RT @polishprincessh: What a joke this school has become. The left has destroyed it.
Tells you everything you need to know about our colleg…</t>
  </si>
  <si>
    <t>RT @TomFitton: Mr. Brennan is among those senior Obama administration officials who may have civil and criminal liability for the illicit t…</t>
  </si>
  <si>
    <t>RT @T_S_P_O_O_K_Y: @AshaRangappa_ Apparently you @AshaRangappa_ were incompetent as an agent - and have no clue on how things work at that…</t>
  </si>
  <si>
    <t>RT @JulianSvendsen: @realDonaldTrump Do you support our POTUS? (Retweet after voting!)</t>
  </si>
  <si>
    <t>RT @PGOperations: you work, pay taxes, funding Gov't, Gov't spies on you, investigates you, you go broke, while funding the Investigators i…</t>
  </si>
  <si>
    <t>RT @charliekirk11: Any elected official that aids illegals to evade ICE agents should be arrested and removed from office 
We cannot have…</t>
  </si>
  <si>
    <t>RT @BuckSexton: The DOJ is not it’s own branch of government.
Congress created it.
It falls under the Executive Branch. 
The person in c…</t>
  </si>
  <si>
    <t>RT @AriFleischer: A text from an FBI agent in 2016 says “the White House is running this”, referring to the opening of the Trump investigat…</t>
  </si>
  <si>
    <t>RT @brithume: For which they are rewarded with Pulitzer prizes and other accolades. https://t.co/tc3Iv9BrWy</t>
  </si>
  <si>
    <t>RT @MZHemingway: One might have thought most of the political media couldn't embarrass themselves more than they did in 2016. Then 2017 hap…</t>
  </si>
  <si>
    <t>RT @brithume: Let’s hope he will get into the question of whether there was sufficient basis to launch the counterintelligence probe in the…</t>
  </si>
  <si>
    <t>James Woods: Why Are Democrats Blocking ‘Security Protocols that Work for Schools’ Like Those that Worked After 9/11 https://t.co/aLQq6U5DF6 via @BreitbartNews</t>
  </si>
  <si>
    <t>NC Police Find $90 Million in Meth Hidden in Truck Fuel Tank Driven by Illegal Alien https://t.co/3aEFDMPTxI</t>
  </si>
  <si>
    <t>RT @MZHemingway: If I had uncritically published a fake Russia conspiracy theory for two years, I’d be panicking and acting out too.</t>
  </si>
  <si>
    <t>RT @SWCCEM: @MZHemingway Reputations and careers are on the line for a lot of "journalists".
For a select few, their very freedom is on th…</t>
  </si>
  <si>
    <t>RT @MZHemingway: This lady doth protest much! https://t.co/tQC8lccBkv</t>
  </si>
  <si>
    <t>RT @kristina_wong: From Michael B. Mukasey, a former federal judge and attorney general in the George W. Bush administration:
“For both le…</t>
  </si>
  <si>
    <t>RT @prayingmedic: 32) Here's a news story on the plane crash that killed the woman who would have verified Barack Obama's birth certificate…</t>
  </si>
  <si>
    <t>RT @prayingmedic: 31) #Qanon posted a link to a 2013 tweet from Donald Trump aboutthe mysterious death of the woman who verifies birth Cert…</t>
  </si>
  <si>
    <t>RT @prayingmedic: 29) #Qanon posted. 
The first item is a link to @Jim_Jordan's tweet asking POTUS to intervene and get Congress the docume…</t>
  </si>
  <si>
    <t>RT @TheLastRefuge2: 1. “A nation can survive its fools, and even the ambitious. But it cannot  survive treason from within. An enemy at the…</t>
  </si>
  <si>
    <t>RT @Shem_Infinite: I thought it was just me. My stomach is physically turning every time I stop to think about just how insanely impactful…</t>
  </si>
  <si>
    <t>RT @DanielKnightPL: Millions of Americans are constantly feeling their stomachs turn from hearing about Obama’s different illegal methods o…</t>
  </si>
  <si>
    <t>@JohnBrennan You are WRONG! This nation cannot heal until the corrupt police state is exposed &amp;amp; punished so Americans know no one is above the law! #DrainingTheDeepState</t>
  </si>
  <si>
    <t>RT @ThomasWictor: (8) The average Syrian draftee is not killed.
He's told to go home, and most do.</t>
  </si>
  <si>
    <t>RT @ThomasWictor: (1) There are multiple reports of massive GROUND ACTION taking place in Syria.
https://t.co/aaZxRA0Efq</t>
  </si>
  <si>
    <t>https://t.co/abvkhBr68X</t>
  </si>
  <si>
    <t>RT @SecPompeo: We support the #Iranian people who are demonstrating against an oppressive government.  3 deaths &amp;amp; internet interruption sho…</t>
  </si>
  <si>
    <t>Libs fooled us once when they said they would NEVER do ask for abortions past the 1st trimester! We no longer believe them; too many politicians Blue State Dems pushing for #GunControl #2A #NRA https://t.co/XmjKFzXysa</t>
  </si>
  <si>
    <t>Find out the latest on Obama agencies spying on Donald Trump’s campaign. The REAL #ElectionInterference was done by Democrats! https://t.co/R0hKKDI59a</t>
  </si>
  <si>
    <t>RT @realkareemdream: .@RealCandaceO is out here kicking ASS! Salute to the “OG” @KatrinaPierson - 1st BLACK Woman to serve as Nat’l Spokesp…</t>
  </si>
  <si>
    <t>RT @Pink_About_it: If the FBI supposedly used an informant to protect Trump, as Washington Compost headlines suggested yesterday, then why…</t>
  </si>
  <si>
    <t>The Bible predicts America’s Declaration of Independence, with symbols of a lion for Great Britain and for the US. an eagle and Uncle Sam. 🇺🇸✝️ #GodBlessAmerica https://t.co/tb4YGzBikU</t>
  </si>
  <si>
    <t>RT @RealOmarNavarro: Let’s get ready for the debate @RepMaxineWaters after June 5th. I challenge you to a debate.</t>
  </si>
  <si>
    <t>RT @famousquotenet: The freedom of speech of private individuals includes the right not to agree, not to listen and not to finance one's ow…</t>
  </si>
  <si>
    <t>RT @Rightwingmadman: @realDonaldTrump Democrats screamed hysterically that their DNC servers and John Podesta's Gmail account were penetrat…</t>
  </si>
  <si>
    <t>RT @Rightwingmadman: @realDonaldTrump Everything Obama did to Trump - spied on him, wiretapped him, FISA warranted him, agent provocateur'd…</t>
  </si>
  <si>
    <t>RT @KatTheHammer1: "Shooters go to places where there is no self-defense allowed. Abolish gun free zones. Implement armed guards. We protec…</t>
  </si>
  <si>
    <t>So Democrats are now pro-MS-13...?🤔 https://t.co/uNq8lPdiN0</t>
  </si>
  <si>
    <t>@DrMartyFox @KateLavely  https://t.co/KqgXsIxYEx</t>
  </si>
  <si>
    <t>RT @thebradfordfile: Dear Maxine Waters:
You can't impeach our President for crimes committed by a former FBI Director, a former NSA Advis…</t>
  </si>
  <si>
    <t>@RadgrannyKs @KingAJ40  https://t.co/HWXNEJlHGG</t>
  </si>
  <si>
    <t>RT @Shar_n_Shar: Never trusted #PaulRyan https://t.co/6EClmobaeB</t>
  </si>
  <si>
    <t>RT @mikandynothem: These stars, who actually have a brain, were on Saturday Night Live @nbcsnl and they all have slammed the one time excel…</t>
  </si>
  <si>
    <t>RT @JackPosobiec: Well this is awkward https://t.co/tW1hwusGGW</t>
  </si>
  <si>
    <t>@StephenHerreid @Peggynoonannyc ... Proving my point. https://t.co/vO3SO7WCKj</t>
  </si>
  <si>
    <t>You gave up that right when you made a choice that could result in creating a new little Life...  Planned Parenthood gets enormous contributions &amp;amp; private funding so they wont turn anyone away. https://t.co/ZpE6rRvgHE</t>
  </si>
  <si>
    <t>RT @BuzzPatterson: No kidding. How can anybody supporting certifiably batshit crazies Nancy Pelosi and Maxine Waters dare to question Presi…</t>
  </si>
  <si>
    <t>RT @therealroseanne: i just could NEVER imagine I would be having so much fun at aged 65!</t>
  </si>
  <si>
    <t>@StephenHerreid @Peggynoonannyc Liberals no longer allow our kids to just be kids. 😢</t>
  </si>
  <si>
    <t>😢🙏🏻💞 #PrayForOurChildren #BackTheBlue https://t.co/mSMC0uqzpw</t>
  </si>
  <si>
    <t>RT @FrAquinasOP: Please pray for these 9 brothers. They will be ordained to the priesthood on Saturday.
Humbert Kilanowski, O.P.
Pier Gior…</t>
  </si>
  <si>
    <t>RT @paulsperry_: NYT's spinning ahead of IG reports--they might as well have given Sally Yates a byline! They're also still trying to live…</t>
  </si>
  <si>
    <t>RT @emilykholcomb: 'Jeff Carlson at theMarketswork revealed '&amp;gt; Court docs show DNC  claimed  their servers were hacked on the exact same da…</t>
  </si>
  <si>
    <t>RT @gatewaypundit: How many of them knew you were running spies inside the Trump campaign? https://t.co/CP7Lcx5tkv</t>
  </si>
  <si>
    <t>RT @gatewaypundit: Loudmouth Trump-Basher James Comey GOES SILENT After News Breaks He Was Running Spies Inside Trump Campaign https://t.co…</t>
  </si>
  <si>
    <t>RT @gatewaypundit: So Much Winning! Earth Has Cooled Half a Degree Since Trump Election (VIDEO) https://t.co/xc8IH6h3T6 via @gatewaypundit</t>
  </si>
  <si>
    <t>RT @ASavageNation: “STOP  MASS HYSTERIA”. Coming in October. By the author of Trumps War. Last chance to stop the insane leftists</t>
  </si>
  <si>
    <t>RT @charliekirk11: Highest homeless population in the United States:
New York City...76,501
Los Angeles...55,188
Seattle...11,643 
Washing…</t>
  </si>
  <si>
    <t>RT @marklevinshow: The greatest perpetrator of election abuses in the last election was the Obama regime https://t.co/bMhno7i1mb</t>
  </si>
  <si>
    <t>I dont think they plan to assimilate.... #BuildTheWall https://t.co/y8lutxbRks</t>
  </si>
  <si>
    <t>RT @kencampbell66: Rush Limbaugh: Democrats Have Done More to Damage U.S. Elections Than Vladimir Putin Could in His Dreams! (VIDEO) https:…</t>
  </si>
  <si>
    <t>RT @alpine106: HUGE!... Judge Jeanine: Former AG Loretta Lynch Had to Approve the FBI Informant Spying on the Trump Campaign (VIDEO) https:…</t>
  </si>
  <si>
    <t>@MarcusJ65 @jrockster1 @kwilli1046 I dont think a low IQ can preclude one from doing what’s right &amp;amp; ethical for the country but a Low Emotional IQ can; weak in morality &amp;amp; a thirst for attn. The ‘Deep State Swamp Bosses’ intentionally pick those who are easier to control. #mytheory #puppets</t>
  </si>
  <si>
    <t>RT @MarkMcElwain97: @DavidRutz @redsteeze Whenever I see common sense gun laws/reforms I know that individual has no idea how to solve the…</t>
  </si>
  <si>
    <t>RT @Real_PeachyKeen: I currently have 6 children in public school in the United States of America.
Reckon I can have them protected with g…</t>
  </si>
  <si>
    <t>RT @DFBHarvard: On Jesse Watters' show, Ann Coulter said we're spending $18 Billion/yr on Healthcare for Illegal Aliens.
I think Ann's est…</t>
  </si>
  <si>
    <t>RT @sharonePack: #TheLord Will give you 
the strength and courage 
to endure...
whatever you are going through 
And bring you through to Vi…</t>
  </si>
  <si>
    <t>RT @gertie_one: some of these ideas are REAL solutions. Yet the left won’t hear of it. Single point entry. How hard is that?! Come on ppl@…</t>
  </si>
  <si>
    <t>RT @perfectsliders: Do you support #PlannedParenthood ?</t>
  </si>
  <si>
    <t>RT @bbusa617: https://t.co/Zihf9qOJOi
FORMER 👉 "DEMOCRAT"👈 CALIFORNIA SENATOR &amp;amp; BIG GUN CONTROL ADVOCATE Gets 5 Years In Prison For Gun Ru…</t>
  </si>
  <si>
    <t>RT @BrotherVet: The Democrats defend MS13 the deadliest gang of illegal immigrants in America. The Democrats have no problem with Iran deve…</t>
  </si>
  <si>
    <t>RT @paulsperry_: ... this accurate (if politically inconvenient) pre-election conclusion was changed 180 degrees after Trump won to the now…</t>
  </si>
  <si>
    <t>RT @DJNYified: @JacobAWohl @MtRushmore2016 Even if true, I'm trying to remember these hacks' reactions when Obowma interfered in Israel's e…</t>
  </si>
  <si>
    <t>RT @collotts: @ThomasWictor @Twitter @twitter has put @PPFA (Planned Parenthood)  on my follow.  I have ZERO interest in ever following the…</t>
  </si>
  <si>
    <t>RT @JackPosobiec: Son of Mexican President Caught on Secret Nxivm Sex Cult Tape https://t.co/Ncy7OJ9XY2</t>
  </si>
  <si>
    <t>RT @JacobAWohl: The American People realized that Saddam Hussein was a grave threat, as did their representatives in DC. That’s why in 1998…</t>
  </si>
  <si>
    <t>RT @JacobAWohl: For the first time in history, the United States’ approach to Middle East peace is grounded in facts, instead of feelings,…</t>
  </si>
  <si>
    <t>RT @JacobAWohl: Rod Rosenstein’s scope memo to Mueller gives him complete authority to do whatever he wants, including wiretap Americans, s…</t>
  </si>
  <si>
    <t>RT @JacobAWohl: The Russia Collusion narrative failed, so now The NY Times is trying to intimate that Trump colluded with Israel 😂 https://…</t>
  </si>
  <si>
    <t>RT @VAKruta: I did serve my country. I put on a uniform and boots and I carried what she would call an "assault rifle." I did it so that ne…</t>
  </si>
  <si>
    <t>RT @drawandstrike: Accuracy matters no matter what people tell you. 
Stefan Halper never JOINED the Trump campaign and he was never a MEMB…</t>
  </si>
  <si>
    <t>RT @davealvord164: @drawandstrike @pablo_honey1 @adamgoldmanNYT @Olivianuzzi @FBI 1/2
If meeting w/ Natalia Veselnitskaya was treason....ho…</t>
  </si>
  <si>
    <t>RT @ThomasWictor: Bullshit.
Ask the Duke lacrosse players.
Law enforcement ABUSES ITS POWER all the time.
That's what this is. https://t…</t>
  </si>
  <si>
    <t>RT @bluetrader660: @drawandstrike I've said for a long time that all of those hacks in the WH Press Pool fancy themselves as the next Bob W…</t>
  </si>
  <si>
    <t>RT @TheLastRefuge2: Senator Chuck Grassley Asks Rod Rosenstein if He Gave Mueller Independent FISA Authority… https://t.co/y3Rmj0TBMI https…</t>
  </si>
  <si>
    <t>RT @DRUDGE_REPORT: REPORTS:  Cambridge professor outed as FBI informant inside Trump campaign... https://t.co/EKppLfEe6k</t>
  </si>
  <si>
    <t>RT @TheLastRefuge2: They always knew they would lose the fact battle, so they initiated a propaganda war. https://t.co/2la3tfUq5W</t>
  </si>
  <si>
    <t>RT @TheLastRefuge2: You know things are tenuous within Deep State when congress openly starts asking the FBI to withhold information.... ht…</t>
  </si>
  <si>
    <t>RT @axre91a: Watch this clip of James Clapper from last year, now knowing that he knew about FISA warrants and the informant.  Watch his ha…</t>
  </si>
  <si>
    <t>RT @TheLastRefuge2: ATTN: All 2018 Democrat Candidates for Political Office:  
Please contact your local FBI Field Office.  President Trum…</t>
  </si>
  <si>
    <t>RT @ByronYork: Sen. Warner warns Rep. Nunes against trying to learn identity of FBI spy in Trump campaign. Statement comes out shortly befo…</t>
  </si>
  <si>
    <t>RT @ByronYork: Actually, the public has accounts from six people in the Trump Tower meeting. You can read them.
https://t.co/yAgM4UyWiS
 ht…</t>
  </si>
  <si>
    <t>RT @AndrewCMcCarthy: If life were fair, there would be an award to acknowledge that @ChuckRossDC is one of the great journalists in this co…</t>
  </si>
  <si>
    <t>RT @davidharsanyi: Completely legal oversight is now treason. https://t.co/02Iqev3JqA</t>
  </si>
  <si>
    <t>RT @JonathanTurley: I have been highly critical of Trump’s attacks on the media. However, that does not mean his objections are wholly unfo…</t>
  </si>
  <si>
    <t>RT @dbongino: After the public revelation of the scandal involving the spying operation on the Trump team, every American should re-evaluat…</t>
  </si>
  <si>
    <t>RT @SecPompeo: Looking forward to speaking @Heritage on Monday, May 21, about the road ahead on #Iran.</t>
  </si>
  <si>
    <t>RT @PatriotWade: Now comes the pain. https://t.co/QdoGfZqxBT</t>
  </si>
  <si>
    <t>RT @realDonaldTrump: If the FBI or DOJ was infiltrating a campaign for the benefit of another campaign, that is a really big deal. Only the…</t>
  </si>
  <si>
    <t>RT @QPatriot17: #QAnon Q exposed his pass, because his pass IS THE MESSAGE! LOL!!!!!!!!!!! NOW COMES THE PAIN! Note: 3 delta https://t.co/T…</t>
  </si>
  <si>
    <t>RT @shadowfax_82: Shout out to the “misogynist” Trump for appointing:
Gina Haspel - CIA DIR 
Kirstjen Nielsen - Chief of HLS 
Betsy Devo…</t>
  </si>
  <si>
    <t>RT @drawandstrike: @MZHemingway @brandonleeee23 They are not passive voices reporting the facts. 
They are active participants in the cove…</t>
  </si>
  <si>
    <t>RT @MZHemingway: @brandonleeee23 NYT and WP stories about the extensive surveillance of Trump campaign. Beyond my worst fears.</t>
  </si>
  <si>
    <t>RT @MZHemingway: This confirms my reporting: White House does not back DOJ obstruction of Congressional oversight, as Washington Post had r…</t>
  </si>
  <si>
    <t>RT @Uncle_Jimbo: I was reliably informed by the media that #Trump had so alienated the Chinese
That we would suffer an economic war of epi…</t>
  </si>
  <si>
    <t>RT @JasonPerley56: @kanyewest https://t.co/nqeE28GjSK</t>
  </si>
  <si>
    <t>RT @christianbal4: @RealBobAxelrod Keep at it, the more you do it, the more people that will WAKE UP and finally support THEIR OWN INTEREST…</t>
  </si>
  <si>
    <t>RT @RealBobAxelrod: I'm over this wedding, but this is why I left the Democrat party and never coming back
 #RoyalWedding https://t.co/ZWn…</t>
  </si>
  <si>
    <t>RT @MareLovesUSA11: We♥️Roseanne She’s a Strong,wise Patriotic woman who is a Voice for many of us,daily I go to her time line,read &amp;amp; learn…</t>
  </si>
  <si>
    <t>Obama’s disgusting Abuse of Power to undermine citizens’ right to help elect Mitt Romney. Violated our 1st Amendment Right. He said NO smidgen of corruption! #WeNeedJustice #TeaParty https://t.co/eRhIe6Th2V</t>
  </si>
  <si>
    <t>Good Question! Its a DNC slush fund! https://t.co/E1127d9MjC</t>
  </si>
  <si>
    <t>RT @seskvocovicqm: Violence in Sweden’s Public libraries Increases after flood gates opened for radical Muslims https://t.co/yxmpMxMFJG</t>
  </si>
  <si>
    <t>RT @tgradous: The #ObamaLegacy Deserves to Be Destroyed
via @davidharsanyi
Former President Barack Obama is now watching his much-celebra…</t>
  </si>
  <si>
    <t>RT @charliekirk11: Shooters go to places where there is no self-defense allowed 
Abolish gun fee zones. Implement armed guards. 
We prote…</t>
  </si>
  <si>
    <t>RT @charliekirk11: The Texas shooter was:
Bullied by coaches 
Had mental problems 
Wore communist and Nazi pins 
Illegally obtained the we…</t>
  </si>
  <si>
    <t>RT @charliekirk11: Did you know: 
There were two school shootings prevented by armed guards this week. But that barely got any media cover…</t>
  </si>
  <si>
    <t>Tapper is considered 1 of the more intelligent... of the MSM. If he is unable to face this coming press Armageddon few will be. They bet the house Trump was the worst man in the room but it turned out...that there were many men and women far worse than he. https://t.co/1PjlR2vjOw</t>
  </si>
  <si>
    <t>“Here are the days of the special interest provocateur, shaping public opinion by passing on half-truths and outright lies to their favorite reporter. One might then even call the media, in Orwell's words, "objectively pro-fascist," #MediaBias  https://t.co/1PjlR2vjOw</t>
  </si>
  <si>
    <t>In just the last month, late-night clown Jimmy Kimmel mocked Trump’s Slovenian accent, CNN contributor April Ryan attacked her as “not culturally American,” Democrat Philippe Reines derided her genteel presence Barbara Bush’s funeral. 😡 https://t.co/2av9RRmaPH</t>
  </si>
  <si>
    <t>Do we not have enough problems without creating phony ones? Shameful. #StopTheHate #BlueLivesMatter  https://t.co/po1mJnrinM</t>
  </si>
  <si>
    <t>“Not making this up, some is stimulus money from 2011 that simply hasnt been spent. Its ur money sitting there &amp;amp; we're going out to find it. We looked under every rock &amp;amp; we've found abt $15 billion, and we hope Congress gives it back to the taxpayers."  https://t.co/7zlpuRAetw</t>
  </si>
  <si>
    <t>RT @Neil33842487: @MtRushmore2016 @joshhayes51 @mayosdream @DLoesch Deterrence is the biggest dividend. The problem becomes where will they…</t>
  </si>
  <si>
    <t>RT @PGOperations: @MtRushmore2016 I had seen it but didn't read his reasoning why. What a bunch of BS. He's another guy incapable of thinki…</t>
  </si>
  <si>
    <t>Its a Democrat Party slush fund m! #NoGagRule https://t.co/4vu5cHX5d3</t>
  </si>
  <si>
    <t>RT @thenationsrage: Seven year old was murdered and stuffed in a trash can, because a Chechen migrant was having a bad day.
https://t.co/Xh…</t>
  </si>
  <si>
    <t>This is how we know, Liberals dont really want to resolve problems! #HatersGonnaHate  https://t.co/tKkXr1AYr5</t>
  </si>
  <si>
    <t>@kari112177 Guards need to be at the entrance before killers can access classrooms.</t>
  </si>
  <si>
    <t>@kari112177 @TheRetorter @LoriKimbley @WayneLogan12 @JonOsborneBooks @davidhogg111 Then I would be angry we didnt have armed guards at my children’s school since that’s seems good enough for OTHER taxpayer funded govt bldgs! NOW, what’s ur plan to stop crazies &amp;amp; felons from finding guns?</t>
  </si>
  <si>
    <t>Civil Rights Commissioner: Halt DACA Amnesty Talk Until Border Wall is Secured, Legal Immigration is Cut | Breitbart https://t.co/BIBDgE4Son</t>
  </si>
  <si>
    <t>@joshhayes51 @Neil33842487 @mayosdream @DLoesch And I know teachers who would welcome the oppty to have access to a gun so their students arent sitting ducks. End the Gun Free Zones &amp;amp; these cowardly murderers wont risk their lives.</t>
  </si>
  <si>
    <t>RT @Neil33842487: @joshhayes51 @mayosdream @DLoesch This has been in use in Ohio school for 4 years now, and has expanded to multiple state…</t>
  </si>
  <si>
    <t>RT @DLoesch: @Youre1OfMyKind How would a waiting period affect a 17 y/o who stole his parent guns or affect his pipe bombs?</t>
  </si>
  <si>
    <t>RT @DLoesch: @HillaryWarnedU @cynthia_ellis @ShepNewsTeam If that’s your logic then you’re responsible for the shooting at the Trump resort…</t>
  </si>
  <si>
    <t>RT @DLoesch: @cynthia_ellis As you rant, be aware that he would also have to enter it to “chain” it. That is the entire point. This concept…</t>
  </si>
  <si>
    <t>RT @DLoesch: People are mocking an example suggestion of legitimate security protocol: Controlling entry and exit points, making sure premi…</t>
  </si>
  <si>
    <t>RT @TheRetorter: @MtRushmore2016 @LoriKimbley @WayneLogan12 @JonOsborneBooks @kari112177 @davidhogg111 Yes, Clarion Cathy and so am I, but…</t>
  </si>
  <si>
    <t>Using Gestapo tactics! “The special counsel decided even-handed justice would be better served by a frightening raid in which agents got to grab whatever they chose to grab.”  https://t.co/zUG31RjcMe</t>
  </si>
  <si>
    <t>“it was intended to protect the Obama administration from the specter of a Watergate-level scandal had its spying on the opposition party’s presidential campaign been revealed.” https://t.co/zUG31RjcMe</t>
  </si>
  <si>
    <t>RT @Doranimated: If we had an intellectually honest and serious press in this country, @AndrewCMcCarthy would be a household name.  Read hi…</t>
  </si>
  <si>
    <t>RT @ggreenwald: The FBI informant who monitored the Trump campaign, Stefan Halper, oversaw a dirty CIA spying operation in the 1980 preside…</t>
  </si>
  <si>
    <t>RT @ChuckGrassley: senator Lieberman said this in the Wall Street Journal today this year whether you are Jewish or not try considering how…</t>
  </si>
  <si>
    <t>RT @drawandstrike: This thing is going to end with Mueller not having mussed up a single hair on Trump's head.  
You can quote me on that.…</t>
  </si>
  <si>
    <t>RT @drawandstrike: People need to quit saying the FBI 'placed a spy/informant *INSIDE* the Trump campaign.'
That's not what happened. 
Th…</t>
  </si>
  <si>
    <t>RT @CraigBBannister: Sure doesn't SOUND like .@therealroseanne show is going to be neutered next season https://t.co/nH4Wc5JOFL</t>
  </si>
  <si>
    <t>I admit, when I saw Cummings was part of the staff, I wondered how long Roseanne could keep the show real, but now that she’s gone, I know we’re #Winning 😍 https://t.co/ysh1zQKbj7</t>
  </si>
  <si>
    <t>RT @ggreenwald: The game news outlets are playing with the secret "FBI informant" is so bizarre since huge numbers of people know exactly w…</t>
  </si>
  <si>
    <t>RT @ChuckRossDC: But go ahead and report all the details about him and his interactions which match up exactly with reports that are alread…</t>
  </si>
  <si>
    <t>@kari112177 @LoriKimbley @WayneLogan12 @JonOsborneBooks @davidhogg111 Stick to the subject of your desire to restrict the rights of the law-abiding citizens in your feckless atttempt to stop mentally disturbed from murdering.</t>
  </si>
  <si>
    <t>@kari112177 @LoriKimbley @WayneLogan12 @JonOsborneBooks @davidhogg111 I’ll never allow myself to be put into a situation like Jessica Gonzales; her ex murdered their 3 kids after he violated restraining order. Case taken to SCOTUS where they decided the police dont have a Constitutional Duty to protect us. I’ll keep the #2A right to protect myself.</t>
  </si>
  <si>
    <t>@kari112177 @LoriKimbley @WayneLogan12 @JonOsborneBooks @davidhogg111 First, tell us the magic plan to keep guns out of the hands of the drug lords, gangbangers, MS-13 thugs, mafioso etc. Not 1 person has provided that to me.</t>
  </si>
  <si>
    <t>@kari112177 @LoriKimbley @WayneLogan12 @JonOsborneBooks @davidhogg111 We stopped believing the Left after their promise to only use Abortion on 1st trimester fetuses. No More Gun Free Zones! #2A https://t.co/hPq7ku9UQ8</t>
  </si>
  <si>
    <t>RT @haveAcIue: @DiamondandSilk @MtRushmore2016 This is EXACTLY why we love Diamond and Silk.
It's called a BULLSEYE!
No sugar coating, no b…</t>
  </si>
  <si>
    <t>https://t.co/Ppk1zYd3vw</t>
  </si>
  <si>
    <t>RT @DiamondandSilk: .@DiamondandSilk go off on Jay-Z for convincing rapper Meek Mill to be a no show for the Prison Reform Summit at the Wh…</t>
  </si>
  <si>
    <t>RT @RoseHasMoreFun: Good morning twitter land. I would like to send blessings to Prince Harry and Meghan. We saw his mother get married, sa…</t>
  </si>
  <si>
    <t>RT @need4truthiness: This IS the #DemocratParty of 2018. They have failed with everything they have touched, people  R waking up. So, now t…</t>
  </si>
  <si>
    <t>RT @tdkinser: Denis Waitley.- #quote #image https://t.co/3fHwLptVVR
https://t.co/Bc6HeXBvLK https://t.co/ovC5MwkPOg</t>
  </si>
  <si>
    <t>RT @emfvet78: As the days and weeks go by. Expect the @DNC and MSM to go on defense. Defending Spying and lying.  Make sure to call them ou…</t>
  </si>
  <si>
    <t>RT @GodGetslastWord: What???
Deep State FBI Started Spying on Mike Flynn for $45,000 Russian Speech but NOT on Bill Clinton for $500,000 R…</t>
  </si>
  <si>
    <t>RT @thebradfordfile: Note to James Clapper: 
In America, informants are used after a crime is committed.
Not planted to create one.
You…</t>
  </si>
  <si>
    <t>RT @LindaHale8006: Thought for Today . . . .
  Regurgitating facts does not make a person educated. Students must be taught to Evaluate not…</t>
  </si>
  <si>
    <t>Democrats separated us into individual Victimhood-groups for decades, blaming others for their issues, w/no personal responsibility expected. They now wonder why our youth think violence is the only solution. Our kids need problem-solving skills taught by parents &amp;amp; schools. https://t.co/If3eJrhAt2</t>
  </si>
  <si>
    <t>RT @abc13houston: WITH OPEN ARMS: Jim "Mattress Mack" McIngvale says he felt he needed to go to the vigil for Santa Fe High School victims…</t>
  </si>
  <si>
    <t>RT @sahluwal: This is Officer John Barnes, he is a retired Houston police officer who works as the Santa Fe resource officer. Barnes was th…</t>
  </si>
  <si>
    <t>RT @realDailyWire: WATCH: Local Reporter In Houston Debunks Misleading Claim Of '18 School Shootings In 2018' https://t.co/RFzhjkfJwT</t>
  </si>
  <si>
    <t>RT @McClain_on_NFL: I'm not surprised JJ Watt's paying 4 the funerals 4 the victims of the shootings at Santa Fe High School. Ever since he…</t>
  </si>
  <si>
    <t>RT @astros: We send our thoughts and prayers to the families of those affected by the senseless tragedy at Santa Fe High School today. We w…</t>
  </si>
  <si>
    <t>😢💞🙏🏻🇺🇸😢 https://t.co/PeRkIbfbvA</t>
  </si>
  <si>
    <t>https://t.co/3D4vI54Hjr</t>
  </si>
  <si>
    <t>RT @LarryGuyHammond: Tom Rice...  Said  "I'll Fight for Term Limits... because far too many politicians put too high of a priority on re-el…</t>
  </si>
  <si>
    <t>@JJDanceN1 @S_Cooper0404 Typical Democrat, they screw everything up with their big govt socialist policies like failed Common Core &amp;amp; White Male Privilege then demand GOP clean it up! So we will with #MakeAmericaGreatAgain #EnoughIsEnough with corrupt liberalism. #2A</t>
  </si>
  <si>
    <t>RT @CharlieDaniels: Morning prayer
Lord as this world grows more evil and insane every day help us to remember that at the solid rock we st…</t>
  </si>
  <si>
    <t>RT @SavtheRepublic: @Thomas1774Paine @mmoise3 Please California, vote this swamp creature out of office. Who the he$$ votes for someone lik…</t>
  </si>
  <si>
    <t>RT @JKP_RN: Can we please give this candidate running against Linsey Graham a Follow.
👉@real_MarkSloan 👈 
His twitter page is up and runni…</t>
  </si>
  <si>
    <t>RT @WA_Silenced_Maj: “They [the women] are never allowed to look at the ultrasound because we knew that if they so much as heard the heart…</t>
  </si>
  <si>
    <t>RT @JudiMichels: Great Video With An Awesome Message.  Kuddos Friend ♥️
#TakingAmericaBack https://t.co/Ehe974iTXm</t>
  </si>
  <si>
    <t>RT @FreeWhiteMale: @pppatticake @Harlan Sincere question… Do you believe persecuting every white male for simply being a white male helps o…</t>
  </si>
  <si>
    <t>RT @80stanford: @BringBackObama @AnnTweetsToo @Harlan Over the last 15 yrs, many schools have removed classroom phones and all call speaker…</t>
  </si>
  <si>
    <t>@BringBackObama @80stanford @AnnTweetsToo @Harlan If Drug Bans dont keep drugs out of the hands of criminals then how will YOUR Gun Ban keep guns out of the hands of criminals? Till you resolve that, I’ll hold onto my #2A rights to protect my family from violent thugs. Why arent we Enforcing current Gun Laws &amp;amp; tough sentencing?</t>
  </si>
  <si>
    <t>RT @BringBackObama: @80stanford @AnnTweetsToo @Harlan Can’t legislate/regulate parenting. Next idea.</t>
  </si>
  <si>
    <t>RT @80stanford: @AnnTweetsToo @Harlan At our hs open houses, I was lucky to see 2 parents out of my 100+ students. I cannot emphasize the s…</t>
  </si>
  <si>
    <t>RT @MZHemingway: This is the most embarrassing headline I have possibly ever read. https://t.co/O96r9P1bnq</t>
  </si>
  <si>
    <t>RT @seanmdav: Over the last week, DOJ and FBI officials conspired to obstruct Congress while illegally leaking to and colluding with New Yo…</t>
  </si>
  <si>
    <t>RT @therealroseanne: liars keep lying til they r exposed. if not exposed, they continue 2 lie forever.</t>
  </si>
  <si>
    <t>RT @aligiarc: https://t.co/0KdcK4NM2C
The Hallowed Halls of Learning professing diversity &amp;amp; freedom of thought have become intolerant grou…</t>
  </si>
  <si>
    <t>RT @LouDobbs: #LDTPoll: Do you believe it’s time for speaker Paul Ryan to step aside immediately in favor of a conservative who embraces th…</t>
  </si>
  <si>
    <t>RT @MichaelDelauzon: Generation Z is pretty woke. 
TRUMP 🇺🇸 AMERICA FIRST #MAGA https://t.co/YzZME9bdLw</t>
  </si>
  <si>
    <t>RT @lmchristi1: I’m friending everyone I can find over there. 
This is going to be a wonderful thing.
🗽Come on over for some Free Speech!🗽…</t>
  </si>
  <si>
    <t>RT @AmySwearer: @ChrisMurphyCT Let's call it like it is: not one of the "common sense gun laws" would have prevent this shooting, or the va…</t>
  </si>
  <si>
    <t>RT @POLITICSandFUN: This Is ALWAYS A Prerequisite
For Me.  What About YOU??
Cast Your Votes Wisely, ✔️
Someone’s Life Depends On It.
🙏🏼✅👶🏼…</t>
  </si>
  <si>
    <t>RT @RealPJL3: Let's keep it real the ostracized kids keep #shooting up #schools or joining #antifa or ISIS and you morons want to debate #g…</t>
  </si>
  <si>
    <t>RT @jdolan2020: Here’s an absolute disappointment, MIA Love!!!  Elected to Congress as a Convervative Republican from Utah and now a “Never…</t>
  </si>
  <si>
    <t>@PrisonPlanet @sisente Look on the bright side, its a welcome breather to the media’s 24/7 DJT hate frenzy. #JustSaying #MAGA</t>
  </si>
  <si>
    <t>RT @chuckwoolery: Why is #Trump so important to us? He is the only President that has put the #DeepState on it's heels, including the #Medi…</t>
  </si>
  <si>
    <t>RT @Thomas1774Paine: FEDS DROP BOMBSHELL: Comey &amp;amp; Lynch Colluded with Clinton Campaign to Entrap, Wiretap Trump; Illegal Scheme Involved En…</t>
  </si>
  <si>
    <t>RT @RawDawgBuffalo: Federal lawsuit accuses Obama center organizers of pulling an 'institutional bait and switch' https://t.co/4ZHjpzi9br</t>
  </si>
  <si>
    <t>RT @SonofLiberty357: .@edhenry: "What led you to say, 'I want to hug a police officer in every state?'"
Rosalyn Baldwin: "God... He told m…</t>
  </si>
  <si>
    <t>RT @weld_james: @wvufanagent99 @GmanFan45  https://t.co/FLlgMrOCsF</t>
  </si>
  <si>
    <t>RT @Larrypolya22: A single unelected judge does not decide immigration policy for all 50 states. Ca, a single corrupt state in the union, d…</t>
  </si>
  <si>
    <t>RT @chassisk: Good piece here from @joeygarrison.
Can conservative Carol Swain's bid for mayor find a path in Democratic Nashville? https:…</t>
  </si>
  <si>
    <t>RT @phxbizjournal: How federal tax cuts could inject nearly $40B into the housing market https://t.co/sBDkUSK8KR https://t.co/9VjlFad1qI</t>
  </si>
  <si>
    <t>RT @iamjumpingin: ABC News: We are going to take back the country we love': Hillary Clinton
Sure, the one where you hose all Americans, br…</t>
  </si>
  <si>
    <t>RT @RealEagleWings: Non Political Tweet 
I got rhythm too 😂
🐾♥️🐾♥️🐾https://t.co/KM7KS7eUVX</t>
  </si>
  <si>
    <t>You will know know them by their Fruits.... https://t.co/xkwqzVXhFn</t>
  </si>
  <si>
    <t>RT @warrant05_tony: Liberalism is destroying the very fabric in which this country was built. Americans need to realize if liberals take ov…</t>
  </si>
  <si>
    <t>RT @tammytabby: President Donald Trump and First Lady Melania Trump will be making a contribution to one of the seven charities the royal c…</t>
  </si>
  <si>
    <t>RT @PolitiBunny: He was also wearing a Communist pin. The rise of Marxism in this country should alarm us. https://t.co/cfKtuJ4xfH</t>
  </si>
  <si>
    <t>RT @os4185: White House Wins Internet With 'Laurel or Yanny?' Video Featuring Pres. Trump, V.P. Pence, Ivanka and More https://t.co/n6mlgVC…</t>
  </si>
  <si>
    <t>RT @President1Trump: Someone sounds very afraid of what’s about to come out, especially since he actually went to the UK to collude in crea…</t>
  </si>
  <si>
    <t>@LoriKimbley @WayneLogan12 @JonOsborneBooks @kari112177 @davidhogg111 I’m waiting for the Left to share their gun banning solution that is able to prevent the Criminals from obtaining them. Until then, I’ll hold onto my #2A rights. SCOTUS said police do not have Constitutional Duty to protect us in CastleRock vs Gonzales case. #NRA</t>
  </si>
  <si>
    <t>RT @gr8tjude: Please explain how it’s the NRA’s fault!
Andrew Cuomo calls on Trump to ‘DO SOMETHING’ (about the NRA) in wake of Santa Fe s…</t>
  </si>
  <si>
    <t>RT @qkode: Transgender Woman Sues After Muslim Refuses Body Waxing Service https://t.co/Msv80tCv9N</t>
  </si>
  <si>
    <t>RT @ericbolling: Chris: To some, a drug-dealing gang member (MS-13) is an “animal” whether he/she is black, white, hispanic or any other ra…</t>
  </si>
  <si>
    <t>RT @ptmarigan: Guess there’s always two sides to ANY story, isn’t there?? https://t.co/krKRSJ4Hda</t>
  </si>
  <si>
    <t>RT @GartrellLinda: Hamas Rioters Were Paid $100/Day to Attack Israel &amp;amp; if injured or killed, their families receive more money, 
Funding Ca…</t>
  </si>
  <si>
    <t>RT @ColumbiaBugle: Liberal: "Ban AR-15's!!"
Me: "An AR-15 wasn't used in today's shooting."
Liberal: "Ban AR-15's!!"
Me: "You know handg…</t>
  </si>
  <si>
    <t>RT @President1Trump: WOW, Never Trumper Glenn Beck finally puts on his make America great again hat and will vote for @POTUS in 2020! “Enou…</t>
  </si>
  <si>
    <t>RT @ptmarigan: So WHO are you supposed to believe here??? https://t.co/2VEx77mHsw</t>
  </si>
  <si>
    <t>RT @TWPundit: Since Ana Navarro chooses to respond with blocking rather than with an explanation, we’ll post the screenshot of our question…</t>
  </si>
  <si>
    <t>RT @realDonaldTrump: Just met with UN Secretary-General António Guterres who is working hard to “Make the United Nations Great Again.” When…</t>
  </si>
  <si>
    <t>@royannaf @flm22 @ThomasWictor How so? Pres Trump enforcing our Congressionally passed LAWS is his Duty as indicated in Article II of the Constitution. #MAGA https://t.co/6Lec2oqyBi</t>
  </si>
  <si>
    <t>RT @ThomasWictor: We spent EIGHT YEARS enduring the most incompetent, corrupt, buffoonish president of all time.
All he did was BITCH abou…</t>
  </si>
  <si>
    <t>RT @Nowhere27: @ThomasWictor Anyone who thinks that Conservatives get their evil power from Fox is a lunatic. 
We get our evil power from…</t>
  </si>
  <si>
    <t>RT @PoliticalShort: Stefan Halper was so much more than just a mere “White House official under Nixon.” Flashback last year —&amp;gt; https://t.co…</t>
  </si>
  <si>
    <t>RT @almostjingo: Okay, okay let’s play @washingtonpost  @nytimes pretend the @FBI was “protecting” Trump **pause for hysterical laughter
Wh…</t>
  </si>
  <si>
    <t>RT @TheLastRefuge2: President Trump should propose measures to protect the DNC in an identical fashion immediately. Ahead of the 2018 mid-t…</t>
  </si>
  <si>
    <t>RT @Jaye_inUSA: Anna Navarro, just another #Leftist hypocrite... MS-13 GANG MEMBERS are WORSE than wild animals and they PREY on Latino ILL…</t>
  </si>
  <si>
    <t>RT @sendavidperdue: Our message is simple. We are willing to work 24/7, through the weekends, and through August recess if necessary to get…</t>
  </si>
  <si>
    <t>RT @FreedomWorks: 100 conservative leaders demand Congress have enough time to read, debate, and offer amendments to the next spending bill…</t>
  </si>
  <si>
    <t>RT @BillCassidy: The Senate should work longer hours so we can debate good spending bills now instead of bad ones at the last minute, &amp;amp; con…</t>
  </si>
  <si>
    <t>@SenateMajLdr @RoyBlunt https://t.co/AY8DibcNM3</t>
  </si>
  <si>
    <t>RT @sendavidperdue: RT if you agree: Congress should work as long as it takes – nights, weekends, &amp;amp; through the August recess if necessary…</t>
  </si>
  <si>
    <t>https://t.co/TYSMapbThx</t>
  </si>
  <si>
    <t>RT @asaganich: @_Makada_ @MtRushmore2016 Seriously, he was more likely antifa then anything else https://t.co/wW0lWIl1XF</t>
  </si>
  <si>
    <t>@AndrewPollackFL @badov49 @realDonaldTrump Control over school districts remains under local control as it should be, so it’s up to the parents &amp;amp; residents to elect responsible candidates to school boards &amp;amp; stay engaged by attending mtgs &amp;amp; their schools. #GodBless 🙏🏻</t>
  </si>
  <si>
    <t>RT @_Makada_: So the Santa Fe school shooter wore a communist hammer and sickle pin, a gay pride hat, a satanic pentagram and a socialist i…</t>
  </si>
  <si>
    <t>RT @POETreeOTIC: *
Yeah~I felt the same
way when my 15 yr
old triplets found 3
#MS13 boys at their
HS in TX. Their curfew
was midnight. Tri…</t>
  </si>
  <si>
    <t>RT @WiredSources: BREAKING: Sen. Chuck Grassley suggests in letter that Deputy AG Rod Rosenstein may have delegated to Robert Mueller the a…</t>
  </si>
  <si>
    <t>RT @thebradfordfile: The Left is hellbent on emasculating a generation of our boys. 
We are starting to see the results.
If that doesn’t…</t>
  </si>
  <si>
    <t>RT @JenNongel: Oops! CNN's Ana Navarro Says Trump is Hitler Because He Called MS13 "Animals" - Then Somebody Found An Old Navarro Tweet...…</t>
  </si>
  <si>
    <t>RT @ThomasWictor: (8) The people at "Gun Memorial" want us to live in a country in which criminals are set on fire, beaten to death, lynche…</t>
  </si>
  <si>
    <t>RT @gr8tjude: 💥💥Conservatives Campaign to Draft Jim Jordan for Speaker↘️
 | Breitbart https://t.co/rG4iUfxOSn via @BreitbartNews</t>
  </si>
  <si>
    <t>RT @Angel_Fox_Today: @wikileaks advocate and former PR for @xychelsea falsely accused of sexual harassment is now suing the woman who did t…</t>
  </si>
  <si>
    <t>RT @Pink_About_it: 20 years ago:
Family units thrived, went to church, volunteered weekends in the community, fathers raised sons, and soc…</t>
  </si>
  <si>
    <t>RT @JayChpJones: @TT45Pac @Tombx7M It all started with this moronic POS. https://t.co/SaZCf6X86l</t>
  </si>
  <si>
    <t>RT @MAGATrumpster: @truebovajanet @patriot_jw @laneylane25 @loryad123 @stilestina1 @Lineman000001 @EdwinLo31339753 @BonnieWiley3 @Lovely68L…</t>
  </si>
  <si>
    <t>RT @michellebullet1: #Carbon #tax is a big scam where the poor pay for something the elitists just invented out of thin air https://t.co/Xy…</t>
  </si>
  <si>
    <t>@lucille46904543 Yep, they use our tax dollars to donate to Democratic candidates! Its one big slush fund!</t>
  </si>
  <si>
    <t>@FearlessRino @pearl_of_truth @John_Papanier @KyleKashuv When we legalized abortion, we showed our children we no longer value LIFE. Beginning rpts talk of the bullying done to the killer even by a coach. Why are the hopeless turning to violence?</t>
  </si>
  <si>
    <t>RT @JonGalt8: @FearlessRino @pearl_of_truth @John_Papanier @KyleKashuv Wow!  What a horrific stat gives perspective.</t>
  </si>
  <si>
    <t>RT @FearlessRino: @John_Papanier @KyleKashuv Well it's sad for those 11 people..800+ babies died today at planned parenthood that backs yal…</t>
  </si>
  <si>
    <t>RT @FreeBeacon: DHS Secretary: Democrats Owe Trump Apology for Distorting MS-13 Remarks https://t.co/R6zfZb8VZt</t>
  </si>
  <si>
    <t>And if support abortions as many do, you’ll easily secure private funding &amp;amp; donations. https://t.co/SXDCQzwfgi</t>
  </si>
  <si>
    <t>RT @FreeBeacon: SJP protesters shout 'f—k white supremacy' at Lebanese student https://t.co/DwIB03NQJM</t>
  </si>
  <si>
    <t>RT @Charlie4USA: Let’s BROADCAST THIS ONE.....#ObamaLegacy #EricHolder @HillaryClinton @FBI #Brennan #Hannity #maddow #BuildTheWall #Clinto…</t>
  </si>
  <si>
    <t>RT @KSchmidtKevin: 'We are going to take back the country we love': Hillary Clinton - ABC News
Note to @HillaryClinton : We already have t…</t>
  </si>
  <si>
    <t>RT @elguapo64: #SantaFeHighSchool
#GunControl
UK knife crime statistics – how many stabbings have taken place over the last year?
At least…</t>
  </si>
  <si>
    <t>RT @seanmdav: Reading between the lines, it wasn’t just the FBI spying on Trump, and the spying began long before the FBI claims its invest…</t>
  </si>
  <si>
    <t>RT @Truthteller1349: @JacobAWohl @adamgoldmanNYT @MarkMazzettiNYT @AllMattNYT Stephan Halper has put this nation in danger by participating…</t>
  </si>
  <si>
    <t>RT @LarrySchweikart: @rushlimbaugh has the perfect counter for this: if this were true, why was the FBI not infiltrating the Cankles campai…</t>
  </si>
  <si>
    <t>RT @LouDobbs: #SpyScandal- @JudicialWatch’s Chris Farrell: This is probably the most abusive, out of control, unlawful conduct we’ve ever s…</t>
  </si>
  <si>
    <t>RT @dbongino: 😂😂😂😂😂😂😂😂😂😂😂😂😂😂😂😂😂😂😂😂😂😂😂😂😂😂😂😂😂😂😂😂😂😂😂😂😂😂😂😂😂😂😂😂😂😂😂😂😂😂😂😂😂😂😂😂😂😂😂😂😂😂😂😂😂😂😂😂😂😂😂😂😂😂😂😂😂😂😂😂😂😂😂😂😂😂😂😂😂😂😂😂😂😂😂😂😂😂😂😂😂😂😂😂 https://t.co/jlFMw5R…</t>
  </si>
  <si>
    <t>RT @AriFleischer: Perhaps when the MSM is finished turning Hamas militants into peaceful protesters, they’ll start to cover the slaughter o…</t>
  </si>
  <si>
    <t>RT @AriFleischer: I never met him, but I remember reading his writings when I was in college.  He, along with Ronald Reagan, helped turn me…</t>
  </si>
  <si>
    <t>RT @AriFleischer: This story did not run as a “correction”, but it’s quite the correction.  Good for the NYT for running it.   https://t.co…</t>
  </si>
  <si>
    <t>RT @bethanyshondark: Watching this dishonesty about the MS13 gang quote is disturbing. It’s not how you’ll get rid of Trump. It’s how you’l…</t>
  </si>
  <si>
    <t>RT @NathanWurtzel: Burning crops is peaceful. https://t.co/u4e2d26kRk</t>
  </si>
  <si>
    <t>RT @AriFleischer: On several previous occasions, Trump publicly referred to gang members as “animals”.  He’s never referred to illegal immi…</t>
  </si>
  <si>
    <t>RT @seanmdav: If you're wondering what spawned today's hilarious NYT attempt to paper over widespread FBI/DOJ abuses, wonder no more. Peopl…</t>
  </si>
  <si>
    <t>RT @AriFleischer: To be fair, numerous other outlets got this story wrong, not just the NYT and Andrea Mitchell.  I hope today they all wil…</t>
  </si>
  <si>
    <t>RT @AriFleischer: Good for AP.   Now, over to the NYT and @mitchellreports.   I hope they also issue corrections. https://t.co/kkEBCzP3iB</t>
  </si>
  <si>
    <t>RT @MargaretMims: @AriFleischer Thank you Ari, the President was addressing my comments in the meeting and it was clearly meant for violent…</t>
  </si>
  <si>
    <t>RT @AriFleischer: Andrea - will you correct this?  That’s not what Trump said. https://t.co/u07DifJlhW</t>
  </si>
  <si>
    <t>RT @bennyjohnson: This is an absolute lie propagated by an MSNBC anchor.
No clarification.
No correction. 
No retraction.
2.5 K retweets.
T…</t>
  </si>
  <si>
    <t>RT @AriFleischer: The many journalists and editors who wrote/published these stories are killing good journalism.   To those who wrote this…</t>
  </si>
  <si>
    <t>RT @jpodhoretz: I’m no fan on Trump on immigration but this is a straight up misrepresentation of what he said. https://t.co/DEwjSFtvQO</t>
  </si>
  <si>
    <t>RT @davidharsanyi: NRA = terrorists
GOP voters = racists 
Ms-13 = immigrants 
Hamas = innocent demonstrators.
How on earth do people like…</t>
  </si>
  <si>
    <t>RT @AriFleischer: Please don’t let this guy win. https://t.co/63Zalxm5l3</t>
  </si>
  <si>
    <t>RT @AriFleischer: I’m sad to hear of the death of former SEC commissioner Mike Slive.  He was a true leader, and a kind-hearted gem of a ma…</t>
  </si>
  <si>
    <t>RT @AriFleischer: Great column:  “How do so many so-called progressives now find themselves in objective sympathy with the murderers, misog…</t>
  </si>
  <si>
    <t>RT @FoxNews: .@AriFleischer on Mueller not indicting @POTUS: "It's significant but I wouldn't say the president's home free. So long as the…</t>
  </si>
  <si>
    <t>RT @seanmdav: "No public evidence has surfaced connecting Mr. Trump's advisers to the hacking or linking Mr. Trump himself to the Russian g…</t>
  </si>
  <si>
    <t>RT @politicalelle: What every media outlet should be issuing, but isn't. Thank you, Nick. https://t.co/ZCCHuhC5iT</t>
  </si>
  <si>
    <t>RT @AriFleischer: In fact, the story states “The measure was...rushed through Congress to be completed before the arrival...in Washington o…</t>
  </si>
  <si>
    <t>RT @AriFleischer: I’ve heard prominent Ds and reporters such as @FareedZakaria say the 1995 law to move the embassy to Jerusalem was done t…</t>
  </si>
  <si>
    <t>RT @AriFleischer: “In the Pittsburgh area, two card-carrying members of the Democratic Socialists of America topped incumbent state represe…</t>
  </si>
  <si>
    <t>RT @AriFleischer: This meeting seems to come closest to “collusion”, although it had nothing to do w the hack/distribution of Podesta/DNC’s…</t>
  </si>
  <si>
    <t>RT @AriFleischer: “The Pew Research Center finds Democrats are less pro-Israel than they've been in decades.”
Young Ds say they’re more sym…</t>
  </si>
  <si>
    <t>RT @bethanyshondark: This is refreshing https://t.co/Rm4ski9KbG</t>
  </si>
  <si>
    <t>RT @AriFleischer: They should.  But they won’t.   https://t.co/cklfQ8CzZE</t>
  </si>
  <si>
    <t>RT @MomJar1: That isn't WE. Its schools who don't add extra basic safeguards,such as encrypted school id's to use for school door entry,met…</t>
  </si>
  <si>
    <t>RT @bhweingarten: In effectively waging a mass disinformation, lawfare, and political campaign against a sitting POTUS, #Russia collusion-m…</t>
  </si>
  <si>
    <t>RT @JacobAWohl: The NY Times is refusing to name the informant who SPIED on the Trump Campaign. 
That’s okay. I WILL. 
HIS NAME IS STEFAN…</t>
  </si>
  <si>
    <t>Poll: Half of Jeff Denham's Hispanic Constituents Oppose DACA Amnesty | Breitbart https://t.co/ngUFOKGNcP via @BreitbartNews</t>
  </si>
  <si>
    <t>Yes YOU Have! MSNBC's Nicolle Wallace: 'We Have Now Let Down the Parkland Students'. #NRASchoolShield #2A https://t.co/MrCGXc9l7C</t>
  </si>
  <si>
    <t>Hawkins-- Lessons from Santa Fe High: The Left's Favorite Gun Controls Will Not Stop School Shooters | Breitbart https://t.co/Bca8XQtT2l</t>
  </si>
  <si>
    <t>I remember very clearly, Mr &amp;amp; Mrs @JoeNBC were fawning all over candidate Trump and it seemed odd to me. Now I think it was because they thought he’d be an easy foe for Hillary to defeat! #MAGA https://t.co/80woqe7NXk</t>
  </si>
  <si>
    <t>RT @drawandstrike: Grassley, Nunes, Goodlate, Jordan, all the Congress oversight people are working in tandem with Sessions, Horowitz, and…</t>
  </si>
  <si>
    <t>RT @drawandstrike: You may not like the slow, year long rollout of the evidence, but it's working. Admission after admission is being force…</t>
  </si>
  <si>
    <t>RT @RealCandaceO: Im willing to speak with any host @CNN except for @jaketapper. He’s too emotional for me. 
More to come from me and @VanJ…</t>
  </si>
  <si>
    <t>RT @JohnWHuber: Yesterday, Senator @ChuckGrassley wrote a letter about the Special Counsel's scope &amp;amp; power to Deputy AG Rosenstein
Grassle…</t>
  </si>
  <si>
    <t>RT @The_War_Economy: Oh, I didn't realise it was @KimStrassel who did the initial dive into Fusion GPS back in 2012 when they were searchin…</t>
  </si>
  <si>
    <t>RT @TheRealJohnHCox: Bring it on @GavinNewsom-I will put our message of lower taxes, securing the border &amp;amp; affordability up against your fa…</t>
  </si>
  <si>
    <t>RT @The_War_Economy: Oh, good point, the FBI is 100% a legitimate organisation that can never be questioned. Thank you, based Doug Brooks f…</t>
  </si>
  <si>
    <t>RT @DLoesch: I’m immediately forwarding this to the authorities. Don’t pretend to be against violent while threatening other people’s child…</t>
  </si>
  <si>
    <t>RT @JAMsMa: Official who leaked Cohen's records could face up to 5 yrs in jail if identified and prosecuted.
Cohen record leaker could fac…</t>
  </si>
  <si>
    <t>RT @GolightlyGrl427: Hi fucking hypocrite, @ananavarro https://t.co/Ju9MqNhFZ0</t>
  </si>
  <si>
    <t>RT @Chicago1Ray: https://t.co/zszJ5zOjwa
#PROMISE program started under #Obama may have contributed to the #Parkland shooter Nikolas Cruz…</t>
  </si>
  <si>
    <t>God Bless your sons as they protect Freedom. 🙏🏻🇺🇸 #ThankYouForYourSacrifice https://t.co/bZCX9zEnlT</t>
  </si>
  <si>
    <t>RT @jtpallai1: @TuckerCarlson ..this person would rather his daughter date an MS13 than a republican.....what the he'll are these people dr…</t>
  </si>
  <si>
    <t>RT @capshawjw: #MS13 officially endorses @KamalaHarris they are #ImWithHer https://t.co/3j0632rqXc</t>
  </si>
  <si>
    <t>RT @Kev00711973: Common sense folks! https://t.co/hqYBkj2kBQ</t>
  </si>
  <si>
    <t>RT @PrisonPlanet: Retweet if you couldn't care less about the royal wedding.</t>
  </si>
  <si>
    <t>RT @PrisonPlanet: I’m not going to bed until the tweet below reaches 20,000 retweets. ✌️ https://t.co/ZpsvYXvjVm</t>
  </si>
  <si>
    <t>RT @paulajarvis69: He's got a problem with visiting "violence and pain" upon MS-13.
I don't.
They have no place in America. Period.
#Dep…</t>
  </si>
  <si>
    <t>RT @SecOfState70: MSM Dictionary:
AR-15 = Assault Rifle
Molotov Cocktail = Unarmed</t>
  </si>
  <si>
    <t>RT @thebradfordfile: Children need role models. 
Like police officers. 
Like teachers. 
Like veterans. 
Like present mothers. 
Like pr…</t>
  </si>
  <si>
    <t>RT @Shiftyone2: @_VachelLindsay_ @GOPclammer @AshaRangappa_ Obviously she was an admin specialist in counter intel, (her posts show lack of…</t>
  </si>
  <si>
    <t>RT @NotScottInSC: Progressives want to outlaw “hate speech” (meaning any speech they don’t like, including political) but they can’t becaus…</t>
  </si>
  <si>
    <t>@ravenheadphotos @TrumplicanParty Can you explain how the 21+ age restriction would have prevented today’s shooting when gun was illegally obtained? Once you have a resolution to keep guns away from criminals, let us know. #2A</t>
  </si>
  <si>
    <t>@Jakeovasaur @DLoesch @lzsdad Whoa, you missed the point. We actually want to RESOLVE the problem &amp;amp; perhaps the Left can listen to the NRA’s detailed resolutions assuming they also want a resolution &amp;amp; not just a liberal talking point. #2A</t>
  </si>
  <si>
    <t>RT @DLoesch: @lzsdad Every time I talk about the NRA's School Shield program (which reinforces schools, trains teachers, offers resources f…</t>
  </si>
  <si>
    <t>RT @WalshFreedom: Just heard somebody else on MSNBC say: "Pulling out of the Iran deal tells our allies once again that the United States i…</t>
  </si>
  <si>
    <t>RT @Brady_real1: Obama played the race card
Hillary played the woman card
America played the the Trump card
#MakeAmericaGreatAgain #TrumpF…</t>
  </si>
  <si>
    <t>@srobin1806 @ThomasWictor @therealroseanne Roseanne has a smile that lights up a room! She’s adorable! @RoseanneOnABC</t>
  </si>
  <si>
    <t>RT @srobin1806: @ThomasWictor @therealroseanne and she looks fabulous. Just love her</t>
  </si>
  <si>
    <t>RT @Susanjo34441302: @ThomasWictor @therealroseanne She is rocking that 65.  😎</t>
  </si>
  <si>
    <t>RT @michelle11502: @ThomasWictor @therealroseanne Roseanne is a strong woman with a lot to say. I am grateful to have the honor of watching…</t>
  </si>
  <si>
    <t>RT @Bonniep03082006: @ThomasWictor You are sooo right. MAGA is about being better for ourselves and every nation.</t>
  </si>
  <si>
    <t>RT @ThomasWictor: (13) I DO think Mr. West is right.
But I also recognize my limitations.
So I have to be content with embracing improvem…</t>
  </si>
  <si>
    <t>RT @ThomasWictor: (12) Negativity and hate will ruin YOU.
I separate loathing from hate.
@kanyewest says we need to try love, but he's a…</t>
  </si>
  <si>
    <t>RT @ThomasWictor: (11) The purpose of us being here is to improve until we become who we are supposed to be.
You can get there by embracin…</t>
  </si>
  <si>
    <t>RT @ThomasWictor: (10) And as Magee said, you put out your hand and touch the face of God.
This isn't presumptuous of me.
It's what we're…</t>
  </si>
  <si>
    <t>RT @ThomasWictor: (9) The more we become ourselves, the freer we get.
You do indeed "slip the surly bonds of Earth," to quote John Gillesp…</t>
  </si>
  <si>
    <t>RT @ThomasWictor: (8) Roseanne is ageless.
You literally can't put her in a chronological category.</t>
  </si>
  <si>
    <t>RT @ThomasWictor: (7) Like @realDonaldTrump, Roseanne doesn't belong to any era.
She's outside all of that.
Our president is 71 but proje…</t>
  </si>
  <si>
    <t>RT @ThomasWictor: (6) The reason Roseanne and I began talking was that I was defending Israel.
When I also began defending Saudi Arabia, G…</t>
  </si>
  <si>
    <t>RT @ThomasWictor: (5) But the catalyst is Roseanne.
SHE inspires them the way she inspired me so many years ago.</t>
  </si>
  <si>
    <t>RT @ThomasWictor: (4) People should really reflect on what Roseanne is accomplishing AGAIN.
Yes, she has a great cast and a great team of…</t>
  </si>
  <si>
    <t>RT @ThomasWictor: (3) My brother has a saying:
"God did a little dance around her."</t>
  </si>
  <si>
    <t>RT @ThomasWictor: (2) She's timeless, she's eternally hip, and she embraces CHANGE and IMPROVEMENT.</t>
  </si>
  <si>
    <t>RT @ThomasWictor: (1) I'm not going to name any OTHER actresses, but this is a 65-year-old woman.
@therealroseanne https://t.co/x7kUk6tR3C</t>
  </si>
  <si>
    <t>RT @celestewoodring: Love this.  Great thread about becoming ourselves. What God intends. https://t.co/CA8FHqpQA8</t>
  </si>
  <si>
    <t>RT @drawandstrike: @ThomasWictor Heeeey Thomas! Remember when it was just a rightwingnut fever dream fantasy that Obama &amp;amp; Co. would use fed…</t>
  </si>
  <si>
    <t>RT @ThomasWictor: (14) Trump is in it for THE WORLD, not the United States.
The way we handled North Korea from 1953 was a TOTAL FAILURE.…</t>
  </si>
  <si>
    <t>RT @ThomasWictor: (13) Trump BEGAN with the hardest nut to crack.
"Face" is what matters most to East Asians.
If Trump establishes a bila…</t>
  </si>
  <si>
    <t>RT @ThomasWictor: (12) We have to win over the Chinese, the Vietnamese, the Cambodians, the Laotians, the Burmese, and the Filipinos.
This…</t>
  </si>
  <si>
    <t>RT @ThomasWictor: (11) Trump has broadly hinted that he's already talking with Kim.
This is all THEATER to show the Pacific that we don't…</t>
  </si>
  <si>
    <t>RT @ThomasWictor: (10) You're hearing people say, "This is the same old, same old."
NO.
This is a different-new, different-new.</t>
  </si>
  <si>
    <t>RT @ThomasWictor: (9) It's absolutely clear that we wiped out North Korea's nuclear-weapons program, AND we wiped out the people running th…</t>
  </si>
  <si>
    <t>RT @ThomasWictor: (8) Here's a question:
Does hating Trump make you dumb, or do only dummies hate Trump?</t>
  </si>
  <si>
    <t>RT @ThomasWictor: (7) Then The Iranians went FAR underground and scattered THEIR nuclear-weapons operations all over the country.
Only reg…</t>
  </si>
  <si>
    <t>RT @ThomasWictor: (6) In 2007, the Israelis had to undertake an INCREDIBLY risky mission to destroy Assad's nascent nuclear-weapons program…</t>
  </si>
  <si>
    <t>RT @ThomasWictor: (5) Well, the North Koreans became a nuclear power, they steadily improved their ballistic missiles, and they helped Iran…</t>
  </si>
  <si>
    <t>RT @ThomasWictor: (1) Allow @EricLevitz to show you how stupid and blind the press is.
https://t.co/0WLDqltxJ1</t>
  </si>
  <si>
    <t>RT @ThomasWictor: Isn't it time for you to have a stroke so you'll stop with this endless, childish MELODRAMA?
He was talking about MS-13,…</t>
  </si>
  <si>
    <t>RT @AppsTrever: @StupidOrLiar @ThomasWictor Yes left never talks about the violence and murder in leftist strongholds like Chicago ,Baltimo…</t>
  </si>
  <si>
    <t>RT @draco4444: If FISA Warrent needs corroboration &amp;amp; verification; how did the FISA warrants get approved utilizing fake intel? 
Did any o…</t>
  </si>
  <si>
    <t>RT @PoliticalShort: Letter sent yesterday by Grassley to Rosenstein &amp;amp; Wray regarding Mueller's Investigation &amp;amp; Regulations. "It's unclear p…</t>
  </si>
  <si>
    <t>RT @ConservaMomUSA: And it only took #TedLieu 51 minutes to politicize #SantaFeHighSchool &amp;amp; shift the narrative from the damning info in th…</t>
  </si>
  <si>
    <t>RT @larryelder: "Too many people in the media cannot seem to tell the difference between reporting the news and creating propaganda."
—@Tho…</t>
  </si>
  <si>
    <t>RT @bill_medic142: The left has turned into a pack of defiant teenagers, who disagree with everything their parents say, just for the sake…</t>
  </si>
  <si>
    <t>RT @guypbenson: “Take back the country” is no longer racist https://t.co/dIxq9f1doH</t>
  </si>
  <si>
    <t>RT @brithume: This should be a balanced discussion. https://t.co/EJxrmNwQn2</t>
  </si>
  <si>
    <t>RT @AP: AP has deleted a tweet from late Wednesday on Trump’s “animals” comment about immigrants because it wasn’t made clear that he was s…</t>
  </si>
  <si>
    <t>RT @brithume: South Korea wanted to scrap the exercises. I’ll bet Kim Jong Un will see it as caving to his demands.  https://t.co/waPYaOXS7i</t>
  </si>
  <si>
    <t>RT @brithume: Now that multiple accounts from people in the meeting are available, the answer seems clearly “no.” https://t.co/YAskFz6pBM</t>
  </si>
  <si>
    <t>RT @brithume: There are a lot of people who should be ashamed; this man had the courage to say it about himself.  https://t.co/dpDE3xQx5O</t>
  </si>
  <si>
    <t>RT @NumbersMuncher: It is reprehensible to post this clip without noting that Trump was asked a question about the MS-13 gang members cross…</t>
  </si>
  <si>
    <t>RT @FredMenachem: @johncardillo @JackPosobiec @TrumpDoral @DoralPolice @MiamiDadePD I don't support Trump on everything, although a fan of…</t>
  </si>
  <si>
    <t>RT @ReillocNaes: Maybe democrats are on to something when it comes to gun control. Maybe libs should be banned from having them🤔 
#GunContr…</t>
  </si>
  <si>
    <t>RT @johncardillo: The “official” who leaked Michael Cohen’s bank records was so concerned that sensitive info was compromised, that they ga…</t>
  </si>
  <si>
    <t>RT @KurtSchlichter: Can we call the shooter an animal, or is it only cool to call NRA members who didn't do it terrorists?</t>
  </si>
  <si>
    <t>RT @odonnell_r: Says a guy who never walked into a drug den or fortified housing project during the height of the crack epidemic where drug…</t>
  </si>
  <si>
    <t>RT @SebGorka: That’s EASY. 
He worked for @BarackObama. https://t.co/RLKUUWzH1U</t>
  </si>
  <si>
    <t>RT @GeorgKennan: @ArthurSchwartz @j_arthur_bloom @ADL_National @JGreenblattADL @ZOA_National Obama boy is upset that there is a Jewish grou…</t>
  </si>
  <si>
    <t>RT @johncardillo: Ironic that the only people who have been jammed up for actually colluding with Russia (via Steele Dossier) to rig the el…</t>
  </si>
  <si>
    <t>RT @CamEdwards: I'll remember this the next time my fellow NRA members and I are called terrorists. https://t.co/R87MMYae4J</t>
  </si>
  <si>
    <t>@instapundit @johncardillo Forget draining the Swamp; looks like they’re helping the GOP win their November mid-terms, with all their unstable bizarre behavior! 😂😂 God works in mysterious ways! 💞🙏🏻 #MAGA</t>
  </si>
  <si>
    <t>RT @instapundit: Yesterday:  Everyone has a spark of divinity in them and it's wrong to speak of them in a dehumanizing way.
Today:  The N…</t>
  </si>
  <si>
    <t>RT @ezralevant: They've done this before at @TwitterSafety. They do it for all of @jack's pet issues. They blocked @johncardillo's petition…</t>
  </si>
  <si>
    <t>RT @fladave88: Hahaha https://t.co/ORcssFf3e2</t>
  </si>
  <si>
    <t>RT @MarkSimoneNY: Chuck Schumer spends 20 years leaving the border wide open and after 20 million illegals pour in, then he asks “what abou…</t>
  </si>
  <si>
    <t>RT @Education4Libs: In a DUI, we blame the driver. In a robbing, we blame the robber. And in a bombing, we blame the bomber.
But in a shoo…</t>
  </si>
  <si>
    <t>@HokieTed @RedLawCO @MatthewNussbaum Agree, I think I remember Pres Obama offered similar sympathies.</t>
  </si>
  <si>
    <t>RT @HokieTed: @RedLawCO @MatthewNussbaum Condolences do not mean nothing is being done. It's an outward expression of sympathy. Do we now c…</t>
  </si>
  <si>
    <t>RT @TPCarney: ...and I still don't understand why divorce filings are public https://t.co/3rKGQA74De</t>
  </si>
  <si>
    <t>RT @TPCarney: This is what Heidi Heitkamp's brother does to conservative journalists in ND who criticize Heidi https://t.co/3yIjxvYuKj</t>
  </si>
  <si>
    <t>RT @levirhall: @JoelKFGO ND Senator Heidi Heitkamp’s brother, a radio personality in Fargo, attacks conservative ND blogger unprovoked... w…</t>
  </si>
  <si>
    <t>RT @jrsalzman: For those of you acting outraged, he’s talking about secure entrances. My kid’s school only has one entrance to get in and y…</t>
  </si>
  <si>
    <t>RT @seanmdav: We have a new winner, everybody! Not sure anyone is going to top this. https://t.co/8Z1umusKPn</t>
  </si>
  <si>
    <t>RT @BARB4TRUMP: Last night from DocRock: "What is the common theme when bad news is about to break (against them)?" Preemptive spin (NYT);…</t>
  </si>
  <si>
    <t>RT @BARB4TRUMP: Not only does our POTUS not take a paycheck, his personal wealth has decreased considerably since he is no longer at the he…</t>
  </si>
  <si>
    <t>RT @BARB4TRUMP: Same here.  I wonder how many would leave Twitter if POTUS went to Gab?  We won't have to worry about anyone censuring us i…</t>
  </si>
  <si>
    <t>RT @BARB4TRUMP: Wow!  Just watched Tucker Carlson take down lunatic, Pat Davis, running for Congress in New Mex.  Showed Davis' campaign ad…</t>
  </si>
  <si>
    <t>@MarkDice @NevadaJack2 I welcome any and all who admit their Sins &amp;amp; choose to come back into the fold!😉 #PrayForAmerica 🙏🏻🇺🇸</t>
  </si>
  <si>
    <t>RT @NevadaJack2: Does anybody remember when CNN's Ana Navarro called President Trump an animal? https://t.co/T7JIlEV4es</t>
  </si>
  <si>
    <t>RT @NevadaJack2: This looks like an excellent must read book. https://t.co/e0UhjPiqNO</t>
  </si>
  <si>
    <t>RT @hrtablaze: The California Republican Revolt is gaining steam. We are being heard. So much so , that California leaders will be meeting…</t>
  </si>
  <si>
    <t>RT @Liz_Wheeler: Man yelling anti-Trump rhetoric opens fire at Trump resort.
Police: shooter was yelling anti-Trumo rhetoric.
Media: We m…</t>
  </si>
  <si>
    <t>RT @CalebJHull: So to summarize:
MS-13 are humans, but babies in the womb are not.
Got it.</t>
  </si>
  <si>
    <t>RT @Liz_Wheeler: Are unborn babies human, John? Or are you going to distance yourself from their humanity? https://t.co/0rfZQEb4Yz</t>
  </si>
  <si>
    <t>15 of the 22 events cited by CNN do NOT meet the more typical definition of a school shooting: a multiple-murder attempt on a school campus directed at children. 😳 #2A  https://t.co/JTPTM7yBAz</t>
  </si>
  <si>
    <t>RT @Liz_Wheeler: Would any liberal #GunControl politics have stopped Santa Fe shooter?
Banning AR-15s - NO
Banning high capacity magazines…</t>
  </si>
  <si>
    <t>RT @AndrewPollackFL: I’ll be on with @marthamaccallum on @FoxNews, @Liz_Wheeler on @OANN and @andersoncooper on @CNN tonight! Tune in! We n…</t>
  </si>
  <si>
    <t>RT @Liz_Wheeler: Over 80% of mass shooters tell someone about their plan to attack beforehand. https://t.co/AWRQJwJemi</t>
  </si>
  <si>
    <t>RT @Liz_Wheeler: In case abortion groupies lie to you today:
The Reagan era Title X rule won't "deny women healthcare."
ALL that money wi…</t>
  </si>
  <si>
    <t>RT @RealCandaceO: The breakdown of the family. 
The mocking of religion
The over-medicating of society. https://t.co/Mi35JM0cmk</t>
  </si>
  <si>
    <t>Will Democrat Mayor Rahm Emanuel put this on his resume? #DrainTheSwamp https://t.co/aVEGuv7XdO</t>
  </si>
  <si>
    <t>@KevinMarriageDr ✝️🙏🏻🙏🏻🙏🏻🙏🏻🙏🏻🙏🏻✝️ May God be by your side thru this difficult journey.</t>
  </si>
  <si>
    <t>RT @KevinMarriageDr: Family just an fyi tomorrow have a series of advanced treatments for lung cancer. There is evidence of migration to my…</t>
  </si>
  <si>
    <t>RT @KevinMarriageDr: Thank you all so very much for the love and support. No matter the struggle I remain steadfast in my determination. Th…</t>
  </si>
  <si>
    <t>RT @sxdoc: Trump brings on Gina Haspel to help clean up the CIA; she knows where the bodies are buried and how everything went down under #…</t>
  </si>
  <si>
    <t>RT @PaulLee85: That being said It's more clear to me more than ever, that our schools have a problem. It's not guns. It's how we treat one…</t>
  </si>
  <si>
    <t>@jewelofjkt @CarmineSabia I guess you havent watched CNN, NBC, ABC, CBS or listened to Pelosi &amp;amp; Schumer this week. #CurrentEvents</t>
  </si>
  <si>
    <t>Can we add armed guards to protect the account from being stolen by Democrats? https://t.co/RBonyfMsvb</t>
  </si>
  <si>
    <t>RT @sonicdrivein: Teachers like @JamieMcsparin are making real change in their schools. She created the Positivity Project and she asked ot…</t>
  </si>
  <si>
    <t>RT @npnikk: SOCIAL JUSTICE FAIL -- Colin Kaepernick Is So Unpopular, Politicians Are 'Running Against' Him https://t.co/w8QU9sGSWH</t>
  </si>
  <si>
    <t>RT @valchappy1: @GunsmithA @Ohio_Buckeye_US @MAGANinaJo @FuckBoiNgLaguna @seanhannity @therealroseanne @Feisty_FL @RealJamesWoods @Maggieb1…</t>
  </si>
  <si>
    <t>https://t.co/mHlPbt3YI6</t>
  </si>
  <si>
    <t>RT @PollackHunter: Students of Santa Fe, I lost my sister in February cause of the reason you lost your friends. I know exactly what you’re…</t>
  </si>
  <si>
    <t>RT @flm22: 4/4 TEENS live in/fight the feelings over facts culture. What does MSM do? Encourage teens to call in the INSTANT something happ…</t>
  </si>
  <si>
    <t>RT @flm22: 3/4 We have always had weapons &amp;amp; always kept them safe. We taught our kids when they were old enough HOW to use them safely/prop…</t>
  </si>
  <si>
    <t>RT @flm22: 2/3 PARENTS must TAKE BACK their families. I WATCHED/LEARNED my kids &amp;amp; their body language. I knew if they were MAD, SAD, DEPRES…</t>
  </si>
  <si>
    <t>RT @flm22: 1/2 In EVERY one of these mass shootings there WERE flags; parents, schools, shrinks, family, &amp;amp; police. Parents MUST wake up &amp;amp; e…</t>
  </si>
  <si>
    <t>RT @mflynnJR: The father should be charged.  Im a father of a 1 year old.  I have multiple weapons.  They are LOCKED UP and IM THE ONLY ONE…</t>
  </si>
  <si>
    <t>RT @RyanAFournier: Both firearms used by the shooter today were not legally owned according to Governor Abbott. No gun law could have preve…</t>
  </si>
  <si>
    <t>RT @brandongroeny: Dems keep saying “we need common sense gun laws” in response to the Texas shooting. Here are the facts
The shooter is 1…</t>
  </si>
  <si>
    <t>@jewelofjkt @CarmineSabia Its shows if we’re willing to abort babies who are “inconvenient” to our lives, then we have NO respect for Life. Thats what we’ve taught our kids. The fact you seriously believe these are lies shows you lack problem-solving skills.</t>
  </si>
  <si>
    <t>Let’s spread this far &amp;amp; wide to parents &amp;amp; kids who can share with their school districts! #Solutions https://t.co/fNwqx8Cqmv</t>
  </si>
  <si>
    <t>RT @NameRedacted7: Schools are soft targets, that's why they are so frequently a target of evil/crazy people. The @SecretService has the da…</t>
  </si>
  <si>
    <t>@thatgrllvstrmp @flm22 @realDonaldTrump I have a good friend who is having serious health issues &amp;amp; shared this with her today, from the “Jesus Is Calling” book; maybe these can be reassuring words for your sister too. #Praying 🙏🏻✝️ https://t.co/zy4lE2JiYL</t>
  </si>
  <si>
    <t>RT @thatgrllvstrmp: Just found out my 26 year old little sister has cancer.. I know fighting for @realDonaldTrump is extremely important, a…</t>
  </si>
  <si>
    <t>RT @Golfinggary5221: This is so RIDICULOUS! What a JERK- #CNN’s @ananavarro Called Donald Trump an 'Animal!’ But no consequences! Yet he is…</t>
  </si>
  <si>
    <t>RT @Sunrise51052: Thank you POTUS for proposing restricted Federal funding for abortion providers!   #ChooseLife https://t.co/htO28ifJuf</t>
  </si>
  <si>
    <t>RT @KyleKashuv: You can read my timeline at no cost. https://t.co/OYCm7ioJD2</t>
  </si>
  <si>
    <t>RT @Patrici15767099: I don't EVER want to hear blacks talk about how the prison system needs to be reformed anymore after learning that J-Z…</t>
  </si>
  <si>
    <t>RT @RoseHasMoreFun: Folks, we don’t have a Gun control problem, we have a bullying problem.  Time for schools to take this problem seriousl…</t>
  </si>
  <si>
    <t>RT @LloydMack16: It’ll be interesting to see how this turns out.
Male-to-Female Transgender Woman Sues After Muslim Refuses Body Waxing Se…</t>
  </si>
  <si>
    <t>RT @nedryun: "The scandal is that the @FBI, lacking the incriminating evidence needed to justify opening a criminal investigation of the @r…</t>
  </si>
  <si>
    <t>RT @JackPosobiec: Democrat Platform 2018:
Ban AR-15s, Import MS-13s</t>
  </si>
  <si>
    <t>RT @carrieksada: Hmm when will Marxist politicians like yourself stop painting our Prez as KKK, Hitler, incarnate; 
Inciting these young pe…</t>
  </si>
  <si>
    <t>RT @Real_Gaz: The left is now defending vicious gangs so I thought, why not take a poll?
What do you think MS13 members are?
#MAGA</t>
  </si>
  <si>
    <t>RT @LauraLoomer: Explosive devices were found at the high school too. 
Evil isn’t confined to a gun. When will the Left understand this? h…</t>
  </si>
  <si>
    <t>RT @justanavywife: @mflynnJR I’d love to see our veterans employed to guard &amp;amp; protect our schools. There are many highly trained men &amp;amp; wome…</t>
  </si>
  <si>
    <t>RT @sweetrtweetrD: @Cynthia_Jeanne3 @IsidorMeyer1 @SenSchumer You get the transcripts so you are knowingly and willfully lying to the Ameri…</t>
  </si>
  <si>
    <t>RT @starcrosswolf: Oh look the woman who slept with a married man while his wife lay dying is lecturing US on morals. Seems you got a high…</t>
  </si>
  <si>
    <t>RT @actlightning: @SenKamalaHarris KKKomrade KKKamala's mysogyny once again rises thru the swamp slime. Perhaps her adulterous history has…</t>
  </si>
  <si>
    <t>RT @RealCandaceO: There is no law, no president, and no congress that can be responsible for raising our children. 
I wonder which networks…</t>
  </si>
  <si>
    <t>RT @SusanStormXO: When this New Jersey school board member's tears couldn't get her out of a speeding ticket, she goes off the rails –calli…</t>
  </si>
  <si>
    <t>Such a wonderful role model for the students regarding respect for law &amp;amp; order! NOT! 😡 #DoTheCrimeDoTheTime https://t.co/Qk6fAUTrvc</t>
  </si>
  <si>
    <t>RT @bbusa617: ICE Sweep Child Sex Traffickers https://t.co/bwOY1KHAJ7 #news
ICE JUST ANNOUNCED A MAJOR CHILD SEX TRAFFICKING STING ACROSS…</t>
  </si>
  <si>
    <t>RT @FoxNews: .@RandPaul: "Why don't we say it as a country - we're not going to leave our kids defenseless. We're going to defend them. Eve…</t>
  </si>
  <si>
    <t>RT @Debradelai: I fervently desire your wish comes true. https://t.co/Ck9u2edVNZ</t>
  </si>
  <si>
    <t>@jewelofjkt @CarmineSabia So easy for you to ignore Democrat support FOR late-term abortion &amp;amp; embracing MS-13 thugs who chop ppl up with machetes, rape, kidnap &amp;amp; sell women into sex slavery! #GlassHouses</t>
  </si>
  <si>
    <t>RT @CarmineSabia: He had a shotgun. He did not legally own a gun. He had pressure cooker bombs and pipe bombs. Tell me what law would have…</t>
  </si>
  <si>
    <t>RT @Margie1820: @LoriinUtah @1Romans58 Exactly. We all grew up with guns not locked up but everyone I know has a gun safe now.</t>
  </si>
  <si>
    <t>@gaye_gallops @ptsd1471 LOL, our corrupt biased media is driving Glenn Beck into the arms of President Trump! Yep, there’s just so much spin Americans can take! Democrat meltdown over, dont call MS-13 thugs animals might have really stepped over the line. #MAGA</t>
  </si>
  <si>
    <t>RT @gaye_gallops: AS THE RED TIDAL WAVE IS WASHING OVER AMERICA... 
GLENN BECK WILL VOTE FOR TRUMP IN 2020
BECK ACKNOWLEDGES THE MSM IN I…</t>
  </si>
  <si>
    <t>RT @jjauthor: Only a liberal would call an abortion factory - #PlannedParenthood! #IStandWithBabies https://t.co/kxaMYrlfs0</t>
  </si>
  <si>
    <t>@PPact @realDonaldTrump If you have an unwanted pregnancy, do you really want to discuss “control over YOUR body”? He’s Not controlling YOUR body, just the taxpayer funds going towards it but you’ll have no problem securing private donations. #Life</t>
  </si>
  <si>
    <t>RT @realTylerZed: Emma Gonzales: “Go serve your F***ing country if you want to shoot an AR-15 for fun.”
Go back to f***ing class and work…</t>
  </si>
  <si>
    <t>RT @JamesOKeefeIII: The MSM was caught deceptively editing @realDonaldTrump's words about the notorious MS-13 gangs – dishonest journalism…</t>
  </si>
  <si>
    <t>RT @thebradfordfile: 302s
FBI mole
FISA fraud
Unmasking
Rogue agents
National Security Letters
Obama was in charge...
It's called ObamaGa…</t>
  </si>
  <si>
    <t>RT @GPollowitz: Hahaha. https://t.co/RANDljPE58</t>
  </si>
  <si>
    <t>RT @scottthong: @ThomasWictor Not anything you don't already know, but Western reporters (and their news agency bosses) are in Israel &amp;amp; Pal…</t>
  </si>
  <si>
    <t>RT @AriFleischer: Once again Jake Tapper pushes back against much of the press corps.  How many reporters ran to create the impression that…</t>
  </si>
  <si>
    <t>RT @ThomasWictor: (19) I don't want to be a martyr. I want to live to be very old and bent over and shuffling around, looking for my puddin…</t>
  </si>
  <si>
    <t>RT @ThomasWictor: Man, that's totally garbled.
Elizabeth McKenna is the founder of the fictional Guernsey Literary and Potato Peel Pie Soc…</t>
  </si>
  <si>
    <t>RT @ThomasWictor: @skyjtabby @coolhandruse @Methadras @jamesso33 (6) Remember, the Soros folks think that fake accounts are the ticket.
Th…</t>
  </si>
  <si>
    <t>RT @ThomasWictor: @skyjtabby @coolhandruse @Methadras @jamesso33 (5) People tell every lie under the sun on social media.
This person says…</t>
  </si>
  <si>
    <t>RT @ThomasWictor: @skyjtabby @coolhandruse @Methadras @jamesso33 (4) She joined Twitter seven months ago.
She and the Soros employee are b…</t>
  </si>
  <si>
    <t>RT @ThomasWictor: @skyjtabby @coolhandruse @Methadras @jamesso33 (3) You know who has to fly almost daily?
Open Society Foundations Progra…</t>
  </si>
  <si>
    <t>RT @ThomasWictor: @skyjtabby @coolhandruse @Methadras @jamesso33 (2) There's no lawyer in the US with that name.
UA1234 went from Tampa to…</t>
  </si>
  <si>
    <t>RT @ThomasWictor: @skyjtabby @coolhandruse @Methadras @jamesso33 (1) Why would a lawyer fly six times a week? https://t.co/wTPBK9xauS</t>
  </si>
  <si>
    <t>RT @seanmdav: DOJ officials have been maliciously leaking details about this source for days while faux fretting about what would happen if…</t>
  </si>
  <si>
    <t>RT @seanmdav: Last week DOJ officials leaked this person’s biographical and professional information to WaPo. They leaked two of the person…</t>
  </si>
  <si>
    <t>RT @seanmdav: I’m no spook, but that’s some garbage tradecraft right there. It’s almost like these serial abusers of power want a name to l…</t>
  </si>
  <si>
    <t>RT @Wolkenpower: @ComfortablySmug The Libs IRL right now https://t.co/L9RWEYtS6c</t>
  </si>
  <si>
    <t>RT @scottthong: @ThomasWictor Remember kids, choose your screen ID carefully!
One day you will grow up, you don't want to have your email…</t>
  </si>
  <si>
    <t>RT @Headsnipe011: With this contract, VA will adopt the same EHR platform as the Department of Defense (DoD): 
    Patient data will be se…</t>
  </si>
  <si>
    <t>RT @Headsnipe011: President Trump has made very clear to me that he wants this contract to do right by both Veterans and taxpayers, and I c…</t>
  </si>
  <si>
    <t>RT @Headsnipe011: And with a contract of that size, you can understand why former Secretary Shulkin and I took some extra time to do our du…</t>
  </si>
  <si>
    <t>RT @Headsnipe011: I am pleased to announce we have signed a contract with Cerner today that will modernize the VA’s health care IT system a…</t>
  </si>
  <si>
    <t>RT @Headsnipe011: THIS IS HUGE.
Statement by Acting Secretary Robert Wilkie VA signs contract with Cerner for an electronic health record…</t>
  </si>
  <si>
    <t>RT @ChuckRossDC: All the WaPo reporters are quoting Wray on this without noting that their very same story is based on leaks about this sou…</t>
  </si>
  <si>
    <t>RT @seanmdav: Wait, so you’re suggesting top intel or law enforcement official(s) authorized these leaks (leaks that officials simultaneous…</t>
  </si>
  <si>
    <t>RT @bigtimcavanaugh: Is the logic here that it can't be a witch hunt because of how many people it has caught? Because the prosecutors in S…</t>
  </si>
  <si>
    <t>RT @MZHemingway: The only embarrassing thing is that they tried to pass it in the first place https://t.co/4Ua6wj7KjV</t>
  </si>
  <si>
    <t>RT @MZHemingway: “Actually spying on our political opponents is a normal thing and a good thing” is not nearly as great a talking point as…</t>
  </si>
  <si>
    <t>RT @MZHemingway: It’s not just that DOJ would push this narrative but that reporters would be so unintelligent in carrying that water for t…</t>
  </si>
  <si>
    <t>RT @MZHemingway: DOJ Frets About Source Outing While Deliberately Outing Source https://t.co/TsgUCLjw83</t>
  </si>
  <si>
    <t>RT @ByronYork: Read @AndrewCMcCarthy on Trump-Russia, the FBI, NYT, and the differences between a criminal investigation and a counterintel…</t>
  </si>
  <si>
    <t>RT @seanmdav: Does repeatedly leaking information about the individual to NYT and WaPo constitute “taking steps to protect the life of that…</t>
  </si>
  <si>
    <t>RT @seanmdav: DOJ: There’s a secret source.
WaPo: Really?
DOJ: Her life’s at risk.
WaPo: Wow.
DOJ: Her name’s Olga.
WaPo: I thought you sai…</t>
  </si>
  <si>
    <t>RT @seanmdav: The only people sharing sensitive details about the source with reporters are DOJ and intel officials. It’s like watching the…</t>
  </si>
  <si>
    <t>RT @seanmdav: I'm a bit worried that by the time DOJ/FBI officials are done leaking, scientists will be able to reconstruct the source's en…</t>
  </si>
  <si>
    <t>RT @seanmdav: The fruits of Columbine continue to poison young minds. https://t.co/8pVHD0txei</t>
  </si>
  <si>
    <t>RT @charlescwcooke: This is an enormous and under-appreciated part of this story—and it's inextricable from the copycat nature of these att…</t>
  </si>
  <si>
    <t>RT @passantino: Experts say the recent uptick in mass shootings is likely due to the amount of attention the attacks receive and the fixati…</t>
  </si>
  <si>
    <t>RT @peterjhasson: Totally normal thing to say https://t.co/dzdAJE8ORA</t>
  </si>
  <si>
    <t>RT @seanmdav: "'How do you explain to your 10-year-old son that daddy is sick, and that he's sick right here?' a veteran asked as he pointe…</t>
  </si>
  <si>
    <t>RT @seanmdav: Lots of vets organizations want your money. This one doesn't. It just wants veterans and first responders struggling with PTS…</t>
  </si>
  <si>
    <t>RT @ByronYork: If a law-enforcement official was concerned about the security of Cohen's records, the idea that a responsible course of act…</t>
  </si>
  <si>
    <t>RT @lizhkelly: Warriors Heart opens Detox Center for Veterans and First Responders https://t.co/QbSTBftXo2 via @PRWeb @WarriorsHeart22 #War…</t>
  </si>
  <si>
    <t>RT @WarriorsHeart22: Here's how you can work to recover your self-esteem while undergoing recovery from addiction https://t.co/YcgyYZKlH2 h…</t>
  </si>
  <si>
    <t>RT @seanmdav: Very moving video about how combat veterans experience life as an American after they come home from the war. Delta vet Tom S…</t>
  </si>
  <si>
    <t>RT @SeanParnellUSA: All the credit for this video, and exceptional cinematography goes to @_RyanWelch &amp;amp; @RyanARossman. I get to work with t…</t>
  </si>
  <si>
    <t>RT @SeanParnellUSA: I want you all to watch this.
Tom &amp;amp; Scot Spooner are former Special Operators. Delta. In this video they talk about Fr…</t>
  </si>
  <si>
    <t>RT @RightOnCrime: Trump on incarceration that fails to rehabilitate, “It is not merely a waste of money but a waste of human capital.” @POT…</t>
  </si>
  <si>
    <t>RT @SaraCarterDC: Wait... Clapper the leaker who denied the IC was being used to spy on the Trump campaign, now says it was a good thing th…</t>
  </si>
  <si>
    <t>RT @redsteeze: Kind of nails it
https://t.co/5nGvwHSegQ</t>
  </si>
  <si>
    <t>RT @redsteeze: Yeah something oddly unsettling now that post shooting interviews of surviving kids now seem to be audition tapes for media…</t>
  </si>
  <si>
    <t>RT @PaulSzoldra: Sgt. Maj. Brad Kasal is retiring today from the @USMC after 34 years.
He’s best known for his actions in Fallujah on 11/1…</t>
  </si>
  <si>
    <t>RT @ChrisRStricklin: Join me for an emotional journey into the healing mission of Warriors Heart 
@FDRLST @WarriorsHeart22 
https://t.co/X…</t>
  </si>
  <si>
    <t>RT @TrendyNewsBits: @DLoesch @flowersoffate Even AP said the animals comment was taken out of context and apologized.
@SenSchumer when can…</t>
  </si>
  <si>
    <t>RT @chicagotribune: Black Guns Matter bringing gun rights and education workshops to Chicago's African-American community this month https:…</t>
  </si>
  <si>
    <t>RT @DLoesch: Charges were dismissed and decision reversed, and he was specifically referring to the people who threw vandalized a guy’s hou…</t>
  </si>
  <si>
    <t>RT @Bmac0507: Why does the media hate strong women https://t.co/ptmnqoW6Vp</t>
  </si>
  <si>
    <t>RT @ThePewPewJew: As a Jew I find it quite ironic and sad that the left thinks I’m a terrorist because I’m an NRA member but Hamas who is a…</t>
  </si>
  <si>
    <t>RT @NRATV: "@SenSchumer has said more about @realDonaldTrump calling them animals, than he said about MS-13 doing animalistic things to inn…</t>
  </si>
  <si>
    <t>RT @DLoesch: This is fantastic news. States also need to do this through Medicaid. https://t.co/QWzdKo9yfY</t>
  </si>
  <si>
    <t>RT @odonnell_r: As a Homicide Detective who has dealt with MS13 directly, there is not an once of humanity in their brutality. @DLoesch is…</t>
  </si>
  <si>
    <t>RT @instapundit: Out:  Only a paranoid nutjob would think the FBI was spying on the Trump campaign.
In:  It's a good thing the FBI was spy…</t>
  </si>
  <si>
    <t>Perhaps @CNN will be smart enough this time to wait a couple days to ensure a feckless govt program like the Promise Program didnt play a big part in ignoring likely killers. #2A https://t.co/K5FaoICsKw</t>
  </si>
  <si>
    <t>@billburton @markknoller You infer there’s contempt against immigrants but the truth is, there’s contempt against LAW-Breakers by working taxpayers who desire law &amp;amp; order in their communities! #RespectAmerica</t>
  </si>
  <si>
    <t>@dawnlaguens No one is stopping Planned Parenthood supporters from donating to their favorite charity. I’m sure they’ll have no problem securing private funds. #Life</t>
  </si>
  <si>
    <t>RT @Wondertigermom: @dawnlaguens @realDonaldTrump Hurray! One step closer to ending baby murder!</t>
  </si>
  <si>
    <t>Taxes have been cut, economy is growing, unemployment at its lowest, Justice Gorsuch on the court, ISIS backpedaling, the Iran deal is finished, N. and S.Korea have met, hostages have come home, and 3 days ago, the embassy was put in Jerusalem, Jim Jordan https://t.co/ddIPJhxBTy</t>
  </si>
  <si>
    <t>RT @PrisonPlanet: Jordan Peterson is trending because of a vicious NY Times hit piece.
I've lost count of the number of stories I've heard…</t>
  </si>
  <si>
    <t>@B52Malmet @TheSWPrincess @grantstern @DanaScottLO @mystcole @ChocoHarveyMilk @JediMasterDre @wesley_jordan @exoticgamora @LunaLuvgood2017 @MattAsherS Are you comfortable dropping her off in the minority communities where the drug dealing, kidnappings, sex-trafficking, machete murdering MS13 thugs prey on their innocent neighbors? Why dont you care abt those innocents living w/that violence. Get the facts abt what @POTUS said.</t>
  </si>
  <si>
    <t>RT @realDonaldTrump: Fake News Media had me calling Immigrants, or Illegal Immigrants, “Animals.” Wrong! They were begrudgingly forced to w…</t>
  </si>
  <si>
    <t>RT @RachelStoltz: What’s wrong with the anti-Trump media, in three tweets. 
1. Blame the victim 
2. Claim innocence 
3. Repeat the narrati…</t>
  </si>
  <si>
    <t>Wow, AP! This is embarrassing! @AP https://t.co/iYm1LouEyN</t>
  </si>
  <si>
    <t>@mitchellreports @realDonaldTrump I wonder what the residents in the minority communities where the kidnapping, sex-trafficking, machete hacking murders occur, call the MS-13 thugs! Spending time on verbiage instead of concern for thelaw &amp;amp; order respecting residents, is careless! @NBCNews @CBSNews @abcnews @CNN</t>
  </si>
  <si>
    <t>RT @realDougieD: When the IG's report comes out, the MSM will be seen as an accomplice to and knowing participant in the cover up of the cr…</t>
  </si>
  <si>
    <t>RT @Jim_Jordan: It’s high time for transparency. The DOJ and FBI have continually and repeatedly thwarted congressional oversight. We’re as…</t>
  </si>
  <si>
    <t>RT @KimStrassel: FBI didn't tell FISA court who paid for it; Obama politicals unmasked transition members; Steele was blabbing to the press…</t>
  </si>
  <si>
    <t>RT @KimStrassel: 1) True, and that's not all. Remember when it was conspiratorial and nut-jobby to report that: dossier was paid for by Dem…</t>
  </si>
  <si>
    <t>RT @KimStrassel: Kindly-meant memo to all: coming IG report does not deal with the FBI’s handling of Trump-Russia probe. Is focused solely…</t>
  </si>
  <si>
    <t>RT @LarrySchweikart: "GIVE SOMETHING TO SHOOT AT!" https://t.co/QjqNyz1qZh</t>
  </si>
  <si>
    <t>RT @AMike4761: Trump Administration To Open Records On Obama ‘Fast And Furious’ Gun Running Operation!  Very bad news for Holder.  Obama to…</t>
  </si>
  <si>
    <t>RT @steamjetboomer: @Baba9773 Could that be the real reason Sessions recused himself? He can’t investigate a crime perpetrated against hims…</t>
  </si>
  <si>
    <t>RT @Nick_Falco: "As of today, I understand a referral for criminal prosecution has been made by Horowitz to Huber, who is investigating the…</t>
  </si>
  <si>
    <t>RT @JacobAWohl: Iranian missile systems were successfully vaporized by an Israeli Air Force strike early this morning https://t.co/FPieCEjX…</t>
  </si>
  <si>
    <t>RT @realDonaldTrump: Why isn’t disgraced FBI official Andrew McCabe being investigated for the $700,000 Crooked Hillary Democrats in Virgin…</t>
  </si>
  <si>
    <t>RT @IngrahamAngle: Promises made, promises kept. Planned Parenthood is a an abortion conglomerate—wrapped up as a “women’s healthcare” ente…</t>
  </si>
  <si>
    <t>RT @MichaelRWarren: Read this. https://t.co/elsOrIapjs</t>
  </si>
  <si>
    <t>RT @divnanata: True. My husband is so angry at anyone shaking the foundations and he’s fearful. I’m for draining the swamp and rebuilding s…</t>
  </si>
  <si>
    <t>Schizophrenia in the SWAMP! https://t.co/Pr5tKqSYEk</t>
  </si>
  <si>
    <t>RT @continetti: Tom Wolfe is often overlooked as a counter-intellectual because his method wasn't polemic but devastating, irresistible sat…</t>
  </si>
  <si>
    <t>https://t.co/HGUSR16LCb</t>
  </si>
  <si>
    <t>RT @LouDobbs: #LDTPoll: Do you believe the Department of Justice must immediately launch a full investigation of the Obama administration's…</t>
  </si>
  <si>
    <t>RT @RealMarquis7: #IDontTrustPeopleThat think that decent, hard working patriots are "borderline terrorists".
#NRA
#MAGA
#LiberalismIsAMen…</t>
  </si>
  <si>
    <t>RT @GOP: RT to thank @realDonaldTrump for donating his 2018 first quarter salary to the VA caregiver program! https://t.co/BFtEDbZqu2</t>
  </si>
  <si>
    <t>RT @RealMarquis7: Pelosi is nothing but a demagogue trying to stir up racial antipathy.
Trump was referring to MS13 members not random ill…</t>
  </si>
  <si>
    <t>RT @ThinBlueLR: Trump is a master manipulator of the moronic left. 
He throws chum in the water like no one else. 
Pure genius. 
Meanwhi…</t>
  </si>
  <si>
    <t>RT @Anzers: IG Horowitz Finds FBI, DOJ Broke Law In Clinton Probe, Refers To Prosecutor For Criminal Charges | Zero Hedge https://t.co/HiaT…</t>
  </si>
  <si>
    <t>RT @FiveRights: The MS-13 story is the epitome of fake news.
The media deliberately misinterpreted Trump's comments to allow them to accuse…</t>
  </si>
  <si>
    <t>RT @SerenityCH3: Our public schools have been crumbling for the longest time.  Public education is antiquated.  Parents and students need '…</t>
  </si>
  <si>
    <t>RT @drawandstrike: Sally Yates was indeed one of the main 'strategic leakers' on the FBI's 7th floor. So was Andrew McCabe.  
Strategic Le…</t>
  </si>
  <si>
    <t>RT @TheLastRefuge2: 23.  At least we've gotten beyond the *denials* and have entered the *justification* phase.  This is the phase where al…</t>
  </si>
  <si>
    <t>RT @TheLastRefuge2: 16.  So it stands to reason in the *justification phase*, those who were previously denying their involvement, and are…</t>
  </si>
  <si>
    <t>RT @TheLastRefuge2: 13.  Those "contractors" were outside government entities.  Remember Daniel Richman, James Comey's BFF leaker buddy, an…</t>
  </si>
  <si>
    <t>RT @TheLastRefuge2: 10.  One of those admissions begins today with Mike Flynn under U.S. government surveillance going back to 2015.  🤔  Wh…</t>
  </si>
  <si>
    <t>RT @TheLastRefuge2: 6.  However, during the admission/*justification* phase, those same leaking officials start putting their names 'on the…</t>
  </si>
  <si>
    <t>RT @TheLastRefuge2: 4.  After 18 months of "denial" the Scheme Team narrative has switched to "justification".  That's the inflection point.</t>
  </si>
  <si>
    <t>RT @CoreysDigs: I was in pacer just now and by happenstance found this little nugget. It appears we will be getting a little transparency i…</t>
  </si>
  <si>
    <t>RT @TheLastRefuge2: FYI - I suspect silly codename "crossfire hurricane" is a load of bunk added recently for dramatic effect by scheme tea…</t>
  </si>
  <si>
    <t>RT @tracybeanz: This is a FANTASTIC explanation of where we are at with the OIG as of now, and everyone should take a second to read it. @T…</t>
  </si>
  <si>
    <t>RT @RealSaavedra: BOMBSHELL: FBI Used Secret Program To Gather Information On Trump Campaign, No Judge Needed, Report Says https://t.co/yNi…</t>
  </si>
  <si>
    <t>RT @lawcrimenews: Michael Avenatti threatened to sue our reporter after unfavorable coverage and then trolled him on Twitter. Read more: ht…</t>
  </si>
  <si>
    <t>RT @DanaSkaggs1: @JacobAWohl I will not accept resignations as a form of punishment if crimes were committed.</t>
  </si>
  <si>
    <t>RT @debpearsonTX: @JacobAWohl @kjgillenwater Looks like the swamp is draining....</t>
  </si>
  <si>
    <t>RT @JacobAWohl: I'm working to confirm rumors that several DOJ/FBI Officials have tendered resignation, effective at the end of this week,…</t>
  </si>
  <si>
    <t>RT @rfthetruth: ... And the news just keeps getting better this evening. Thanks for sharing https://t.co/qbMgvGueMl</t>
  </si>
  <si>
    <t>RT @chuckwoolery: INTERCEPTED DEEP STATE PRIVATE CHAT: Rosenstein Was Blackmailed Into Appointing Mueller https://t.co/RjIhbzx2EL https://t…</t>
  </si>
  <si>
    <t>RT @the_USO: May is Military Appreciation Month! Let's show our troops that we appreciate everything they do for us. Sign the card to help…</t>
  </si>
  <si>
    <t>RT @sean_spicier: Being an NFL referee would be awesome! https://t.co/x6peRQWqpl</t>
  </si>
  <si>
    <t>RT @sean_spicier: I could sure use the exercise https://t.co/4wZdSlxly6</t>
  </si>
  <si>
    <t>RT @sean_spicier: Of course...duh! https://t.co/HB3IPuNK9X</t>
  </si>
  <si>
    <t>RT @sean_spicier: Nope....I’m serious. I’m psyched for it! https://t.co/KElkbpjGlw</t>
  </si>
  <si>
    <t>RT @sean_spicier: One way to ensure your protesters don’t die would be to not let a terrorist organization lead the protest</t>
  </si>
  <si>
    <t>RT @Thomas1774Paine: Cartels make $500 million a year from smuggling illegal immigrants across U.S. border https://t.co/hOW9ozb13E</t>
  </si>
  <si>
    <t>RT @PriscillasView: Attorney General Jeff Sessions issued a new directive to immigration judges Thursday telling them they can no longer sh…</t>
  </si>
  <si>
    <t>https://t.co/oo4H5ZyToz</t>
  </si>
  <si>
    <t>RT @prayingmedic: 60) Jeff Sessions announced that the Justice Department will hand over documents that Congress has asked for during their…</t>
  </si>
  <si>
    <t>RT @prayingmedic: 58) Previously, the Obama admin denied spying on the Trump campaign. 
Now that it's obvious they did (and lied about it)…</t>
  </si>
  <si>
    <t>RT @prayingmedic: 57) The common theme when the deep state and their minions know a bad story is about to break is to preempt it with a sto…</t>
  </si>
  <si>
    <t>RT @prayingmedic: 54) Some "journalists" that work at the Times are [C] [I] [A] 
Clowns wear masks to confuse us about who they really are…</t>
  </si>
  <si>
    <t>RT @prayingmedic: 53) #Qanon responded.
The @nytimes prints what they're told to print.
They're controlled by the cabal.
The #CrossfireHurr…</t>
  </si>
  <si>
    <t>RT @prayingmedic: 17) The Senate Intel Coommittee under Chair Richard Burr is a friendly setting for Clapper &amp;amp; Brennan. 
Hard to know what…</t>
  </si>
  <si>
    <t>RT @prayingmedic: 15) #Qanon has previously suggested that Dorsey is a puppet for the rich and powerful. They offer him Congressional prote…</t>
  </si>
  <si>
    <t>RT @prayingmedic: 4) #Qanon said the news about North Korea possibly pulling out of peace talks was fake but news about Facebook and Twitte…</t>
  </si>
  <si>
    <t>RT @BFT_Podcast: INTERCEPTED DEEP STATE PRIVATE CHAT: Rosenstein Was Blackmailed Into Appointing Mueller https://t.co/FE8euLKhS9 https://t.…</t>
  </si>
  <si>
    <t>RT @BFT_Podcast: FOX NEWS CONFIRMS: Obama’s Weapons Ended Up In Hands of ISIS https://t.co/bF5XcLpnAe https://t.co/DZofcu8SgK</t>
  </si>
  <si>
    <t>RT @BFT_Podcast: Socialism is going mainstream, and Millennials are the cause https://t.co/QrWeeeJRLn https://t.co/R63SHGO7Va</t>
  </si>
  <si>
    <t>RT @mitchellvii: Great show tonight with Chuck Woolery and Mark Young!  Hollywood Conservatives' take on the upcoming midterms, the #BlueWa…</t>
  </si>
  <si>
    <t>RT @mollyday15: For real? #Rosenstein #Blackmailed Who else is being forced to do things bc someone has the goods on them? The #DominoesAre…</t>
  </si>
  <si>
    <t>RT @HNIJohnMiller: 8) Anywhoooo, first off, Palestine/Israel/the Holy Land ain't been right since the Palestinian revolt against the Britis…</t>
  </si>
  <si>
    <t>RT @AIIAmericanGirI: JUST IN: IG Horowitz Found 'Reasonable Grounds' FBI/DOJ Violated Federal Criminal Law Criminal Handling Of Clinton Inv…</t>
  </si>
  <si>
    <t>RT @mmurphy148: https://t.co/B9kQUYlEEW</t>
  </si>
  <si>
    <t>RT @dawg_lb: Just sayin' https://t.co/JuQ2NQ533G</t>
  </si>
  <si>
    <t>RT @PrisonPlanet: After they defended Hamas terrorists, I didn't think the left could sink any lower.
I was wrong.
They're now defending…</t>
  </si>
  <si>
    <t>RT @realJohnnyZipp: Trump Calls for DOJ to SMACK DOWN Oakland Mayor With This SEVERE Charge https://t.co/MaB5blVJM8 via @truthfeednews</t>
  </si>
  <si>
    <t>RT @SavingAmerica4U: 🔴FBI BUSTED: Comey’s Memo Leaker &amp;amp; Secretly-Appointed Fed Agent Never Passed His FBI Background Check
FACT: Comey's f…</t>
  </si>
  <si>
    <t>RT @Jali_Cat: Billionaire Couple Found Murdered in Their Toronto Home Are Linked to the Clinton Foundation. 
#WednesdayWisdom #FactsMatter…</t>
  </si>
  <si>
    <t>RT @gatewaypundit: Joe DiGenova: John Brennan, Will Be in Front of the Grand Jury Soon -- He Needs a Good Lawyer! (VIDEO) https://t.co/O1qu…</t>
  </si>
  <si>
    <t>RT @AnnaApp91838450: @FranSism1g 🚨PATRIOTS DAILY WE MUST STAND UP AGAINST RACIST 
LYING MEDIA/DEMOCRATS
WANT TO KEEP BLACKS AMERICANS IN A…</t>
  </si>
  <si>
    <t>RT @JaniceTXBlessed: Get your facts straight, Alyssa! He was referring to MS-13 &amp;amp; I agree, they r not animals! They are heartless, brutal,…</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</si>
</sst>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2942"/>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HYPERLINK("http://www.twitter.com/NathanBLawrence/status/1001840554261479424", "1001840554261479424")</f>
        <v/>
      </c>
      <c r="B2" s="2" t="n">
        <v>43250.62472222222</v>
      </c>
      <c r="C2" t="n">
        <v>0</v>
      </c>
      <c r="D2" t="n">
        <v>0</v>
      </c>
      <c r="E2" t="s">
        <v>13</v>
      </c>
      <c r="F2" t="s"/>
      <c r="G2" t="s"/>
      <c r="H2" t="s"/>
      <c r="I2" t="s"/>
      <c r="J2" t="n">
        <v>0.8292</v>
      </c>
      <c r="K2" t="n">
        <v>0.063</v>
      </c>
      <c r="L2" t="n">
        <v>0.739</v>
      </c>
      <c r="M2" t="n">
        <v>0.199</v>
      </c>
    </row>
    <row r="3" spans="1:13">
      <c r="A3" s="1">
        <f>HYPERLINK("http://www.twitter.com/NathanBLawrence/status/1001838372023947265", "1001838372023947265")</f>
        <v/>
      </c>
      <c r="B3" s="2" t="n">
        <v>43250.61869212963</v>
      </c>
      <c r="C3" t="n">
        <v>0</v>
      </c>
      <c r="D3" t="n">
        <v>0</v>
      </c>
      <c r="E3" t="s">
        <v>14</v>
      </c>
      <c r="F3" t="s"/>
      <c r="G3" t="s"/>
      <c r="H3" t="s"/>
      <c r="I3" t="s"/>
      <c r="J3" t="n">
        <v>0</v>
      </c>
      <c r="K3" t="n">
        <v>0</v>
      </c>
      <c r="L3" t="n">
        <v>1</v>
      </c>
      <c r="M3" t="n">
        <v>0</v>
      </c>
    </row>
    <row r="4" spans="1:13">
      <c r="A4" s="1">
        <f>HYPERLINK("http://www.twitter.com/NathanBLawrence/status/1001834215762268160", "1001834215762268160")</f>
        <v/>
      </c>
      <c r="B4" s="2" t="n">
        <v>43250.60722222222</v>
      </c>
      <c r="C4" t="n">
        <v>0</v>
      </c>
      <c r="D4" t="n">
        <v>10540</v>
      </c>
      <c r="E4" t="s">
        <v>15</v>
      </c>
      <c r="F4" t="s"/>
      <c r="G4" t="s"/>
      <c r="H4" t="s"/>
      <c r="I4" t="s"/>
      <c r="J4" t="n">
        <v>-0.3182</v>
      </c>
      <c r="K4" t="n">
        <v>0.103</v>
      </c>
      <c r="L4" t="n">
        <v>0.897</v>
      </c>
      <c r="M4" t="n">
        <v>0</v>
      </c>
    </row>
    <row r="5" spans="1:13">
      <c r="A5" s="1">
        <f>HYPERLINK("http://www.twitter.com/NathanBLawrence/status/1001834025936474112", "1001834025936474112")</f>
        <v/>
      </c>
      <c r="B5" s="2" t="n">
        <v>43250.60670138889</v>
      </c>
      <c r="C5" t="n">
        <v>0</v>
      </c>
      <c r="D5" t="n">
        <v>1152</v>
      </c>
      <c r="E5" t="s">
        <v>16</v>
      </c>
      <c r="F5" t="s"/>
      <c r="G5" t="s"/>
      <c r="H5" t="s"/>
      <c r="I5" t="s"/>
      <c r="J5" t="n">
        <v>0.1027</v>
      </c>
      <c r="K5" t="n">
        <v>0.121</v>
      </c>
      <c r="L5" t="n">
        <v>0.745</v>
      </c>
      <c r="M5" t="n">
        <v>0.135</v>
      </c>
    </row>
    <row r="6" spans="1:13">
      <c r="A6" s="1">
        <f>HYPERLINK("http://www.twitter.com/NathanBLawrence/status/1001832797580005378", "1001832797580005378")</f>
        <v/>
      </c>
      <c r="B6" s="2" t="n">
        <v>43250.60331018519</v>
      </c>
      <c r="C6" t="n">
        <v>0</v>
      </c>
      <c r="D6" t="n">
        <v>57</v>
      </c>
      <c r="E6" t="s">
        <v>17</v>
      </c>
      <c r="F6" t="s"/>
      <c r="G6" t="s"/>
      <c r="H6" t="s"/>
      <c r="I6" t="s"/>
      <c r="J6" t="n">
        <v>-0.34</v>
      </c>
      <c r="K6" t="n">
        <v>0.112</v>
      </c>
      <c r="L6" t="n">
        <v>0.888</v>
      </c>
      <c r="M6" t="n">
        <v>0</v>
      </c>
    </row>
    <row r="7" spans="1:13">
      <c r="A7" s="1">
        <f>HYPERLINK("http://www.twitter.com/NathanBLawrence/status/1001832710602665984", "1001832710602665984")</f>
        <v/>
      </c>
      <c r="B7" s="2" t="n">
        <v>43250.6030787037</v>
      </c>
      <c r="C7" t="n">
        <v>0</v>
      </c>
      <c r="D7" t="n">
        <v>72</v>
      </c>
      <c r="E7" t="s">
        <v>18</v>
      </c>
      <c r="F7" t="s"/>
      <c r="G7" t="s"/>
      <c r="H7" t="s"/>
      <c r="I7" t="s"/>
      <c r="J7" t="n">
        <v>-0.2944</v>
      </c>
      <c r="K7" t="n">
        <v>0.099</v>
      </c>
      <c r="L7" t="n">
        <v>0.901</v>
      </c>
      <c r="M7" t="n">
        <v>0</v>
      </c>
    </row>
    <row r="8" spans="1:13">
      <c r="A8" s="1">
        <f>HYPERLINK("http://www.twitter.com/NathanBLawrence/status/1001832632152444928", "1001832632152444928")</f>
        <v/>
      </c>
      <c r="B8" s="2" t="n">
        <v>43250.60285879629</v>
      </c>
      <c r="C8" t="n">
        <v>0</v>
      </c>
      <c r="D8" t="n">
        <v>293</v>
      </c>
      <c r="E8" t="s">
        <v>19</v>
      </c>
      <c r="F8" t="s"/>
      <c r="G8" t="s"/>
      <c r="H8" t="s"/>
      <c r="I8" t="s"/>
      <c r="J8" t="n">
        <v>0</v>
      </c>
      <c r="K8" t="n">
        <v>0</v>
      </c>
      <c r="L8" t="n">
        <v>1</v>
      </c>
      <c r="M8" t="n">
        <v>0</v>
      </c>
    </row>
    <row r="9" spans="1:13">
      <c r="A9" s="1">
        <f>HYPERLINK("http://www.twitter.com/NathanBLawrence/status/1001832317785198592", "1001832317785198592")</f>
        <v/>
      </c>
      <c r="B9" s="2" t="n">
        <v>43250.60199074074</v>
      </c>
      <c r="C9" t="n">
        <v>0</v>
      </c>
      <c r="D9" t="n">
        <v>7</v>
      </c>
      <c r="E9" t="s">
        <v>20</v>
      </c>
      <c r="F9" t="s"/>
      <c r="G9" t="s"/>
      <c r="H9" t="s"/>
      <c r="I9" t="s"/>
      <c r="J9" t="n">
        <v>0</v>
      </c>
      <c r="K9" t="n">
        <v>0</v>
      </c>
      <c r="L9" t="n">
        <v>1</v>
      </c>
      <c r="M9" t="n">
        <v>0</v>
      </c>
    </row>
    <row r="10" spans="1:13">
      <c r="A10" s="1">
        <f>HYPERLINK("http://www.twitter.com/NathanBLawrence/status/1001832220057919488", "1001832220057919488")</f>
        <v/>
      </c>
      <c r="B10" s="2" t="n">
        <v>43250.60172453704</v>
      </c>
      <c r="C10" t="n">
        <v>0</v>
      </c>
      <c r="D10" t="n">
        <v>8</v>
      </c>
      <c r="E10" t="s">
        <v>21</v>
      </c>
      <c r="F10" t="s"/>
      <c r="G10" t="s"/>
      <c r="H10" t="s"/>
      <c r="I10" t="s"/>
      <c r="J10" t="n">
        <v>-0.2656</v>
      </c>
      <c r="K10" t="n">
        <v>0.283</v>
      </c>
      <c r="L10" t="n">
        <v>0.523</v>
      </c>
      <c r="M10" t="n">
        <v>0.193</v>
      </c>
    </row>
    <row r="11" spans="1:13">
      <c r="A11" s="1">
        <f>HYPERLINK("http://www.twitter.com/NathanBLawrence/status/1001832064914788353", "1001832064914788353")</f>
        <v/>
      </c>
      <c r="B11" s="2" t="n">
        <v>43250.6012962963</v>
      </c>
      <c r="C11" t="n">
        <v>0</v>
      </c>
      <c r="D11" t="n">
        <v>11608</v>
      </c>
      <c r="E11" t="s">
        <v>22</v>
      </c>
      <c r="F11">
        <f>HYPERLINK("https://video.twimg.com/ext_tw_video/1001569612272517121/pu/vid/638x360/JtzxA5QkyYUGvCtG.mp4?tag=3", "https://video.twimg.com/ext_tw_video/1001569612272517121/pu/vid/638x360/JtzxA5QkyYUGvCtG.mp4?tag=3")</f>
        <v/>
      </c>
      <c r="G11" t="s"/>
      <c r="H11" t="s"/>
      <c r="I11" t="s"/>
      <c r="J11" t="n">
        <v>0.6652</v>
      </c>
      <c r="K11" t="n">
        <v>0</v>
      </c>
      <c r="L11" t="n">
        <v>0.838</v>
      </c>
      <c r="M11" t="n">
        <v>0.162</v>
      </c>
    </row>
    <row r="12" spans="1:13">
      <c r="A12" s="1">
        <f>HYPERLINK("http://www.twitter.com/NathanBLawrence/status/1001832021931577344", "1001832021931577344")</f>
        <v/>
      </c>
      <c r="B12" s="2" t="n">
        <v>43250.60116898148</v>
      </c>
      <c r="C12" t="n">
        <v>0</v>
      </c>
      <c r="D12" t="n">
        <v>5</v>
      </c>
      <c r="E12" t="s">
        <v>23</v>
      </c>
      <c r="F12" t="s"/>
      <c r="G12" t="s"/>
      <c r="H12" t="s"/>
      <c r="I12" t="s"/>
      <c r="J12" t="n">
        <v>0.5574</v>
      </c>
      <c r="K12" t="n">
        <v>0</v>
      </c>
      <c r="L12" t="n">
        <v>0.841</v>
      </c>
      <c r="M12" t="n">
        <v>0.159</v>
      </c>
    </row>
    <row r="13" spans="1:13">
      <c r="A13" s="1">
        <f>HYPERLINK("http://www.twitter.com/NathanBLawrence/status/1001831856285810688", "1001831856285810688")</f>
        <v/>
      </c>
      <c r="B13" s="2" t="n">
        <v>43250.60071759259</v>
      </c>
      <c r="C13" t="n">
        <v>0</v>
      </c>
      <c r="D13" t="n">
        <v>11</v>
      </c>
      <c r="E13" t="s">
        <v>24</v>
      </c>
      <c r="F13" t="s"/>
      <c r="G13" t="s"/>
      <c r="H13" t="s"/>
      <c r="I13" t="s"/>
      <c r="J13" t="n">
        <v>0</v>
      </c>
      <c r="K13" t="n">
        <v>0</v>
      </c>
      <c r="L13" t="n">
        <v>1</v>
      </c>
      <c r="M13" t="n">
        <v>0</v>
      </c>
    </row>
    <row r="14" spans="1:13">
      <c r="A14" s="1">
        <f>HYPERLINK("http://www.twitter.com/NathanBLawrence/status/1001831851630133249", "1001831851630133249")</f>
        <v/>
      </c>
      <c r="B14" s="2" t="n">
        <v>43250.60070601852</v>
      </c>
      <c r="C14" t="n">
        <v>0</v>
      </c>
      <c r="D14" t="n">
        <v>443</v>
      </c>
      <c r="E14" t="s">
        <v>25</v>
      </c>
      <c r="F14" t="s"/>
      <c r="G14" t="s"/>
      <c r="H14" t="s"/>
      <c r="I14" t="s"/>
      <c r="J14" t="n">
        <v>-0.2617</v>
      </c>
      <c r="K14" t="n">
        <v>0.169</v>
      </c>
      <c r="L14" t="n">
        <v>0.7</v>
      </c>
      <c r="M14" t="n">
        <v>0.131</v>
      </c>
    </row>
    <row r="15" spans="1:13">
      <c r="A15" s="1">
        <f>HYPERLINK("http://www.twitter.com/NathanBLawrence/status/1001824427724636160", "1001824427724636160")</f>
        <v/>
      </c>
      <c r="B15" s="2" t="n">
        <v>43250.58021990741</v>
      </c>
      <c r="C15" t="n">
        <v>0</v>
      </c>
      <c r="D15" t="n">
        <v>2</v>
      </c>
      <c r="E15" t="s">
        <v>26</v>
      </c>
      <c r="F15" t="s"/>
      <c r="G15" t="s"/>
      <c r="H15" t="s"/>
      <c r="I15" t="s"/>
      <c r="J15" t="n">
        <v>0</v>
      </c>
      <c r="K15" t="n">
        <v>0</v>
      </c>
      <c r="L15" t="n">
        <v>1</v>
      </c>
      <c r="M15" t="n">
        <v>0</v>
      </c>
    </row>
    <row r="16" spans="1:13">
      <c r="A16" s="1">
        <f>HYPERLINK("http://www.twitter.com/NathanBLawrence/status/1001824387685933056", "1001824387685933056")</f>
        <v/>
      </c>
      <c r="B16" s="2" t="n">
        <v>43250.58010416666</v>
      </c>
      <c r="C16" t="n">
        <v>0</v>
      </c>
      <c r="D16" t="n">
        <v>88</v>
      </c>
      <c r="E16" t="s">
        <v>27</v>
      </c>
      <c r="F16" t="s"/>
      <c r="G16" t="s"/>
      <c r="H16" t="s"/>
      <c r="I16" t="s"/>
      <c r="J16" t="n">
        <v>0.7269</v>
      </c>
      <c r="K16" t="n">
        <v>0</v>
      </c>
      <c r="L16" t="n">
        <v>0.757</v>
      </c>
      <c r="M16" t="n">
        <v>0.243</v>
      </c>
    </row>
    <row r="17" spans="1:13">
      <c r="A17" s="1">
        <f>HYPERLINK("http://www.twitter.com/NathanBLawrence/status/1001815977632452608", "1001815977632452608")</f>
        <v/>
      </c>
      <c r="B17" s="2" t="n">
        <v>43250.55689814815</v>
      </c>
      <c r="C17" t="n">
        <v>1</v>
      </c>
      <c r="D17" t="n">
        <v>0</v>
      </c>
      <c r="E17" t="s">
        <v>28</v>
      </c>
      <c r="F17" t="s"/>
      <c r="G17" t="s"/>
      <c r="H17" t="s"/>
      <c r="I17" t="s"/>
      <c r="J17" t="n">
        <v>0.6273</v>
      </c>
      <c r="K17" t="n">
        <v>0.1</v>
      </c>
      <c r="L17" t="n">
        <v>0.73</v>
      </c>
      <c r="M17" t="n">
        <v>0.17</v>
      </c>
    </row>
    <row r="18" spans="1:13">
      <c r="A18" s="1">
        <f>HYPERLINK("http://www.twitter.com/NathanBLawrence/status/1001804266141560834", "1001804266141560834")</f>
        <v/>
      </c>
      <c r="B18" s="2" t="n">
        <v>43250.52458333333</v>
      </c>
      <c r="C18" t="n">
        <v>1</v>
      </c>
      <c r="D18" t="n">
        <v>0</v>
      </c>
      <c r="E18" t="s">
        <v>29</v>
      </c>
      <c r="F18" t="s"/>
      <c r="G18" t="s"/>
      <c r="H18" t="s"/>
      <c r="I18" t="s"/>
      <c r="J18" t="n">
        <v>0</v>
      </c>
      <c r="K18" t="n">
        <v>0</v>
      </c>
      <c r="L18" t="n">
        <v>1</v>
      </c>
      <c r="M18" t="n">
        <v>0</v>
      </c>
    </row>
    <row r="19" spans="1:13">
      <c r="A19" s="1">
        <f>HYPERLINK("http://www.twitter.com/NathanBLawrence/status/1001803536030752770", "1001803536030752770")</f>
        <v/>
      </c>
      <c r="B19" s="2" t="n">
        <v>43250.52256944445</v>
      </c>
      <c r="C19" t="n">
        <v>0</v>
      </c>
      <c r="D19" t="n">
        <v>52</v>
      </c>
      <c r="E19" t="s">
        <v>30</v>
      </c>
      <c r="F19" t="s"/>
      <c r="G19" t="s"/>
      <c r="H19" t="s"/>
      <c r="I19" t="s"/>
      <c r="J19" t="n">
        <v>0</v>
      </c>
      <c r="K19" t="n">
        <v>0</v>
      </c>
      <c r="L19" t="n">
        <v>1</v>
      </c>
      <c r="M19" t="n">
        <v>0</v>
      </c>
    </row>
    <row r="20" spans="1:13">
      <c r="A20" s="1">
        <f>HYPERLINK("http://www.twitter.com/NathanBLawrence/status/1001803362881425408", "1001803362881425408")</f>
        <v/>
      </c>
      <c r="B20" s="2" t="n">
        <v>43250.52208333334</v>
      </c>
      <c r="C20" t="n">
        <v>0</v>
      </c>
      <c r="D20" t="n">
        <v>4</v>
      </c>
      <c r="E20" t="s">
        <v>31</v>
      </c>
      <c r="F20" t="s"/>
      <c r="G20" t="s"/>
      <c r="H20" t="s"/>
      <c r="I20" t="s"/>
      <c r="J20" t="n">
        <v>0</v>
      </c>
      <c r="K20" t="n">
        <v>0</v>
      </c>
      <c r="L20" t="n">
        <v>1</v>
      </c>
      <c r="M20" t="n">
        <v>0</v>
      </c>
    </row>
    <row r="21" spans="1:13">
      <c r="A21" s="1">
        <f>HYPERLINK("http://www.twitter.com/NathanBLawrence/status/1001803251308810240", "1001803251308810240")</f>
        <v/>
      </c>
      <c r="B21" s="2" t="n">
        <v>43250.52178240741</v>
      </c>
      <c r="C21" t="n">
        <v>0</v>
      </c>
      <c r="D21" t="n">
        <v>499</v>
      </c>
      <c r="E21" t="s">
        <v>32</v>
      </c>
      <c r="F21" t="s"/>
      <c r="G21" t="s"/>
      <c r="H21" t="s"/>
      <c r="I21" t="s"/>
      <c r="J21" t="n">
        <v>-0.7713</v>
      </c>
      <c r="K21" t="n">
        <v>0.282</v>
      </c>
      <c r="L21" t="n">
        <v>0.718</v>
      </c>
      <c r="M21" t="n">
        <v>0</v>
      </c>
    </row>
    <row r="22" spans="1:13">
      <c r="A22" s="1">
        <f>HYPERLINK("http://www.twitter.com/NathanBLawrence/status/1001803107561598976", "1001803107561598976")</f>
        <v/>
      </c>
      <c r="B22" s="2" t="n">
        <v>43250.52138888889</v>
      </c>
      <c r="C22" t="n">
        <v>0</v>
      </c>
      <c r="D22" t="n">
        <v>14</v>
      </c>
      <c r="E22" t="s">
        <v>33</v>
      </c>
      <c r="F22">
        <f>HYPERLINK("http://pbs.twimg.com/media/DeXV4EDX4AABJsi.jpg", "http://pbs.twimg.com/media/DeXV4EDX4AABJsi.jpg")</f>
        <v/>
      </c>
      <c r="G22" t="s"/>
      <c r="H22" t="s"/>
      <c r="I22" t="s"/>
      <c r="J22" t="n">
        <v>-0.7003</v>
      </c>
      <c r="K22" t="n">
        <v>0.326</v>
      </c>
      <c r="L22" t="n">
        <v>0.674</v>
      </c>
      <c r="M22" t="n">
        <v>0</v>
      </c>
    </row>
    <row r="23" spans="1:13">
      <c r="A23" s="1">
        <f>HYPERLINK("http://www.twitter.com/NathanBLawrence/status/1001802386598518785", "1001802386598518785")</f>
        <v/>
      </c>
      <c r="B23" s="2" t="n">
        <v>43250.51939814815</v>
      </c>
      <c r="C23" t="n">
        <v>0</v>
      </c>
      <c r="D23" t="n">
        <v>82</v>
      </c>
      <c r="E23" t="s">
        <v>34</v>
      </c>
      <c r="F23" t="s"/>
      <c r="G23" t="s"/>
      <c r="H23" t="s"/>
      <c r="I23" t="s"/>
      <c r="J23" t="n">
        <v>0.4939</v>
      </c>
      <c r="K23" t="n">
        <v>0.079</v>
      </c>
      <c r="L23" t="n">
        <v>0.714</v>
      </c>
      <c r="M23" t="n">
        <v>0.206</v>
      </c>
    </row>
    <row r="24" spans="1:13">
      <c r="A24" s="1">
        <f>HYPERLINK("http://www.twitter.com/NathanBLawrence/status/1001802180452593664", "1001802180452593664")</f>
        <v/>
      </c>
      <c r="B24" s="2" t="n">
        <v>43250.51883101852</v>
      </c>
      <c r="C24" t="n">
        <v>0</v>
      </c>
      <c r="D24" t="n">
        <v>14354</v>
      </c>
      <c r="E24" t="s">
        <v>35</v>
      </c>
      <c r="F24" t="s"/>
      <c r="G24" t="s"/>
      <c r="H24" t="s"/>
      <c r="I24" t="s"/>
      <c r="J24" t="n">
        <v>0</v>
      </c>
      <c r="K24" t="n">
        <v>0</v>
      </c>
      <c r="L24" t="n">
        <v>1</v>
      </c>
      <c r="M24" t="n">
        <v>0</v>
      </c>
    </row>
    <row r="25" spans="1:13">
      <c r="A25" s="1">
        <f>HYPERLINK("http://www.twitter.com/NathanBLawrence/status/1001801935664631808", "1001801935664631808")</f>
        <v/>
      </c>
      <c r="B25" s="2" t="n">
        <v>43250.51814814815</v>
      </c>
      <c r="C25" t="n">
        <v>0</v>
      </c>
      <c r="D25" t="n">
        <v>1964</v>
      </c>
      <c r="E25" t="s">
        <v>36</v>
      </c>
      <c r="F25" t="s"/>
      <c r="G25" t="s"/>
      <c r="H25" t="s"/>
      <c r="I25" t="s"/>
      <c r="J25" t="n">
        <v>-0.5423</v>
      </c>
      <c r="K25" t="n">
        <v>0.149</v>
      </c>
      <c r="L25" t="n">
        <v>0.851</v>
      </c>
      <c r="M25" t="n">
        <v>0</v>
      </c>
    </row>
    <row r="26" spans="1:13">
      <c r="A26" s="1">
        <f>HYPERLINK("http://www.twitter.com/NathanBLawrence/status/1001801713798602752", "1001801713798602752")</f>
        <v/>
      </c>
      <c r="B26" s="2" t="n">
        <v>43250.51753472222</v>
      </c>
      <c r="C26" t="n">
        <v>0</v>
      </c>
      <c r="D26" t="n">
        <v>2025</v>
      </c>
      <c r="E26" t="s">
        <v>37</v>
      </c>
      <c r="F26" t="s"/>
      <c r="G26" t="s"/>
      <c r="H26" t="s"/>
      <c r="I26" t="s"/>
      <c r="J26" t="n">
        <v>-0.5859</v>
      </c>
      <c r="K26" t="n">
        <v>0.275</v>
      </c>
      <c r="L26" t="n">
        <v>0.57</v>
      </c>
      <c r="M26" t="n">
        <v>0.155</v>
      </c>
    </row>
    <row r="27" spans="1:13">
      <c r="A27" s="1">
        <f>HYPERLINK("http://www.twitter.com/NathanBLawrence/status/1001801291797073921", "1001801291797073921")</f>
        <v/>
      </c>
      <c r="B27" s="2" t="n">
        <v>43250.51637731482</v>
      </c>
      <c r="C27" t="n">
        <v>0</v>
      </c>
      <c r="D27" t="n">
        <v>5311</v>
      </c>
      <c r="E27" t="s">
        <v>38</v>
      </c>
      <c r="F27" t="s"/>
      <c r="G27" t="s"/>
      <c r="H27" t="s"/>
      <c r="I27" t="s"/>
      <c r="J27" t="n">
        <v>-0.7351</v>
      </c>
      <c r="K27" t="n">
        <v>0.205</v>
      </c>
      <c r="L27" t="n">
        <v>0.795</v>
      </c>
      <c r="M27" t="n">
        <v>0</v>
      </c>
    </row>
    <row r="28" spans="1:13">
      <c r="A28" s="1">
        <f>HYPERLINK("http://www.twitter.com/NathanBLawrence/status/1001800914561392640", "1001800914561392640")</f>
        <v/>
      </c>
      <c r="B28" s="2" t="n">
        <v>43250.51533564815</v>
      </c>
      <c r="C28" t="n">
        <v>0</v>
      </c>
      <c r="D28" t="n">
        <v>1506</v>
      </c>
      <c r="E28" t="s">
        <v>39</v>
      </c>
      <c r="F28" t="s"/>
      <c r="G28" t="s"/>
      <c r="H28" t="s"/>
      <c r="I28" t="s"/>
      <c r="J28" t="n">
        <v>0</v>
      </c>
      <c r="K28" t="n">
        <v>0</v>
      </c>
      <c r="L28" t="n">
        <v>1</v>
      </c>
      <c r="M28" t="n">
        <v>0</v>
      </c>
    </row>
    <row r="29" spans="1:13">
      <c r="A29" s="1">
        <f>HYPERLINK("http://www.twitter.com/NathanBLawrence/status/1001800429913722880", "1001800429913722880")</f>
        <v/>
      </c>
      <c r="B29" s="2" t="n">
        <v>43250.51399305555</v>
      </c>
      <c r="C29" t="n">
        <v>0</v>
      </c>
      <c r="D29" t="n">
        <v>10</v>
      </c>
      <c r="E29" t="s">
        <v>40</v>
      </c>
      <c r="F29" t="s"/>
      <c r="G29" t="s"/>
      <c r="H29" t="s"/>
      <c r="I29" t="s"/>
      <c r="J29" t="n">
        <v>0.5106000000000001</v>
      </c>
      <c r="K29" t="n">
        <v>0</v>
      </c>
      <c r="L29" t="n">
        <v>0.864</v>
      </c>
      <c r="M29" t="n">
        <v>0.136</v>
      </c>
    </row>
    <row r="30" spans="1:13">
      <c r="A30" s="1">
        <f>HYPERLINK("http://www.twitter.com/NathanBLawrence/status/1001800187143229440", "1001800187143229440")</f>
        <v/>
      </c>
      <c r="B30" s="2" t="n">
        <v>43250.51332175926</v>
      </c>
      <c r="C30" t="n">
        <v>0</v>
      </c>
      <c r="D30" t="n">
        <v>2</v>
      </c>
      <c r="E30" t="s">
        <v>41</v>
      </c>
      <c r="F30" t="s"/>
      <c r="G30" t="s"/>
      <c r="H30" t="s"/>
      <c r="I30" t="s"/>
      <c r="J30" t="n">
        <v>0.5106000000000001</v>
      </c>
      <c r="K30" t="n">
        <v>0</v>
      </c>
      <c r="L30" t="n">
        <v>0.823</v>
      </c>
      <c r="M30" t="n">
        <v>0.177</v>
      </c>
    </row>
    <row r="31" spans="1:13">
      <c r="A31" s="1">
        <f>HYPERLINK("http://www.twitter.com/NathanBLawrence/status/1001799989507579907", "1001799989507579907")</f>
        <v/>
      </c>
      <c r="B31" s="2" t="n">
        <v>43250.51277777777</v>
      </c>
      <c r="C31" t="n">
        <v>0</v>
      </c>
      <c r="D31" t="n">
        <v>1976</v>
      </c>
      <c r="E31" t="s">
        <v>42</v>
      </c>
      <c r="F31">
        <f>HYPERLINK("https://video.twimg.com/amplify_video/1001556278026625026/vid/1280x720/wGlG255Y6BCnF7t5.mp4?tag=2", "https://video.twimg.com/amplify_video/1001556278026625026/vid/1280x720/wGlG255Y6BCnF7t5.mp4?tag=2")</f>
        <v/>
      </c>
      <c r="G31" t="s"/>
      <c r="H31" t="s"/>
      <c r="I31" t="s"/>
      <c r="J31" t="n">
        <v>-0.25</v>
      </c>
      <c r="K31" t="n">
        <v>0.095</v>
      </c>
      <c r="L31" t="n">
        <v>0.905</v>
      </c>
      <c r="M31" t="n">
        <v>0</v>
      </c>
    </row>
    <row r="32" spans="1:13">
      <c r="A32" s="1">
        <f>HYPERLINK("http://www.twitter.com/NathanBLawrence/status/1001799950810873856", "1001799950810873856")</f>
        <v/>
      </c>
      <c r="B32" s="2" t="n">
        <v>43250.51267361111</v>
      </c>
      <c r="C32" t="n">
        <v>0</v>
      </c>
      <c r="D32" t="n">
        <v>333</v>
      </c>
      <c r="E32" t="s">
        <v>43</v>
      </c>
      <c r="F32" t="s"/>
      <c r="G32" t="s"/>
      <c r="H32" t="s"/>
      <c r="I32" t="s"/>
      <c r="J32" t="n">
        <v>-0.5187</v>
      </c>
      <c r="K32" t="n">
        <v>0.206</v>
      </c>
      <c r="L32" t="n">
        <v>0.699</v>
      </c>
      <c r="M32" t="n">
        <v>0.095</v>
      </c>
    </row>
    <row r="33" spans="1:13">
      <c r="A33" s="1">
        <f>HYPERLINK("http://www.twitter.com/NathanBLawrence/status/1001799721680334849", "1001799721680334849")</f>
        <v/>
      </c>
      <c r="B33" s="2" t="n">
        <v>43250.51203703704</v>
      </c>
      <c r="C33" t="n">
        <v>0</v>
      </c>
      <c r="D33" t="n">
        <v>489</v>
      </c>
      <c r="E33" t="s">
        <v>44</v>
      </c>
      <c r="F33" t="s"/>
      <c r="G33" t="s"/>
      <c r="H33" t="s"/>
      <c r="I33" t="s"/>
      <c r="J33" t="n">
        <v>0</v>
      </c>
      <c r="K33" t="n">
        <v>0</v>
      </c>
      <c r="L33" t="n">
        <v>1</v>
      </c>
      <c r="M33" t="n">
        <v>0</v>
      </c>
    </row>
    <row r="34" spans="1:13">
      <c r="A34" s="1">
        <f>HYPERLINK("http://www.twitter.com/NathanBLawrence/status/1001799353332203520", "1001799353332203520")</f>
        <v/>
      </c>
      <c r="B34" s="2" t="n">
        <v>43250.5110300926</v>
      </c>
      <c r="C34" t="n">
        <v>0</v>
      </c>
      <c r="D34" t="n">
        <v>821</v>
      </c>
      <c r="E34" t="s">
        <v>45</v>
      </c>
      <c r="F34" t="s"/>
      <c r="G34" t="s"/>
      <c r="H34" t="s"/>
      <c r="I34" t="s"/>
      <c r="J34" t="n">
        <v>0.2732</v>
      </c>
      <c r="K34" t="n">
        <v>0</v>
      </c>
      <c r="L34" t="n">
        <v>0.909</v>
      </c>
      <c r="M34" t="n">
        <v>0.091</v>
      </c>
    </row>
    <row r="35" spans="1:13">
      <c r="A35" s="1">
        <f>HYPERLINK("http://www.twitter.com/NathanBLawrence/status/1001799344406884352", "1001799344406884352")</f>
        <v/>
      </c>
      <c r="B35" s="2" t="n">
        <v>43250.51099537037</v>
      </c>
      <c r="C35" t="n">
        <v>0</v>
      </c>
      <c r="D35" t="n">
        <v>4174</v>
      </c>
      <c r="E35" t="s">
        <v>46</v>
      </c>
      <c r="F35" t="s"/>
      <c r="G35" t="s"/>
      <c r="H35" t="s"/>
      <c r="I35" t="s"/>
      <c r="J35" t="n">
        <v>0.4019</v>
      </c>
      <c r="K35" t="n">
        <v>0</v>
      </c>
      <c r="L35" t="n">
        <v>0.886</v>
      </c>
      <c r="M35" t="n">
        <v>0.114</v>
      </c>
    </row>
    <row r="36" spans="1:13">
      <c r="A36" s="1">
        <f>HYPERLINK("http://www.twitter.com/NathanBLawrence/status/1001799238832021504", "1001799238832021504")</f>
        <v/>
      </c>
      <c r="B36" s="2" t="n">
        <v>43250.51070601852</v>
      </c>
      <c r="C36" t="n">
        <v>0</v>
      </c>
      <c r="D36" t="n">
        <v>3616</v>
      </c>
      <c r="E36" t="s">
        <v>47</v>
      </c>
      <c r="F36" t="s"/>
      <c r="G36" t="s"/>
      <c r="H36" t="s"/>
      <c r="I36" t="s"/>
      <c r="J36" t="n">
        <v>-0.7717000000000001</v>
      </c>
      <c r="K36" t="n">
        <v>0.288</v>
      </c>
      <c r="L36" t="n">
        <v>0.712</v>
      </c>
      <c r="M36" t="n">
        <v>0</v>
      </c>
    </row>
    <row r="37" spans="1:13">
      <c r="A37" s="1">
        <f>HYPERLINK("http://www.twitter.com/NathanBLawrence/status/1001798792109346817", "1001798792109346817")</f>
        <v/>
      </c>
      <c r="B37" s="2" t="n">
        <v>43250.50947916666</v>
      </c>
      <c r="C37" t="n">
        <v>0</v>
      </c>
      <c r="D37" t="n">
        <v>4636</v>
      </c>
      <c r="E37" t="s">
        <v>48</v>
      </c>
      <c r="F37" t="s"/>
      <c r="G37" t="s"/>
      <c r="H37" t="s"/>
      <c r="I37" t="s"/>
      <c r="J37" t="n">
        <v>0</v>
      </c>
      <c r="K37" t="n">
        <v>0</v>
      </c>
      <c r="L37" t="n">
        <v>1</v>
      </c>
      <c r="M37" t="n">
        <v>0</v>
      </c>
    </row>
    <row r="38" spans="1:13">
      <c r="A38" s="1">
        <f>HYPERLINK("http://www.twitter.com/NathanBLawrence/status/1001798724887203842", "1001798724887203842")</f>
        <v/>
      </c>
      <c r="B38" s="2" t="n">
        <v>43250.50929398148</v>
      </c>
      <c r="C38" t="n">
        <v>0</v>
      </c>
      <c r="D38" t="n">
        <v>8291</v>
      </c>
      <c r="E38" t="s">
        <v>49</v>
      </c>
      <c r="F38" t="s"/>
      <c r="G38" t="s"/>
      <c r="H38" t="s"/>
      <c r="I38" t="s"/>
      <c r="J38" t="n">
        <v>0.3612</v>
      </c>
      <c r="K38" t="n">
        <v>0.151</v>
      </c>
      <c r="L38" t="n">
        <v>0.573</v>
      </c>
      <c r="M38" t="n">
        <v>0.276</v>
      </c>
    </row>
    <row r="39" spans="1:13">
      <c r="A39" s="1">
        <f>HYPERLINK("http://www.twitter.com/NathanBLawrence/status/1001797954133463040", "1001797954133463040")</f>
        <v/>
      </c>
      <c r="B39" s="2" t="n">
        <v>43250.50716435185</v>
      </c>
      <c r="C39" t="n">
        <v>0</v>
      </c>
      <c r="D39" t="n">
        <v>1183</v>
      </c>
      <c r="E39" t="s">
        <v>50</v>
      </c>
      <c r="F39" t="s"/>
      <c r="G39" t="s"/>
      <c r="H39" t="s"/>
      <c r="I39" t="s"/>
      <c r="J39" t="n">
        <v>-0.8270999999999999</v>
      </c>
      <c r="K39" t="n">
        <v>0.352</v>
      </c>
      <c r="L39" t="n">
        <v>0.648</v>
      </c>
      <c r="M39" t="n">
        <v>0</v>
      </c>
    </row>
    <row r="40" spans="1:13">
      <c r="A40" s="1">
        <f>HYPERLINK("http://www.twitter.com/NathanBLawrence/status/1001797576751017984", "1001797576751017984")</f>
        <v/>
      </c>
      <c r="B40" s="2" t="n">
        <v>43250.50612268518</v>
      </c>
      <c r="C40" t="n">
        <v>0</v>
      </c>
      <c r="D40" t="n">
        <v>0</v>
      </c>
      <c r="E40" t="s">
        <v>51</v>
      </c>
      <c r="F40" t="s"/>
      <c r="G40" t="s"/>
      <c r="H40" t="s"/>
      <c r="I40" t="s"/>
      <c r="J40" t="n">
        <v>0.7184</v>
      </c>
      <c r="K40" t="n">
        <v>0</v>
      </c>
      <c r="L40" t="n">
        <v>0.778</v>
      </c>
      <c r="M40" t="n">
        <v>0.222</v>
      </c>
    </row>
    <row r="41" spans="1:13">
      <c r="A41" s="1">
        <f>HYPERLINK("http://www.twitter.com/NathanBLawrence/status/1001797027754381312", "1001797027754381312")</f>
        <v/>
      </c>
      <c r="B41" s="2" t="n">
        <v>43250.50460648148</v>
      </c>
      <c r="C41" t="n">
        <v>0</v>
      </c>
      <c r="D41" t="n">
        <v>0</v>
      </c>
      <c r="E41" t="s">
        <v>52</v>
      </c>
      <c r="F41" t="s"/>
      <c r="G41" t="s"/>
      <c r="H41" t="s"/>
      <c r="I41" t="s"/>
      <c r="J41" t="n">
        <v>-0.7866</v>
      </c>
      <c r="K41" t="n">
        <v>0.278</v>
      </c>
      <c r="L41" t="n">
        <v>0.624</v>
      </c>
      <c r="M41" t="n">
        <v>0.098</v>
      </c>
    </row>
    <row r="42" spans="1:13">
      <c r="A42" s="1">
        <f>HYPERLINK("http://www.twitter.com/NathanBLawrence/status/1001796409874636800", "1001796409874636800")</f>
        <v/>
      </c>
      <c r="B42" s="2" t="n">
        <v>43250.5029050926</v>
      </c>
      <c r="C42" t="n">
        <v>0</v>
      </c>
      <c r="D42" t="n">
        <v>3744</v>
      </c>
      <c r="E42" t="s">
        <v>53</v>
      </c>
      <c r="F42" t="s"/>
      <c r="G42" t="s"/>
      <c r="H42" t="s"/>
      <c r="I42" t="s"/>
      <c r="J42" t="n">
        <v>-0.25</v>
      </c>
      <c r="K42" t="n">
        <v>0.154</v>
      </c>
      <c r="L42" t="n">
        <v>0.731</v>
      </c>
      <c r="M42" t="n">
        <v>0.115</v>
      </c>
    </row>
    <row r="43" spans="1:13">
      <c r="A43" s="1">
        <f>HYPERLINK("http://www.twitter.com/NathanBLawrence/status/1001796337237680128", "1001796337237680128")</f>
        <v/>
      </c>
      <c r="B43" s="2" t="n">
        <v>43250.50269675926</v>
      </c>
      <c r="C43" t="n">
        <v>0</v>
      </c>
      <c r="D43" t="n">
        <v>175</v>
      </c>
      <c r="E43" t="s">
        <v>54</v>
      </c>
      <c r="F43" t="s"/>
      <c r="G43" t="s"/>
      <c r="H43" t="s"/>
      <c r="I43" t="s"/>
      <c r="J43" t="n">
        <v>0</v>
      </c>
      <c r="K43" t="n">
        <v>0</v>
      </c>
      <c r="L43" t="n">
        <v>1</v>
      </c>
      <c r="M43" t="n">
        <v>0</v>
      </c>
    </row>
    <row r="44" spans="1:13">
      <c r="A44" s="1">
        <f>HYPERLINK("http://www.twitter.com/NathanBLawrence/status/1001796224931033088", "1001796224931033088")</f>
        <v/>
      </c>
      <c r="B44" s="2" t="n">
        <v>43250.50239583333</v>
      </c>
      <c r="C44" t="n">
        <v>0</v>
      </c>
      <c r="D44" t="n">
        <v>220</v>
      </c>
      <c r="E44" t="s">
        <v>55</v>
      </c>
      <c r="F44" t="s"/>
      <c r="G44" t="s"/>
      <c r="H44" t="s"/>
      <c r="I44" t="s"/>
      <c r="J44" t="n">
        <v>0.4019</v>
      </c>
      <c r="K44" t="n">
        <v>0</v>
      </c>
      <c r="L44" t="n">
        <v>0.886</v>
      </c>
      <c r="M44" t="n">
        <v>0.114</v>
      </c>
    </row>
    <row r="45" spans="1:13">
      <c r="A45" s="1">
        <f>HYPERLINK("http://www.twitter.com/NathanBLawrence/status/1001793022030381057", "1001793022030381057")</f>
        <v/>
      </c>
      <c r="B45" s="2" t="n">
        <v>43250.49355324074</v>
      </c>
      <c r="C45" t="n">
        <v>2</v>
      </c>
      <c r="D45" t="n">
        <v>0</v>
      </c>
      <c r="E45" t="s">
        <v>56</v>
      </c>
      <c r="F45" t="s"/>
      <c r="G45" t="s"/>
      <c r="H45" t="s"/>
      <c r="I45" t="s"/>
      <c r="J45" t="n">
        <v>0.3818</v>
      </c>
      <c r="K45" t="n">
        <v>0</v>
      </c>
      <c r="L45" t="n">
        <v>0.906</v>
      </c>
      <c r="M45" t="n">
        <v>0.094</v>
      </c>
    </row>
    <row r="46" spans="1:13">
      <c r="A46" s="1">
        <f>HYPERLINK("http://www.twitter.com/NathanBLawrence/status/1001791899089424384", "1001791899089424384")</f>
        <v/>
      </c>
      <c r="B46" s="2" t="n">
        <v>43250.49045138889</v>
      </c>
      <c r="C46" t="n">
        <v>0</v>
      </c>
      <c r="D46" t="n">
        <v>1333</v>
      </c>
      <c r="E46" t="s">
        <v>57</v>
      </c>
      <c r="F46" t="s"/>
      <c r="G46" t="s"/>
      <c r="H46" t="s"/>
      <c r="I46" t="s"/>
      <c r="J46" t="n">
        <v>0.9177999999999999</v>
      </c>
      <c r="K46" t="n">
        <v>0.055</v>
      </c>
      <c r="L46" t="n">
        <v>0.553</v>
      </c>
      <c r="M46" t="n">
        <v>0.392</v>
      </c>
    </row>
    <row r="47" spans="1:13">
      <c r="A47" s="1">
        <f>HYPERLINK("http://www.twitter.com/NathanBLawrence/status/1001770850884956160", "1001770850884956160")</f>
        <v/>
      </c>
      <c r="B47" s="2" t="n">
        <v>43250.43237268519</v>
      </c>
      <c r="C47" t="n">
        <v>0</v>
      </c>
      <c r="D47" t="n">
        <v>9</v>
      </c>
      <c r="E47" t="s">
        <v>58</v>
      </c>
      <c r="F47" t="s"/>
      <c r="G47" t="s"/>
      <c r="H47" t="s"/>
      <c r="I47" t="s"/>
      <c r="J47" t="n">
        <v>-0.4215</v>
      </c>
      <c r="K47" t="n">
        <v>0.128</v>
      </c>
      <c r="L47" t="n">
        <v>0.872</v>
      </c>
      <c r="M47" t="n">
        <v>0</v>
      </c>
    </row>
    <row r="48" spans="1:13">
      <c r="A48" s="1">
        <f>HYPERLINK("http://www.twitter.com/NathanBLawrence/status/1001770820736348160", "1001770820736348160")</f>
        <v/>
      </c>
      <c r="B48" s="2" t="n">
        <v>43250.43229166666</v>
      </c>
      <c r="C48" t="n">
        <v>0</v>
      </c>
      <c r="D48" t="n">
        <v>15</v>
      </c>
      <c r="E48" t="s">
        <v>59</v>
      </c>
      <c r="F48" t="s"/>
      <c r="G48" t="s"/>
      <c r="H48" t="s"/>
      <c r="I48" t="s"/>
      <c r="J48" t="n">
        <v>0.5563</v>
      </c>
      <c r="K48" t="n">
        <v>0.117</v>
      </c>
      <c r="L48" t="n">
        <v>0.609</v>
      </c>
      <c r="M48" t="n">
        <v>0.274</v>
      </c>
    </row>
    <row r="49" spans="1:13">
      <c r="A49" s="1">
        <f>HYPERLINK("http://www.twitter.com/NathanBLawrence/status/1001770756584493056", "1001770756584493056")</f>
        <v/>
      </c>
      <c r="B49" s="2" t="n">
        <v>43250.43211805556</v>
      </c>
      <c r="C49" t="n">
        <v>0</v>
      </c>
      <c r="D49" t="n">
        <v>3</v>
      </c>
      <c r="E49" t="s">
        <v>60</v>
      </c>
      <c r="F49" t="s"/>
      <c r="G49" t="s"/>
      <c r="H49" t="s"/>
      <c r="I49" t="s"/>
      <c r="J49" t="n">
        <v>0.5093</v>
      </c>
      <c r="K49" t="n">
        <v>0</v>
      </c>
      <c r="L49" t="n">
        <v>0.798</v>
      </c>
      <c r="M49" t="n">
        <v>0.202</v>
      </c>
    </row>
    <row r="50" spans="1:13">
      <c r="A50" s="1">
        <f>HYPERLINK("http://www.twitter.com/NathanBLawrence/status/1001770725445947392", "1001770725445947392")</f>
        <v/>
      </c>
      <c r="B50" s="2" t="n">
        <v>43250.43202546296</v>
      </c>
      <c r="C50" t="n">
        <v>0</v>
      </c>
      <c r="D50" t="n">
        <v>35</v>
      </c>
      <c r="E50" t="s">
        <v>61</v>
      </c>
      <c r="F50">
        <f>HYPERLINK("http://pbs.twimg.com/media/DeZKlTCWkAYkgQx.jpg", "http://pbs.twimg.com/media/DeZKlTCWkAYkgQx.jpg")</f>
        <v/>
      </c>
      <c r="G50" t="s"/>
      <c r="H50" t="s"/>
      <c r="I50" t="s"/>
      <c r="J50" t="n">
        <v>-0.25</v>
      </c>
      <c r="K50" t="n">
        <v>0.267</v>
      </c>
      <c r="L50" t="n">
        <v>0.581</v>
      </c>
      <c r="M50" t="n">
        <v>0.151</v>
      </c>
    </row>
    <row r="51" spans="1:13">
      <c r="A51" s="1">
        <f>HYPERLINK("http://www.twitter.com/NathanBLawrence/status/1001770456624615425", "1001770456624615425")</f>
        <v/>
      </c>
      <c r="B51" s="2" t="n">
        <v>43250.43128472222</v>
      </c>
      <c r="C51" t="n">
        <v>0</v>
      </c>
      <c r="D51" t="n">
        <v>229</v>
      </c>
      <c r="E51" t="s">
        <v>62</v>
      </c>
      <c r="F51" t="s"/>
      <c r="G51" t="s"/>
      <c r="H51" t="s"/>
      <c r="I51" t="s"/>
      <c r="J51" t="n">
        <v>0.5266999999999999</v>
      </c>
      <c r="K51" t="n">
        <v>0</v>
      </c>
      <c r="L51" t="n">
        <v>0.855</v>
      </c>
      <c r="M51" t="n">
        <v>0.145</v>
      </c>
    </row>
    <row r="52" spans="1:13">
      <c r="A52" s="1">
        <f>HYPERLINK("http://www.twitter.com/NathanBLawrence/status/1001770335241416704", "1001770335241416704")</f>
        <v/>
      </c>
      <c r="B52" s="2" t="n">
        <v>43250.43094907407</v>
      </c>
      <c r="C52" t="n">
        <v>0</v>
      </c>
      <c r="D52" t="n">
        <v>1957</v>
      </c>
      <c r="E52" t="s">
        <v>63</v>
      </c>
      <c r="F52" t="s"/>
      <c r="G52" t="s"/>
      <c r="H52" t="s"/>
      <c r="I52" t="s"/>
      <c r="J52" t="n">
        <v>-0.6739000000000001</v>
      </c>
      <c r="K52" t="n">
        <v>0.226</v>
      </c>
      <c r="L52" t="n">
        <v>0.774</v>
      </c>
      <c r="M52" t="n">
        <v>0</v>
      </c>
    </row>
    <row r="53" spans="1:13">
      <c r="A53" s="1">
        <f>HYPERLINK("http://www.twitter.com/NathanBLawrence/status/1001767220299599872", "1001767220299599872")</f>
        <v/>
      </c>
      <c r="B53" s="2" t="n">
        <v>43250.42234953704</v>
      </c>
      <c r="C53" t="n">
        <v>0</v>
      </c>
      <c r="D53" t="n">
        <v>33</v>
      </c>
      <c r="E53" t="s">
        <v>64</v>
      </c>
      <c r="F53" t="s"/>
      <c r="G53" t="s"/>
      <c r="H53" t="s"/>
      <c r="I53" t="s"/>
      <c r="J53" t="n">
        <v>0</v>
      </c>
      <c r="K53" t="n">
        <v>0</v>
      </c>
      <c r="L53" t="n">
        <v>1</v>
      </c>
      <c r="M53" t="n">
        <v>0</v>
      </c>
    </row>
    <row r="54" spans="1:13">
      <c r="A54" s="1">
        <f>HYPERLINK("http://www.twitter.com/NathanBLawrence/status/1001766762789122048", "1001766762789122048")</f>
        <v/>
      </c>
      <c r="B54" s="2" t="n">
        <v>43250.42108796296</v>
      </c>
      <c r="C54" t="n">
        <v>0</v>
      </c>
      <c r="D54" t="n">
        <v>51</v>
      </c>
      <c r="E54" t="s">
        <v>65</v>
      </c>
      <c r="F54" t="s"/>
      <c r="G54" t="s"/>
      <c r="H54" t="s"/>
      <c r="I54" t="s"/>
      <c r="J54" t="n">
        <v>-0.296</v>
      </c>
      <c r="K54" t="n">
        <v>0.075</v>
      </c>
      <c r="L54" t="n">
        <v>0.925</v>
      </c>
      <c r="M54" t="n">
        <v>0</v>
      </c>
    </row>
    <row r="55" spans="1:13">
      <c r="A55" s="1">
        <f>HYPERLINK("http://www.twitter.com/NathanBLawrence/status/1001766721806585861", "1001766721806585861")</f>
        <v/>
      </c>
      <c r="B55" s="2" t="n">
        <v>43250.4209837963</v>
      </c>
      <c r="C55" t="n">
        <v>0</v>
      </c>
      <c r="D55" t="n">
        <v>17</v>
      </c>
      <c r="E55" t="s">
        <v>66</v>
      </c>
      <c r="F55" t="s"/>
      <c r="G55" t="s"/>
      <c r="H55" t="s"/>
      <c r="I55" t="s"/>
      <c r="J55" t="n">
        <v>0</v>
      </c>
      <c r="K55" t="n">
        <v>0</v>
      </c>
      <c r="L55" t="n">
        <v>1</v>
      </c>
      <c r="M55" t="n">
        <v>0</v>
      </c>
    </row>
    <row r="56" spans="1:13">
      <c r="A56" s="1">
        <f>HYPERLINK("http://www.twitter.com/NathanBLawrence/status/1001766631461326848", "1001766631461326848")</f>
        <v/>
      </c>
      <c r="B56" s="2" t="n">
        <v>43250.42072916667</v>
      </c>
      <c r="C56" t="n">
        <v>0</v>
      </c>
      <c r="D56" t="n">
        <v>289</v>
      </c>
      <c r="E56" t="s">
        <v>67</v>
      </c>
      <c r="F56" t="s"/>
      <c r="G56" t="s"/>
      <c r="H56" t="s"/>
      <c r="I56" t="s"/>
      <c r="J56" t="n">
        <v>0</v>
      </c>
      <c r="K56" t="n">
        <v>0</v>
      </c>
      <c r="L56" t="n">
        <v>1</v>
      </c>
      <c r="M56" t="n">
        <v>0</v>
      </c>
    </row>
    <row r="57" spans="1:13">
      <c r="A57" s="1">
        <f>HYPERLINK("http://www.twitter.com/NathanBLawrence/status/1001766570920697856", "1001766570920697856")</f>
        <v/>
      </c>
      <c r="B57" s="2" t="n">
        <v>43250.42056712963</v>
      </c>
      <c r="C57" t="n">
        <v>0</v>
      </c>
      <c r="D57" t="n">
        <v>211</v>
      </c>
      <c r="E57" t="s">
        <v>68</v>
      </c>
      <c r="F57" t="s"/>
      <c r="G57" t="s"/>
      <c r="H57" t="s"/>
      <c r="I57" t="s"/>
      <c r="J57" t="n">
        <v>0.765</v>
      </c>
      <c r="K57" t="n">
        <v>0</v>
      </c>
      <c r="L57" t="n">
        <v>0.548</v>
      </c>
      <c r="M57" t="n">
        <v>0.452</v>
      </c>
    </row>
    <row r="58" spans="1:13">
      <c r="A58" s="1">
        <f>HYPERLINK("http://www.twitter.com/NathanBLawrence/status/1001766527773937664", "1001766527773937664")</f>
        <v/>
      </c>
      <c r="B58" s="2" t="n">
        <v>43250.42043981481</v>
      </c>
      <c r="C58" t="n">
        <v>0</v>
      </c>
      <c r="D58" t="n">
        <v>239</v>
      </c>
      <c r="E58" t="s">
        <v>69</v>
      </c>
      <c r="F58" t="s"/>
      <c r="G58" t="s"/>
      <c r="H58" t="s"/>
      <c r="I58" t="s"/>
      <c r="J58" t="n">
        <v>-0.5719</v>
      </c>
      <c r="K58" t="n">
        <v>0.144</v>
      </c>
      <c r="L58" t="n">
        <v>0.856</v>
      </c>
      <c r="M58" t="n">
        <v>0</v>
      </c>
    </row>
    <row r="59" spans="1:13">
      <c r="A59" s="1">
        <f>HYPERLINK("http://www.twitter.com/NathanBLawrence/status/1001766215059234816", "1001766215059234816")</f>
        <v/>
      </c>
      <c r="B59" s="2" t="n">
        <v>43250.41958333334</v>
      </c>
      <c r="C59" t="n">
        <v>0</v>
      </c>
      <c r="D59" t="n">
        <v>70</v>
      </c>
      <c r="E59" t="s">
        <v>70</v>
      </c>
      <c r="F59">
        <f>HYPERLINK("https://video.twimg.com/ext_tw_video/1001486670926000128/pu/vid/1280x720/ivtMVLhjI2_S7BVS.mp4?tag=3", "https://video.twimg.com/ext_tw_video/1001486670926000128/pu/vid/1280x720/ivtMVLhjI2_S7BVS.mp4?tag=3")</f>
        <v/>
      </c>
      <c r="G59" t="s"/>
      <c r="H59" t="s"/>
      <c r="I59" t="s"/>
      <c r="J59" t="n">
        <v>0</v>
      </c>
      <c r="K59" t="n">
        <v>0</v>
      </c>
      <c r="L59" t="n">
        <v>1</v>
      </c>
      <c r="M59" t="n">
        <v>0</v>
      </c>
    </row>
    <row r="60" spans="1:13">
      <c r="A60" s="1">
        <f>HYPERLINK("http://www.twitter.com/NathanBLawrence/status/1001766114467155969", "1001766114467155969")</f>
        <v/>
      </c>
      <c r="B60" s="2" t="n">
        <v>43250.41930555556</v>
      </c>
      <c r="C60" t="n">
        <v>0</v>
      </c>
      <c r="D60" t="n">
        <v>208</v>
      </c>
      <c r="E60" t="s">
        <v>71</v>
      </c>
      <c r="F60">
        <f>HYPERLINK("https://video.twimg.com/ext_tw_video/982015948365357056/pu/vid/640x360/VTEn1jNdNkyFqsH1.mp4?tag=2", "https://video.twimg.com/ext_tw_video/982015948365357056/pu/vid/640x360/VTEn1jNdNkyFqsH1.mp4?tag=2")</f>
        <v/>
      </c>
      <c r="G60" t="s"/>
      <c r="H60" t="s"/>
      <c r="I60" t="s"/>
      <c r="J60" t="n">
        <v>0.128</v>
      </c>
      <c r="K60" t="n">
        <v>0.151</v>
      </c>
      <c r="L60" t="n">
        <v>0.67</v>
      </c>
      <c r="M60" t="n">
        <v>0.179</v>
      </c>
    </row>
    <row r="61" spans="1:13">
      <c r="A61" s="1">
        <f>HYPERLINK("http://www.twitter.com/NathanBLawrence/status/1001766024700719104", "1001766024700719104")</f>
        <v/>
      </c>
      <c r="B61" s="2" t="n">
        <v>43250.41905092593</v>
      </c>
      <c r="C61" t="n">
        <v>0</v>
      </c>
      <c r="D61" t="n">
        <v>134</v>
      </c>
      <c r="E61" t="s">
        <v>72</v>
      </c>
      <c r="F61">
        <f>HYPERLINK("https://video.twimg.com/ext_tw_video/1001538266091356160/pu/vid/1280x720/RYmV3c9LVTu0Js6A.mp4?tag=3", "https://video.twimg.com/ext_tw_video/1001538266091356160/pu/vid/1280x720/RYmV3c9LVTu0Js6A.mp4?tag=3")</f>
        <v/>
      </c>
      <c r="G61" t="s"/>
      <c r="H61" t="s"/>
      <c r="I61" t="s"/>
      <c r="J61" t="n">
        <v>0</v>
      </c>
      <c r="K61" t="n">
        <v>0</v>
      </c>
      <c r="L61" t="n">
        <v>1</v>
      </c>
      <c r="M61" t="n">
        <v>0</v>
      </c>
    </row>
    <row r="62" spans="1:13">
      <c r="A62" s="1">
        <f>HYPERLINK("http://www.twitter.com/NathanBLawrence/status/1001765839698358272", "1001765839698358272")</f>
        <v/>
      </c>
      <c r="B62" s="2" t="n">
        <v>43250.41854166667</v>
      </c>
      <c r="C62" t="n">
        <v>0</v>
      </c>
      <c r="D62" t="n">
        <v>658</v>
      </c>
      <c r="E62" t="s">
        <v>73</v>
      </c>
      <c r="F62">
        <f>HYPERLINK("http://pbs.twimg.com/media/DeZHO2yVAAAB6vP.jpg", "http://pbs.twimg.com/media/DeZHO2yVAAAB6vP.jpg")</f>
        <v/>
      </c>
      <c r="G62" t="s"/>
      <c r="H62" t="s"/>
      <c r="I62" t="s"/>
      <c r="J62" t="n">
        <v>0</v>
      </c>
      <c r="K62" t="n">
        <v>0</v>
      </c>
      <c r="L62" t="n">
        <v>1</v>
      </c>
      <c r="M62" t="n">
        <v>0</v>
      </c>
    </row>
    <row r="63" spans="1:13">
      <c r="A63" s="1">
        <f>HYPERLINK("http://www.twitter.com/NathanBLawrence/status/1001765779510120448", "1001765779510120448")</f>
        <v/>
      </c>
      <c r="B63" s="2" t="n">
        <v>43250.41837962963</v>
      </c>
      <c r="C63" t="n">
        <v>0</v>
      </c>
      <c r="D63" t="n">
        <v>49</v>
      </c>
      <c r="E63" t="s">
        <v>74</v>
      </c>
      <c r="F63" t="s"/>
      <c r="G63" t="s"/>
      <c r="H63" t="s"/>
      <c r="I63" t="s"/>
      <c r="J63" t="n">
        <v>-0.5994</v>
      </c>
      <c r="K63" t="n">
        <v>0.495</v>
      </c>
      <c r="L63" t="n">
        <v>0.505</v>
      </c>
      <c r="M63" t="n">
        <v>0</v>
      </c>
    </row>
    <row r="64" spans="1:13">
      <c r="A64" s="1">
        <f>HYPERLINK("http://www.twitter.com/NathanBLawrence/status/1001765641857138688", "1001765641857138688")</f>
        <v/>
      </c>
      <c r="B64" s="2" t="n">
        <v>43250.41799768519</v>
      </c>
      <c r="C64" t="n">
        <v>0</v>
      </c>
      <c r="D64" t="n">
        <v>37</v>
      </c>
      <c r="E64" t="s">
        <v>75</v>
      </c>
      <c r="F64" t="s"/>
      <c r="G64" t="s"/>
      <c r="H64" t="s"/>
      <c r="I64" t="s"/>
      <c r="J64" t="n">
        <v>-0.2023</v>
      </c>
      <c r="K64" t="n">
        <v>0.08599999999999999</v>
      </c>
      <c r="L64" t="n">
        <v>0.82</v>
      </c>
      <c r="M64" t="n">
        <v>0.094</v>
      </c>
    </row>
    <row r="65" spans="1:13">
      <c r="A65" s="1">
        <f>HYPERLINK("http://www.twitter.com/NathanBLawrence/status/1001765588933447681", "1001765588933447681")</f>
        <v/>
      </c>
      <c r="B65" s="2" t="n">
        <v>43250.41784722222</v>
      </c>
      <c r="C65" t="n">
        <v>0</v>
      </c>
      <c r="D65" t="n">
        <v>69</v>
      </c>
      <c r="E65" t="s">
        <v>76</v>
      </c>
      <c r="F65" t="s"/>
      <c r="G65" t="s"/>
      <c r="H65" t="s"/>
      <c r="I65" t="s"/>
      <c r="J65" t="n">
        <v>-0.296</v>
      </c>
      <c r="K65" t="n">
        <v>0.167</v>
      </c>
      <c r="L65" t="n">
        <v>0.833</v>
      </c>
      <c r="M65" t="n">
        <v>0</v>
      </c>
    </row>
    <row r="66" spans="1:13">
      <c r="A66" s="1">
        <f>HYPERLINK("http://www.twitter.com/NathanBLawrence/status/1001765297194504193", "1001765297194504193")</f>
        <v/>
      </c>
      <c r="B66" s="2" t="n">
        <v>43250.41704861111</v>
      </c>
      <c r="C66" t="n">
        <v>0</v>
      </c>
      <c r="D66" t="n">
        <v>259</v>
      </c>
      <c r="E66" t="s">
        <v>77</v>
      </c>
      <c r="F66" t="s"/>
      <c r="G66" t="s"/>
      <c r="H66" t="s"/>
      <c r="I66" t="s"/>
      <c r="J66" t="n">
        <v>0</v>
      </c>
      <c r="K66" t="n">
        <v>0</v>
      </c>
      <c r="L66" t="n">
        <v>1</v>
      </c>
      <c r="M66" t="n">
        <v>0</v>
      </c>
    </row>
    <row r="67" spans="1:13">
      <c r="A67" s="1">
        <f>HYPERLINK("http://www.twitter.com/NathanBLawrence/status/1001765217691471873", "1001765217691471873")</f>
        <v/>
      </c>
      <c r="B67" s="2" t="n">
        <v>43250.4168287037</v>
      </c>
      <c r="C67" t="n">
        <v>0</v>
      </c>
      <c r="D67" t="n">
        <v>58</v>
      </c>
      <c r="E67" t="s">
        <v>78</v>
      </c>
      <c r="F67" t="s"/>
      <c r="G67" t="s"/>
      <c r="H67" t="s"/>
      <c r="I67" t="s"/>
      <c r="J67" t="n">
        <v>-0.8126</v>
      </c>
      <c r="K67" t="n">
        <v>0.318</v>
      </c>
      <c r="L67" t="n">
        <v>0.6820000000000001</v>
      </c>
      <c r="M67" t="n">
        <v>0</v>
      </c>
    </row>
    <row r="68" spans="1:13">
      <c r="A68" s="1">
        <f>HYPERLINK("http://www.twitter.com/NathanBLawrence/status/1001765158526554113", "1001765158526554113")</f>
        <v/>
      </c>
      <c r="B68" s="2" t="n">
        <v>43250.41666666666</v>
      </c>
      <c r="C68" t="n">
        <v>0</v>
      </c>
      <c r="D68" t="n">
        <v>2741</v>
      </c>
      <c r="E68" t="s">
        <v>79</v>
      </c>
      <c r="F68">
        <f>HYPERLINK("https://video.twimg.com/amplify_video/1001486077775900672/vid/1280x720/la0010xyY3p4k-ls.mp4?tag=2", "https://video.twimg.com/amplify_video/1001486077775900672/vid/1280x720/la0010xyY3p4k-ls.mp4?tag=2")</f>
        <v/>
      </c>
      <c r="G68" t="s"/>
      <c r="H68" t="s"/>
      <c r="I68" t="s"/>
      <c r="J68" t="n">
        <v>-0.6486</v>
      </c>
      <c r="K68" t="n">
        <v>0.301</v>
      </c>
      <c r="L68" t="n">
        <v>0.699</v>
      </c>
      <c r="M68" t="n">
        <v>0</v>
      </c>
    </row>
    <row r="69" spans="1:13">
      <c r="A69" s="1">
        <f>HYPERLINK("http://www.twitter.com/NathanBLawrence/status/1001765125529972737", "1001765125529972737")</f>
        <v/>
      </c>
      <c r="B69" s="2" t="n">
        <v>43250.41657407407</v>
      </c>
      <c r="C69" t="n">
        <v>0</v>
      </c>
      <c r="D69" t="n">
        <v>128</v>
      </c>
      <c r="E69" t="s">
        <v>80</v>
      </c>
      <c r="F69" t="s"/>
      <c r="G69" t="s"/>
      <c r="H69" t="s"/>
      <c r="I69" t="s"/>
      <c r="J69" t="n">
        <v>0.4019</v>
      </c>
      <c r="K69" t="n">
        <v>0</v>
      </c>
      <c r="L69" t="n">
        <v>0.891</v>
      </c>
      <c r="M69" t="n">
        <v>0.109</v>
      </c>
    </row>
    <row r="70" spans="1:13">
      <c r="A70" s="1">
        <f>HYPERLINK("http://www.twitter.com/NathanBLawrence/status/1001765038829588480", "1001765038829588480")</f>
        <v/>
      </c>
      <c r="B70" s="2" t="n">
        <v>43250.41633101852</v>
      </c>
      <c r="C70" t="n">
        <v>0</v>
      </c>
      <c r="D70" t="n">
        <v>3544</v>
      </c>
      <c r="E70" t="s">
        <v>81</v>
      </c>
      <c r="F70" t="s"/>
      <c r="G70" t="s"/>
      <c r="H70" t="s"/>
      <c r="I70" t="s"/>
      <c r="J70" t="n">
        <v>-0.6369</v>
      </c>
      <c r="K70" t="n">
        <v>0.206</v>
      </c>
      <c r="L70" t="n">
        <v>0.794</v>
      </c>
      <c r="M70" t="n">
        <v>0</v>
      </c>
    </row>
    <row r="71" spans="1:13">
      <c r="A71" s="1">
        <f>HYPERLINK("http://www.twitter.com/NathanBLawrence/status/1001765009754599424", "1001765009754599424")</f>
        <v/>
      </c>
      <c r="B71" s="2" t="n">
        <v>43250.41625</v>
      </c>
      <c r="C71" t="n">
        <v>1</v>
      </c>
      <c r="D71" t="n">
        <v>0</v>
      </c>
      <c r="E71" t="s">
        <v>82</v>
      </c>
      <c r="F71" t="s"/>
      <c r="G71" t="s"/>
      <c r="H71" t="s"/>
      <c r="I71" t="s"/>
      <c r="J71" t="n">
        <v>0</v>
      </c>
      <c r="K71" t="n">
        <v>0</v>
      </c>
      <c r="L71" t="n">
        <v>1</v>
      </c>
      <c r="M71" t="n">
        <v>0</v>
      </c>
    </row>
    <row r="72" spans="1:13">
      <c r="A72" s="1">
        <f>HYPERLINK("http://www.twitter.com/NathanBLawrence/status/1001764915680555009", "1001764915680555009")</f>
        <v/>
      </c>
      <c r="B72" s="2" t="n">
        <v>43250.41599537037</v>
      </c>
      <c r="C72" t="n">
        <v>0</v>
      </c>
      <c r="D72" t="n">
        <v>141</v>
      </c>
      <c r="E72" t="s">
        <v>83</v>
      </c>
      <c r="F72" t="s"/>
      <c r="G72" t="s"/>
      <c r="H72" t="s"/>
      <c r="I72" t="s"/>
      <c r="J72" t="n">
        <v>0</v>
      </c>
      <c r="K72" t="n">
        <v>0</v>
      </c>
      <c r="L72" t="n">
        <v>1</v>
      </c>
      <c r="M72" t="n">
        <v>0</v>
      </c>
    </row>
    <row r="73" spans="1:13">
      <c r="A73" s="1">
        <f>HYPERLINK("http://www.twitter.com/NathanBLawrence/status/1001764846382321664", "1001764846382321664")</f>
        <v/>
      </c>
      <c r="B73" s="2" t="n">
        <v>43250.41579861111</v>
      </c>
      <c r="C73" t="n">
        <v>0</v>
      </c>
      <c r="D73" t="n">
        <v>370</v>
      </c>
      <c r="E73" t="s">
        <v>84</v>
      </c>
      <c r="F73" t="s"/>
      <c r="G73" t="s"/>
      <c r="H73" t="s"/>
      <c r="I73" t="s"/>
      <c r="J73" t="n">
        <v>0</v>
      </c>
      <c r="K73" t="n">
        <v>0</v>
      </c>
      <c r="L73" t="n">
        <v>1</v>
      </c>
      <c r="M73" t="n">
        <v>0</v>
      </c>
    </row>
    <row r="74" spans="1:13">
      <c r="A74" s="1">
        <f>HYPERLINK("http://www.twitter.com/NathanBLawrence/status/1001764464390221824", "1001764464390221824")</f>
        <v/>
      </c>
      <c r="B74" s="2" t="n">
        <v>43250.41474537037</v>
      </c>
      <c r="C74" t="n">
        <v>0</v>
      </c>
      <c r="D74" t="n">
        <v>3</v>
      </c>
      <c r="E74" t="s">
        <v>85</v>
      </c>
      <c r="F74" t="s"/>
      <c r="G74" t="s"/>
      <c r="H74" t="s"/>
      <c r="I74" t="s"/>
      <c r="J74" t="n">
        <v>0.6249</v>
      </c>
      <c r="K74" t="n">
        <v>0</v>
      </c>
      <c r="L74" t="n">
        <v>0.728</v>
      </c>
      <c r="M74" t="n">
        <v>0.272</v>
      </c>
    </row>
    <row r="75" spans="1:13">
      <c r="A75" s="1">
        <f>HYPERLINK("http://www.twitter.com/NathanBLawrence/status/1001764055747629056", "1001764055747629056")</f>
        <v/>
      </c>
      <c r="B75" s="2" t="n">
        <v>43250.41362268518</v>
      </c>
      <c r="C75" t="n">
        <v>0</v>
      </c>
      <c r="D75" t="n">
        <v>1</v>
      </c>
      <c r="E75" t="s">
        <v>86</v>
      </c>
      <c r="F75" t="s"/>
      <c r="G75" t="s"/>
      <c r="H75" t="s"/>
      <c r="I75" t="s"/>
      <c r="J75" t="n">
        <v>0</v>
      </c>
      <c r="K75" t="n">
        <v>0</v>
      </c>
      <c r="L75" t="n">
        <v>1</v>
      </c>
      <c r="M75" t="n">
        <v>0</v>
      </c>
    </row>
    <row r="76" spans="1:13">
      <c r="A76" s="1">
        <f>HYPERLINK("http://www.twitter.com/NathanBLawrence/status/1001763561406980096", "1001763561406980096")</f>
        <v/>
      </c>
      <c r="B76" s="2" t="n">
        <v>43250.41225694444</v>
      </c>
      <c r="C76" t="n">
        <v>0</v>
      </c>
      <c r="D76" t="n">
        <v>1</v>
      </c>
      <c r="E76" t="s">
        <v>87</v>
      </c>
      <c r="F76" t="s"/>
      <c r="G76" t="s"/>
      <c r="H76" t="s"/>
      <c r="I76" t="s"/>
      <c r="J76" t="n">
        <v>-0.2263</v>
      </c>
      <c r="K76" t="n">
        <v>0.043</v>
      </c>
      <c r="L76" t="n">
        <v>0.957</v>
      </c>
      <c r="M76" t="n">
        <v>0</v>
      </c>
    </row>
    <row r="77" spans="1:13">
      <c r="A77" s="1">
        <f>HYPERLINK("http://www.twitter.com/NathanBLawrence/status/1001699213875535872", "1001699213875535872")</f>
        <v/>
      </c>
      <c r="B77" s="2" t="n">
        <v>43250.2346875</v>
      </c>
      <c r="C77" t="n">
        <v>0</v>
      </c>
      <c r="D77" t="n">
        <v>0</v>
      </c>
      <c r="E77" t="s">
        <v>88</v>
      </c>
      <c r="F77" t="s"/>
      <c r="G77" t="s"/>
      <c r="H77" t="s"/>
      <c r="I77" t="s"/>
      <c r="J77" t="n">
        <v>-0.264</v>
      </c>
      <c r="K77" t="n">
        <v>0.171</v>
      </c>
      <c r="L77" t="n">
        <v>0.829</v>
      </c>
      <c r="M77" t="n">
        <v>0</v>
      </c>
    </row>
    <row r="78" spans="1:13">
      <c r="A78" s="1">
        <f>HYPERLINK("http://www.twitter.com/NathanBLawrence/status/1001695502650560512", "1001695502650560512")</f>
        <v/>
      </c>
      <c r="B78" s="2" t="n">
        <v>43250.22445601852</v>
      </c>
      <c r="C78" t="n">
        <v>0</v>
      </c>
      <c r="D78" t="n">
        <v>4513</v>
      </c>
      <c r="E78" t="s">
        <v>89</v>
      </c>
      <c r="F78" t="s"/>
      <c r="G78" t="s"/>
      <c r="H78" t="s"/>
      <c r="I78" t="s"/>
      <c r="J78" t="n">
        <v>0</v>
      </c>
      <c r="K78" t="n">
        <v>0</v>
      </c>
      <c r="L78" t="n">
        <v>1</v>
      </c>
      <c r="M78" t="n">
        <v>0</v>
      </c>
    </row>
    <row r="79" spans="1:13">
      <c r="A79" s="1">
        <f>HYPERLINK("http://www.twitter.com/NathanBLawrence/status/1001695460405530624", "1001695460405530624")</f>
        <v/>
      </c>
      <c r="B79" s="2" t="n">
        <v>43250.22434027777</v>
      </c>
      <c r="C79" t="n">
        <v>0</v>
      </c>
      <c r="D79" t="n">
        <v>10734</v>
      </c>
      <c r="E79" t="s">
        <v>90</v>
      </c>
      <c r="F79" t="s"/>
      <c r="G79" t="s"/>
      <c r="H79" t="s"/>
      <c r="I79" t="s"/>
      <c r="J79" t="n">
        <v>-0.4939</v>
      </c>
      <c r="K79" t="n">
        <v>0.261</v>
      </c>
      <c r="L79" t="n">
        <v>0.522</v>
      </c>
      <c r="M79" t="n">
        <v>0.216</v>
      </c>
    </row>
    <row r="80" spans="1:13">
      <c r="A80" s="1">
        <f>HYPERLINK("http://www.twitter.com/NathanBLawrence/status/1001695382383054849", "1001695382383054849")</f>
        <v/>
      </c>
      <c r="B80" s="2" t="n">
        <v>43250.22412037037</v>
      </c>
      <c r="C80" t="n">
        <v>0</v>
      </c>
      <c r="D80" t="n">
        <v>3971</v>
      </c>
      <c r="E80" t="s">
        <v>91</v>
      </c>
      <c r="F80" t="s"/>
      <c r="G80" t="s"/>
      <c r="H80" t="s"/>
      <c r="I80" t="s"/>
      <c r="J80" t="n">
        <v>-0.5095</v>
      </c>
      <c r="K80" t="n">
        <v>0.354</v>
      </c>
      <c r="L80" t="n">
        <v>0.646</v>
      </c>
      <c r="M80" t="n">
        <v>0</v>
      </c>
    </row>
    <row r="81" spans="1:13">
      <c r="A81" s="1">
        <f>HYPERLINK("http://www.twitter.com/NathanBLawrence/status/1001695131580489728", "1001695131580489728")</f>
        <v/>
      </c>
      <c r="B81" s="2" t="n">
        <v>43250.22342592593</v>
      </c>
      <c r="C81" t="n">
        <v>0</v>
      </c>
      <c r="D81" t="n">
        <v>815</v>
      </c>
      <c r="E81" t="s">
        <v>92</v>
      </c>
      <c r="F81">
        <f>HYPERLINK("http://pbs.twimg.com/media/DeYngYbU8AAmuAJ.jpg", "http://pbs.twimg.com/media/DeYngYbU8AAmuAJ.jpg")</f>
        <v/>
      </c>
      <c r="G81" t="s"/>
      <c r="H81" t="s"/>
      <c r="I81" t="s"/>
      <c r="J81" t="n">
        <v>0</v>
      </c>
      <c r="K81" t="n">
        <v>0</v>
      </c>
      <c r="L81" t="n">
        <v>1</v>
      </c>
      <c r="M81" t="n">
        <v>0</v>
      </c>
    </row>
    <row r="82" spans="1:13">
      <c r="A82" s="1">
        <f>HYPERLINK("http://www.twitter.com/NathanBLawrence/status/1001694835773005824", "1001694835773005824")</f>
        <v/>
      </c>
      <c r="B82" s="2" t="n">
        <v>43250.22261574074</v>
      </c>
      <c r="C82" t="n">
        <v>0</v>
      </c>
      <c r="D82" t="n">
        <v>46</v>
      </c>
      <c r="E82" t="s">
        <v>93</v>
      </c>
      <c r="F82">
        <f>HYPERLINK("http://pbs.twimg.com/media/DeZlEwTX4AAHZAa.jpg", "http://pbs.twimg.com/media/DeZlEwTX4AAHZAa.jpg")</f>
        <v/>
      </c>
      <c r="G82" t="s"/>
      <c r="H82" t="s"/>
      <c r="I82" t="s"/>
      <c r="J82" t="n">
        <v>-0.6705</v>
      </c>
      <c r="K82" t="n">
        <v>0.271</v>
      </c>
      <c r="L82" t="n">
        <v>0.623</v>
      </c>
      <c r="M82" t="n">
        <v>0.106</v>
      </c>
    </row>
    <row r="83" spans="1:13">
      <c r="A83" s="1">
        <f>HYPERLINK("http://www.twitter.com/NathanBLawrence/status/1001694766239797248", "1001694766239797248")</f>
        <v/>
      </c>
      <c r="B83" s="2" t="n">
        <v>43250.22241898148</v>
      </c>
      <c r="C83" t="n">
        <v>0</v>
      </c>
      <c r="D83" t="n">
        <v>180</v>
      </c>
      <c r="E83" t="s">
        <v>94</v>
      </c>
      <c r="F83">
        <f>HYPERLINK("http://pbs.twimg.com/media/DeZlM3HVMAAIJoA.jpg", "http://pbs.twimg.com/media/DeZlM3HVMAAIJoA.jpg")</f>
        <v/>
      </c>
      <c r="G83" t="s"/>
      <c r="H83" t="s"/>
      <c r="I83" t="s"/>
      <c r="J83" t="n">
        <v>-0.1111</v>
      </c>
      <c r="K83" t="n">
        <v>0.15</v>
      </c>
      <c r="L83" t="n">
        <v>0.72</v>
      </c>
      <c r="M83" t="n">
        <v>0.13</v>
      </c>
    </row>
    <row r="84" spans="1:13">
      <c r="A84" s="1">
        <f>HYPERLINK("http://www.twitter.com/NathanBLawrence/status/1001694669368184832", "1001694669368184832")</f>
        <v/>
      </c>
      <c r="B84" s="2" t="n">
        <v>43250.22215277778</v>
      </c>
      <c r="C84" t="n">
        <v>0</v>
      </c>
      <c r="D84" t="n">
        <v>451</v>
      </c>
      <c r="E84" t="s">
        <v>95</v>
      </c>
      <c r="F84" t="s"/>
      <c r="G84" t="s"/>
      <c r="H84" t="s"/>
      <c r="I84" t="s"/>
      <c r="J84" t="n">
        <v>0.6249</v>
      </c>
      <c r="K84" t="n">
        <v>0</v>
      </c>
      <c r="L84" t="n">
        <v>0.843</v>
      </c>
      <c r="M84" t="n">
        <v>0.157</v>
      </c>
    </row>
    <row r="85" spans="1:13">
      <c r="A85" s="1">
        <f>HYPERLINK("http://www.twitter.com/NathanBLawrence/status/1001694636241510400", "1001694636241510400")</f>
        <v/>
      </c>
      <c r="B85" s="2" t="n">
        <v>43250.22206018519</v>
      </c>
      <c r="C85" t="n">
        <v>0</v>
      </c>
      <c r="D85" t="n">
        <v>66</v>
      </c>
      <c r="E85" t="s">
        <v>96</v>
      </c>
      <c r="F85" t="s"/>
      <c r="G85" t="s"/>
      <c r="H85" t="s"/>
      <c r="I85" t="s"/>
      <c r="J85" t="n">
        <v>0.6249</v>
      </c>
      <c r="K85" t="n">
        <v>0</v>
      </c>
      <c r="L85" t="n">
        <v>0.843</v>
      </c>
      <c r="M85" t="n">
        <v>0.157</v>
      </c>
    </row>
    <row r="86" spans="1:13">
      <c r="A86" s="1">
        <f>HYPERLINK("http://www.twitter.com/NathanBLawrence/status/1001694582218862592", "1001694582218862592")</f>
        <v/>
      </c>
      <c r="B86" s="2" t="n">
        <v>43250.22190972222</v>
      </c>
      <c r="C86" t="n">
        <v>0</v>
      </c>
      <c r="D86" t="n">
        <v>1433</v>
      </c>
      <c r="E86" t="s">
        <v>97</v>
      </c>
      <c r="F86">
        <f>HYPERLINK("http://pbs.twimg.com/media/DeaEIPnX0AAkrIA.jpg", "http://pbs.twimg.com/media/DeaEIPnX0AAkrIA.jpg")</f>
        <v/>
      </c>
      <c r="G86" t="s"/>
      <c r="H86" t="s"/>
      <c r="I86" t="s"/>
      <c r="J86" t="n">
        <v>-0.0516</v>
      </c>
      <c r="K86" t="n">
        <v>0.154</v>
      </c>
      <c r="L86" t="n">
        <v>0.701</v>
      </c>
      <c r="M86" t="n">
        <v>0.145</v>
      </c>
    </row>
    <row r="87" spans="1:13">
      <c r="A87" s="1">
        <f>HYPERLINK("http://www.twitter.com/NathanBLawrence/status/1001694511783923713", "1001694511783923713")</f>
        <v/>
      </c>
      <c r="B87" s="2" t="n">
        <v>43250.22171296296</v>
      </c>
      <c r="C87" t="n">
        <v>0</v>
      </c>
      <c r="D87" t="n">
        <v>88</v>
      </c>
      <c r="E87" t="s">
        <v>98</v>
      </c>
      <c r="F87">
        <f>HYPERLINK("http://pbs.twimg.com/media/DeaYuK9VMAEDRs-.jpg", "http://pbs.twimg.com/media/DeaYuK9VMAEDRs-.jpg")</f>
        <v/>
      </c>
      <c r="G87" t="s"/>
      <c r="H87" t="s"/>
      <c r="I87" t="s"/>
      <c r="J87" t="n">
        <v>0</v>
      </c>
      <c r="K87" t="n">
        <v>0</v>
      </c>
      <c r="L87" t="n">
        <v>1</v>
      </c>
      <c r="M87" t="n">
        <v>0</v>
      </c>
    </row>
    <row r="88" spans="1:13">
      <c r="A88" s="1">
        <f>HYPERLINK("http://www.twitter.com/NathanBLawrence/status/1001694455957721088", "1001694455957721088")</f>
        <v/>
      </c>
      <c r="B88" s="2" t="n">
        <v>43250.2215625</v>
      </c>
      <c r="C88" t="n">
        <v>0</v>
      </c>
      <c r="D88" t="n">
        <v>51</v>
      </c>
      <c r="E88" t="s">
        <v>99</v>
      </c>
      <c r="F88">
        <f>HYPERLINK("http://pbs.twimg.com/media/DeatP36XkAIqEd6.jpg", "http://pbs.twimg.com/media/DeatP36XkAIqEd6.jpg")</f>
        <v/>
      </c>
      <c r="G88" t="s"/>
      <c r="H88" t="s"/>
      <c r="I88" t="s"/>
      <c r="J88" t="n">
        <v>0</v>
      </c>
      <c r="K88" t="n">
        <v>0</v>
      </c>
      <c r="L88" t="n">
        <v>1</v>
      </c>
      <c r="M88" t="n">
        <v>0</v>
      </c>
    </row>
    <row r="89" spans="1:13">
      <c r="A89" s="1">
        <f>HYPERLINK("http://www.twitter.com/NathanBLawrence/status/1001694354996715520", "1001694354996715520")</f>
        <v/>
      </c>
      <c r="B89" s="2" t="n">
        <v>43250.22128472223</v>
      </c>
      <c r="C89" t="n">
        <v>0</v>
      </c>
      <c r="D89" t="n">
        <v>5</v>
      </c>
      <c r="E89" t="s">
        <v>100</v>
      </c>
      <c r="F89" t="s"/>
      <c r="G89" t="s"/>
      <c r="H89" t="s"/>
      <c r="I89" t="s"/>
      <c r="J89" t="n">
        <v>0</v>
      </c>
      <c r="K89" t="n">
        <v>0</v>
      </c>
      <c r="L89" t="n">
        <v>1</v>
      </c>
      <c r="M89" t="n">
        <v>0</v>
      </c>
    </row>
    <row r="90" spans="1:13">
      <c r="A90" s="1">
        <f>HYPERLINK("http://www.twitter.com/NathanBLawrence/status/1001694262713552896", "1001694262713552896")</f>
        <v/>
      </c>
      <c r="B90" s="2" t="n">
        <v>43250.22103009259</v>
      </c>
      <c r="C90" t="n">
        <v>0</v>
      </c>
      <c r="D90" t="n">
        <v>53</v>
      </c>
      <c r="E90" t="s">
        <v>101</v>
      </c>
      <c r="F90" t="s"/>
      <c r="G90" t="s"/>
      <c r="H90" t="s"/>
      <c r="I90" t="s"/>
      <c r="J90" t="n">
        <v>0</v>
      </c>
      <c r="K90" t="n">
        <v>0</v>
      </c>
      <c r="L90" t="n">
        <v>1</v>
      </c>
      <c r="M90" t="n">
        <v>0</v>
      </c>
    </row>
    <row r="91" spans="1:13">
      <c r="A91" s="1">
        <f>HYPERLINK("http://www.twitter.com/NathanBLawrence/status/1001687364262154241", "1001687364262154241")</f>
        <v/>
      </c>
      <c r="B91" s="2" t="n">
        <v>43250.20199074074</v>
      </c>
      <c r="C91" t="n">
        <v>0</v>
      </c>
      <c r="D91" t="n">
        <v>1040</v>
      </c>
      <c r="E91" t="s">
        <v>102</v>
      </c>
      <c r="F91" t="s"/>
      <c r="G91" t="s"/>
      <c r="H91" t="s"/>
      <c r="I91" t="s"/>
      <c r="J91" t="n">
        <v>-0.5106000000000001</v>
      </c>
      <c r="K91" t="n">
        <v>0.144</v>
      </c>
      <c r="L91" t="n">
        <v>0.784</v>
      </c>
      <c r="M91" t="n">
        <v>0.07199999999999999</v>
      </c>
    </row>
    <row r="92" spans="1:13">
      <c r="A92" s="1">
        <f>HYPERLINK("http://www.twitter.com/NathanBLawrence/status/1001687298310852610", "1001687298310852610")</f>
        <v/>
      </c>
      <c r="B92" s="2" t="n">
        <v>43250.20181712963</v>
      </c>
      <c r="C92" t="n">
        <v>0</v>
      </c>
      <c r="D92" t="n">
        <v>3</v>
      </c>
      <c r="E92" t="s">
        <v>103</v>
      </c>
      <c r="F92" t="s"/>
      <c r="G92" t="s"/>
      <c r="H92" t="s"/>
      <c r="I92" t="s"/>
      <c r="J92" t="n">
        <v>0.4588</v>
      </c>
      <c r="K92" t="n">
        <v>0.08699999999999999</v>
      </c>
      <c r="L92" t="n">
        <v>0.728</v>
      </c>
      <c r="M92" t="n">
        <v>0.184</v>
      </c>
    </row>
    <row r="93" spans="1:13">
      <c r="A93" s="1">
        <f>HYPERLINK("http://www.twitter.com/NathanBLawrence/status/1001687272662630403", "1001687272662630403")</f>
        <v/>
      </c>
      <c r="B93" s="2" t="n">
        <v>43250.20173611111</v>
      </c>
      <c r="C93" t="n">
        <v>0</v>
      </c>
      <c r="D93" t="n">
        <v>793</v>
      </c>
      <c r="E93" t="s">
        <v>104</v>
      </c>
      <c r="F93" t="s"/>
      <c r="G93" t="s"/>
      <c r="H93" t="s"/>
      <c r="I93" t="s"/>
      <c r="J93" t="n">
        <v>0.3802</v>
      </c>
      <c r="K93" t="n">
        <v>0</v>
      </c>
      <c r="L93" t="n">
        <v>0.88</v>
      </c>
      <c r="M93" t="n">
        <v>0.12</v>
      </c>
    </row>
    <row r="94" spans="1:13">
      <c r="A94" s="1">
        <f>HYPERLINK("http://www.twitter.com/NathanBLawrence/status/1001686973726232577", "1001686973726232577")</f>
        <v/>
      </c>
      <c r="B94" s="2" t="n">
        <v>43250.20091435185</v>
      </c>
      <c r="C94" t="n">
        <v>0</v>
      </c>
      <c r="D94" t="n">
        <v>2123</v>
      </c>
      <c r="E94" t="s">
        <v>105</v>
      </c>
      <c r="F94" t="s"/>
      <c r="G94" t="s"/>
      <c r="H94" t="s"/>
      <c r="I94" t="s"/>
      <c r="J94" t="n">
        <v>-0.0516</v>
      </c>
      <c r="K94" t="n">
        <v>0.054</v>
      </c>
      <c r="L94" t="n">
        <v>0.946</v>
      </c>
      <c r="M94" t="n">
        <v>0</v>
      </c>
    </row>
    <row r="95" spans="1:13">
      <c r="A95" s="1">
        <f>HYPERLINK("http://www.twitter.com/NathanBLawrence/status/1001686526856744964", "1001686526856744964")</f>
        <v/>
      </c>
      <c r="B95" s="2" t="n">
        <v>43250.1996875</v>
      </c>
      <c r="C95" t="n">
        <v>0</v>
      </c>
      <c r="D95" t="n">
        <v>1</v>
      </c>
      <c r="E95" t="s">
        <v>106</v>
      </c>
      <c r="F95" t="s"/>
      <c r="G95" t="s"/>
      <c r="H95" t="s"/>
      <c r="I95" t="s"/>
      <c r="J95" t="n">
        <v>-0.8316</v>
      </c>
      <c r="K95" t="n">
        <v>0.295</v>
      </c>
      <c r="L95" t="n">
        <v>0.705</v>
      </c>
      <c r="M95" t="n">
        <v>0</v>
      </c>
    </row>
    <row r="96" spans="1:13">
      <c r="A96" s="1">
        <f>HYPERLINK("http://www.twitter.com/NathanBLawrence/status/1001686269901049856", "1001686269901049856")</f>
        <v/>
      </c>
      <c r="B96" s="2" t="n">
        <v>43250.1989699074</v>
      </c>
      <c r="C96" t="n">
        <v>0</v>
      </c>
      <c r="D96" t="n">
        <v>4976</v>
      </c>
      <c r="E96" t="s">
        <v>107</v>
      </c>
      <c r="F96" t="s"/>
      <c r="G96" t="s"/>
      <c r="H96" t="s"/>
      <c r="I96" t="s"/>
      <c r="J96" t="n">
        <v>0.3041</v>
      </c>
      <c r="K96" t="n">
        <v>0.274</v>
      </c>
      <c r="L96" t="n">
        <v>0.397</v>
      </c>
      <c r="M96" t="n">
        <v>0.329</v>
      </c>
    </row>
    <row r="97" spans="1:13">
      <c r="A97" s="1">
        <f>HYPERLINK("http://www.twitter.com/NathanBLawrence/status/1001686173583069184", "1001686173583069184")</f>
        <v/>
      </c>
      <c r="B97" s="2" t="n">
        <v>43250.1987037037</v>
      </c>
      <c r="C97" t="n">
        <v>0</v>
      </c>
      <c r="D97" t="n">
        <v>7555</v>
      </c>
      <c r="E97" t="s">
        <v>108</v>
      </c>
      <c r="F97" t="s"/>
      <c r="G97" t="s"/>
      <c r="H97" t="s"/>
      <c r="I97" t="s"/>
      <c r="J97" t="n">
        <v>-0.1027</v>
      </c>
      <c r="K97" t="n">
        <v>0.057</v>
      </c>
      <c r="L97" t="n">
        <v>0.9429999999999999</v>
      </c>
      <c r="M97" t="n">
        <v>0</v>
      </c>
    </row>
    <row r="98" spans="1:13">
      <c r="A98" s="1">
        <f>HYPERLINK("http://www.twitter.com/NathanBLawrence/status/1001686031647825921", "1001686031647825921")</f>
        <v/>
      </c>
      <c r="B98" s="2" t="n">
        <v>43250.19832175926</v>
      </c>
      <c r="C98" t="n">
        <v>0</v>
      </c>
      <c r="D98" t="n">
        <v>1541</v>
      </c>
      <c r="E98" t="s">
        <v>109</v>
      </c>
      <c r="F98" t="s"/>
      <c r="G98" t="s"/>
      <c r="H98" t="s"/>
      <c r="I98" t="s"/>
      <c r="J98" t="n">
        <v>0</v>
      </c>
      <c r="K98" t="n">
        <v>0</v>
      </c>
      <c r="L98" t="n">
        <v>1</v>
      </c>
      <c r="M98" t="n">
        <v>0</v>
      </c>
    </row>
    <row r="99" spans="1:13">
      <c r="A99" s="1">
        <f>HYPERLINK("http://www.twitter.com/NathanBLawrence/status/1001685952580980737", "1001685952580980737")</f>
        <v/>
      </c>
      <c r="B99" s="2" t="n">
        <v>43250.19810185185</v>
      </c>
      <c r="C99" t="n">
        <v>0</v>
      </c>
      <c r="D99" t="n">
        <v>1</v>
      </c>
      <c r="E99" t="s">
        <v>110</v>
      </c>
      <c r="F99" t="s"/>
      <c r="G99" t="s"/>
      <c r="H99" t="s"/>
      <c r="I99" t="s"/>
      <c r="J99" t="n">
        <v>0.5118</v>
      </c>
      <c r="K99" t="n">
        <v>0.095</v>
      </c>
      <c r="L99" t="n">
        <v>0.6850000000000001</v>
      </c>
      <c r="M99" t="n">
        <v>0.221</v>
      </c>
    </row>
    <row r="100" spans="1:13">
      <c r="A100" s="1">
        <f>HYPERLINK("http://www.twitter.com/NathanBLawrence/status/1001685763657011200", "1001685763657011200")</f>
        <v/>
      </c>
      <c r="B100" s="2" t="n">
        <v>43250.19758101852</v>
      </c>
      <c r="C100" t="n">
        <v>0</v>
      </c>
      <c r="D100" t="n">
        <v>2</v>
      </c>
      <c r="E100" t="s">
        <v>111</v>
      </c>
      <c r="F100" t="s"/>
      <c r="G100" t="s"/>
      <c r="H100" t="s"/>
      <c r="I100" t="s"/>
      <c r="J100" t="n">
        <v>0</v>
      </c>
      <c r="K100" t="n">
        <v>0</v>
      </c>
      <c r="L100" t="n">
        <v>1</v>
      </c>
      <c r="M100" t="n">
        <v>0</v>
      </c>
    </row>
    <row r="101" spans="1:13">
      <c r="A101" s="1">
        <f>HYPERLINK("http://www.twitter.com/NathanBLawrence/status/1001685728194170880", "1001685728194170880")</f>
        <v/>
      </c>
      <c r="B101" s="2" t="n">
        <v>43250.19747685185</v>
      </c>
      <c r="C101" t="n">
        <v>0</v>
      </c>
      <c r="D101" t="n">
        <v>119</v>
      </c>
      <c r="E101" t="s">
        <v>112</v>
      </c>
      <c r="F101" t="s"/>
      <c r="G101" t="s"/>
      <c r="H101" t="s"/>
      <c r="I101" t="s"/>
      <c r="J101" t="n">
        <v>0.4263</v>
      </c>
      <c r="K101" t="n">
        <v>0.125</v>
      </c>
      <c r="L101" t="n">
        <v>0.597</v>
      </c>
      <c r="M101" t="n">
        <v>0.278</v>
      </c>
    </row>
    <row r="102" spans="1:13">
      <c r="A102" s="1">
        <f>HYPERLINK("http://www.twitter.com/NathanBLawrence/status/1001685530768216065", "1001685530768216065")</f>
        <v/>
      </c>
      <c r="B102" s="2" t="n">
        <v>43250.19693287037</v>
      </c>
      <c r="C102" t="n">
        <v>0</v>
      </c>
      <c r="D102" t="n">
        <v>32</v>
      </c>
      <c r="E102" t="s">
        <v>113</v>
      </c>
      <c r="F102" t="s"/>
      <c r="G102" t="s"/>
      <c r="H102" t="s"/>
      <c r="I102" t="s"/>
      <c r="J102" t="n">
        <v>-0.4404</v>
      </c>
      <c r="K102" t="n">
        <v>0.139</v>
      </c>
      <c r="L102" t="n">
        <v>0.861</v>
      </c>
      <c r="M102" t="n">
        <v>0</v>
      </c>
    </row>
    <row r="103" spans="1:13">
      <c r="A103" s="1">
        <f>HYPERLINK("http://www.twitter.com/NathanBLawrence/status/1001685242581864448", "1001685242581864448")</f>
        <v/>
      </c>
      <c r="B103" s="2" t="n">
        <v>43250.19613425926</v>
      </c>
      <c r="C103" t="n">
        <v>0</v>
      </c>
      <c r="D103" t="n">
        <v>5</v>
      </c>
      <c r="E103" t="s">
        <v>114</v>
      </c>
      <c r="F103" t="s"/>
      <c r="G103" t="s"/>
      <c r="H103" t="s"/>
      <c r="I103" t="s"/>
      <c r="J103" t="n">
        <v>0.34</v>
      </c>
      <c r="K103" t="n">
        <v>0</v>
      </c>
      <c r="L103" t="n">
        <v>0.893</v>
      </c>
      <c r="M103" t="n">
        <v>0.107</v>
      </c>
    </row>
    <row r="104" spans="1:13">
      <c r="A104" s="1">
        <f>HYPERLINK("http://www.twitter.com/NathanBLawrence/status/1001685209421680640", "1001685209421680640")</f>
        <v/>
      </c>
      <c r="B104" s="2" t="n">
        <v>43250.19604166667</v>
      </c>
      <c r="C104" t="n">
        <v>0</v>
      </c>
      <c r="D104" t="n">
        <v>71</v>
      </c>
      <c r="E104" t="s">
        <v>115</v>
      </c>
      <c r="F104" t="s"/>
      <c r="G104" t="s"/>
      <c r="H104" t="s"/>
      <c r="I104" t="s"/>
      <c r="J104" t="n">
        <v>0</v>
      </c>
      <c r="K104" t="n">
        <v>0</v>
      </c>
      <c r="L104" t="n">
        <v>1</v>
      </c>
      <c r="M104" t="n">
        <v>0</v>
      </c>
    </row>
    <row r="105" spans="1:13">
      <c r="A105" s="1">
        <f>HYPERLINK("http://www.twitter.com/NathanBLawrence/status/1001685175712051202", "1001685175712051202")</f>
        <v/>
      </c>
      <c r="B105" s="2" t="n">
        <v>43250.19594907408</v>
      </c>
      <c r="C105" t="n">
        <v>0</v>
      </c>
      <c r="D105" t="n">
        <v>1780</v>
      </c>
      <c r="E105" t="s">
        <v>116</v>
      </c>
      <c r="F105" t="s"/>
      <c r="G105" t="s"/>
      <c r="H105" t="s"/>
      <c r="I105" t="s"/>
      <c r="J105" t="n">
        <v>-0.4767</v>
      </c>
      <c r="K105" t="n">
        <v>0.124</v>
      </c>
      <c r="L105" t="n">
        <v>0.876</v>
      </c>
      <c r="M105" t="n">
        <v>0</v>
      </c>
    </row>
    <row r="106" spans="1:13">
      <c r="A106" s="1">
        <f>HYPERLINK("http://www.twitter.com/NathanBLawrence/status/1001685109727223808", "1001685109727223808")</f>
        <v/>
      </c>
      <c r="B106" s="2" t="n">
        <v>43250.19577546296</v>
      </c>
      <c r="C106" t="n">
        <v>0</v>
      </c>
      <c r="D106" t="n">
        <v>1393</v>
      </c>
      <c r="E106" t="s">
        <v>117</v>
      </c>
      <c r="F106" t="s"/>
      <c r="G106" t="s"/>
      <c r="H106" t="s"/>
      <c r="I106" t="s"/>
      <c r="J106" t="n">
        <v>-0.5106000000000001</v>
      </c>
      <c r="K106" t="n">
        <v>0.216</v>
      </c>
      <c r="L106" t="n">
        <v>0.784</v>
      </c>
      <c r="M106" t="n">
        <v>0</v>
      </c>
    </row>
    <row r="107" spans="1:13">
      <c r="A107" s="1">
        <f>HYPERLINK("http://www.twitter.com/NathanBLawrence/status/1001685084611760133", "1001685084611760133")</f>
        <v/>
      </c>
      <c r="B107" s="2" t="n">
        <v>43250.19570601852</v>
      </c>
      <c r="C107" t="n">
        <v>0</v>
      </c>
      <c r="D107" t="n">
        <v>1300</v>
      </c>
      <c r="E107" t="s">
        <v>118</v>
      </c>
      <c r="F107">
        <f>HYPERLINK("http://pbs.twimg.com/media/DeUQXBeWsAAFRb2.jpg", "http://pbs.twimg.com/media/DeUQXBeWsAAFRb2.jpg")</f>
        <v/>
      </c>
      <c r="G107" t="s"/>
      <c r="H107" t="s"/>
      <c r="I107" t="s"/>
      <c r="J107" t="n">
        <v>0.802</v>
      </c>
      <c r="K107" t="n">
        <v>0</v>
      </c>
      <c r="L107" t="n">
        <v>0.725</v>
      </c>
      <c r="M107" t="n">
        <v>0.275</v>
      </c>
    </row>
    <row r="108" spans="1:13">
      <c r="A108" s="1">
        <f>HYPERLINK("http://www.twitter.com/NathanBLawrence/status/1001685024498909190", "1001685024498909190")</f>
        <v/>
      </c>
      <c r="B108" s="2" t="n">
        <v>43250.19553240741</v>
      </c>
      <c r="C108" t="n">
        <v>0</v>
      </c>
      <c r="D108" t="n">
        <v>6870</v>
      </c>
      <c r="E108" t="s">
        <v>119</v>
      </c>
      <c r="F108" t="s"/>
      <c r="G108" t="s"/>
      <c r="H108" t="s"/>
      <c r="I108" t="s"/>
      <c r="J108" t="n">
        <v>-0.4767</v>
      </c>
      <c r="K108" t="n">
        <v>0.181</v>
      </c>
      <c r="L108" t="n">
        <v>0.819</v>
      </c>
      <c r="M108" t="n">
        <v>0</v>
      </c>
    </row>
    <row r="109" spans="1:13">
      <c r="A109" s="1">
        <f>HYPERLINK("http://www.twitter.com/NathanBLawrence/status/1001684998079025153", "1001684998079025153")</f>
        <v/>
      </c>
      <c r="B109" s="2" t="n">
        <v>43250.19546296296</v>
      </c>
      <c r="C109" t="n">
        <v>0</v>
      </c>
      <c r="D109" t="n">
        <v>4102</v>
      </c>
      <c r="E109" t="s">
        <v>120</v>
      </c>
      <c r="F109" t="s"/>
      <c r="G109" t="s"/>
      <c r="H109" t="s"/>
      <c r="I109" t="s"/>
      <c r="J109" t="n">
        <v>0.8687</v>
      </c>
      <c r="K109" t="n">
        <v>0</v>
      </c>
      <c r="L109" t="n">
        <v>0.529</v>
      </c>
      <c r="M109" t="n">
        <v>0.471</v>
      </c>
    </row>
    <row r="110" spans="1:13">
      <c r="A110" s="1">
        <f>HYPERLINK("http://www.twitter.com/NathanBLawrence/status/1001684901534535682", "1001684901534535682")</f>
        <v/>
      </c>
      <c r="B110" s="2" t="n">
        <v>43250.19519675926</v>
      </c>
      <c r="C110" t="n">
        <v>0</v>
      </c>
      <c r="D110" t="n">
        <v>6962</v>
      </c>
      <c r="E110" t="s">
        <v>121</v>
      </c>
      <c r="F110" t="s"/>
      <c r="G110" t="s"/>
      <c r="H110" t="s"/>
      <c r="I110" t="s"/>
      <c r="J110" t="n">
        <v>0.4215</v>
      </c>
      <c r="K110" t="n">
        <v>0</v>
      </c>
      <c r="L110" t="n">
        <v>0.797</v>
      </c>
      <c r="M110" t="n">
        <v>0.203</v>
      </c>
    </row>
    <row r="111" spans="1:13">
      <c r="A111" s="1">
        <f>HYPERLINK("http://www.twitter.com/NathanBLawrence/status/1001684725365428232", "1001684725365428232")</f>
        <v/>
      </c>
      <c r="B111" s="2" t="n">
        <v>43250.19471064815</v>
      </c>
      <c r="C111" t="n">
        <v>0</v>
      </c>
      <c r="D111" t="n">
        <v>14123</v>
      </c>
      <c r="E111" t="s">
        <v>122</v>
      </c>
      <c r="F111" t="s"/>
      <c r="G111" t="s"/>
      <c r="H111" t="s"/>
      <c r="I111" t="s"/>
      <c r="J111" t="n">
        <v>0</v>
      </c>
      <c r="K111" t="n">
        <v>0</v>
      </c>
      <c r="L111" t="n">
        <v>1</v>
      </c>
      <c r="M111" t="n">
        <v>0</v>
      </c>
    </row>
    <row r="112" spans="1:13">
      <c r="A112" s="1">
        <f>HYPERLINK("http://www.twitter.com/NathanBLawrence/status/1001684670294188034", "1001684670294188034")</f>
        <v/>
      </c>
      <c r="B112" s="2" t="n">
        <v>43250.19456018518</v>
      </c>
      <c r="C112" t="n">
        <v>0</v>
      </c>
      <c r="D112" t="n">
        <v>20261</v>
      </c>
      <c r="E112" t="s">
        <v>123</v>
      </c>
      <c r="F112" t="s"/>
      <c r="G112" t="s"/>
      <c r="H112" t="s"/>
      <c r="I112" t="s"/>
      <c r="J112" t="n">
        <v>0</v>
      </c>
      <c r="K112" t="n">
        <v>0</v>
      </c>
      <c r="L112" t="n">
        <v>1</v>
      </c>
      <c r="M112" t="n">
        <v>0</v>
      </c>
    </row>
    <row r="113" spans="1:13">
      <c r="A113" s="1">
        <f>HYPERLINK("http://www.twitter.com/NathanBLawrence/status/1001684598437433345", "1001684598437433345")</f>
        <v/>
      </c>
      <c r="B113" s="2" t="n">
        <v>43250.19436342592</v>
      </c>
      <c r="C113" t="n">
        <v>0</v>
      </c>
      <c r="D113" t="n">
        <v>2418</v>
      </c>
      <c r="E113" t="s">
        <v>124</v>
      </c>
      <c r="F113" t="s"/>
      <c r="G113" t="s"/>
      <c r="H113" t="s"/>
      <c r="I113" t="s"/>
      <c r="J113" t="n">
        <v>0</v>
      </c>
      <c r="K113" t="n">
        <v>0</v>
      </c>
      <c r="L113" t="n">
        <v>1</v>
      </c>
      <c r="M113" t="n">
        <v>0</v>
      </c>
    </row>
    <row r="114" spans="1:13">
      <c r="A114" s="1">
        <f>HYPERLINK("http://www.twitter.com/NathanBLawrence/status/1001684422243115008", "1001684422243115008")</f>
        <v/>
      </c>
      <c r="B114" s="2" t="n">
        <v>43250.19387731481</v>
      </c>
      <c r="C114" t="n">
        <v>0</v>
      </c>
      <c r="D114" t="n">
        <v>6</v>
      </c>
      <c r="E114" t="s">
        <v>125</v>
      </c>
      <c r="F114" t="s"/>
      <c r="G114" t="s"/>
      <c r="H114" t="s"/>
      <c r="I114" t="s"/>
      <c r="J114" t="n">
        <v>-0.4767</v>
      </c>
      <c r="K114" t="n">
        <v>0.154</v>
      </c>
      <c r="L114" t="n">
        <v>0.846</v>
      </c>
      <c r="M114" t="n">
        <v>0</v>
      </c>
    </row>
    <row r="115" spans="1:13">
      <c r="A115" s="1">
        <f>HYPERLINK("http://www.twitter.com/NathanBLawrence/status/1001683942846664707", "1001683942846664707")</f>
        <v/>
      </c>
      <c r="B115" s="2" t="n">
        <v>43250.19255787037</v>
      </c>
      <c r="C115" t="n">
        <v>0</v>
      </c>
      <c r="D115" t="n">
        <v>84</v>
      </c>
      <c r="E115" t="s">
        <v>126</v>
      </c>
      <c r="F115" t="s"/>
      <c r="G115" t="s"/>
      <c r="H115" t="s"/>
      <c r="I115" t="s"/>
      <c r="J115" t="n">
        <v>-0.4215</v>
      </c>
      <c r="K115" t="n">
        <v>0.113</v>
      </c>
      <c r="L115" t="n">
        <v>0.887</v>
      </c>
      <c r="M115" t="n">
        <v>0</v>
      </c>
    </row>
    <row r="116" spans="1:13">
      <c r="A116" s="1">
        <f>HYPERLINK("http://www.twitter.com/NathanBLawrence/status/1001683926551875585", "1001683926551875585")</f>
        <v/>
      </c>
      <c r="B116" s="2" t="n">
        <v>43250.19251157407</v>
      </c>
      <c r="C116" t="n">
        <v>0</v>
      </c>
      <c r="D116" t="n">
        <v>101</v>
      </c>
      <c r="E116" t="s">
        <v>127</v>
      </c>
      <c r="F116" t="s"/>
      <c r="G116" t="s"/>
      <c r="H116" t="s"/>
      <c r="I116" t="s"/>
      <c r="J116" t="n">
        <v>0.2411</v>
      </c>
      <c r="K116" t="n">
        <v>0.057</v>
      </c>
      <c r="L116" t="n">
        <v>0.798</v>
      </c>
      <c r="M116" t="n">
        <v>0.144</v>
      </c>
    </row>
    <row r="117" spans="1:13">
      <c r="A117" s="1">
        <f>HYPERLINK("http://www.twitter.com/NathanBLawrence/status/1001683916556775425", "1001683916556775425")</f>
        <v/>
      </c>
      <c r="B117" s="2" t="n">
        <v>43250.19247685185</v>
      </c>
      <c r="C117" t="n">
        <v>0</v>
      </c>
      <c r="D117" t="n">
        <v>135</v>
      </c>
      <c r="E117" t="s">
        <v>128</v>
      </c>
      <c r="F117" t="s"/>
      <c r="G117" t="s"/>
      <c r="H117" t="s"/>
      <c r="I117" t="s"/>
      <c r="J117" t="n">
        <v>0.2263</v>
      </c>
      <c r="K117" t="n">
        <v>0.09</v>
      </c>
      <c r="L117" t="n">
        <v>0.787</v>
      </c>
      <c r="M117" t="n">
        <v>0.124</v>
      </c>
    </row>
    <row r="118" spans="1:13">
      <c r="A118" s="1">
        <f>HYPERLINK("http://www.twitter.com/NathanBLawrence/status/1001683897023959041", "1001683897023959041")</f>
        <v/>
      </c>
      <c r="B118" s="2" t="n">
        <v>43250.19243055556</v>
      </c>
      <c r="C118" t="n">
        <v>0</v>
      </c>
      <c r="D118" t="n">
        <v>984</v>
      </c>
      <c r="E118" t="s">
        <v>129</v>
      </c>
      <c r="F118" t="s"/>
      <c r="G118" t="s"/>
      <c r="H118" t="s"/>
      <c r="I118" t="s"/>
      <c r="J118" t="n">
        <v>-0.3167</v>
      </c>
      <c r="K118" t="n">
        <v>0.144</v>
      </c>
      <c r="L118" t="n">
        <v>0.761</v>
      </c>
      <c r="M118" t="n">
        <v>0.095</v>
      </c>
    </row>
    <row r="119" spans="1:13">
      <c r="A119" s="1">
        <f>HYPERLINK("http://www.twitter.com/NathanBLawrence/status/1001683627724496897", "1001683627724496897")</f>
        <v/>
      </c>
      <c r="B119" s="2" t="n">
        <v>43250.19167824074</v>
      </c>
      <c r="C119" t="n">
        <v>0</v>
      </c>
      <c r="D119" t="n">
        <v>1089</v>
      </c>
      <c r="E119" t="s">
        <v>130</v>
      </c>
      <c r="F119">
        <f>HYPERLINK("http://pbs.twimg.com/media/DeSDLQDVAAEYgef.jpg", "http://pbs.twimg.com/media/DeSDLQDVAAEYgef.jpg")</f>
        <v/>
      </c>
      <c r="G119">
        <f>HYPERLINK("http://pbs.twimg.com/media/DeSDLQDVwAA4rrP.jpg", "http://pbs.twimg.com/media/DeSDLQDVwAA4rrP.jpg")</f>
        <v/>
      </c>
      <c r="H119">
        <f>HYPERLINK("http://pbs.twimg.com/media/DeSDLQCU8AAd8lb.jpg", "http://pbs.twimg.com/media/DeSDLQCU8AAd8lb.jpg")</f>
        <v/>
      </c>
      <c r="I119" t="s"/>
      <c r="J119" t="n">
        <v>-0.07770000000000001</v>
      </c>
      <c r="K119" t="n">
        <v>0.208</v>
      </c>
      <c r="L119" t="n">
        <v>0.594</v>
      </c>
      <c r="M119" t="n">
        <v>0.198</v>
      </c>
    </row>
    <row r="120" spans="1:13">
      <c r="A120" s="1">
        <f>HYPERLINK("http://www.twitter.com/NathanBLawrence/status/1001683527740608513", "1001683527740608513")</f>
        <v/>
      </c>
      <c r="B120" s="2" t="n">
        <v>43250.19141203703</v>
      </c>
      <c r="C120" t="n">
        <v>0</v>
      </c>
      <c r="D120" t="n">
        <v>128</v>
      </c>
      <c r="E120" t="s">
        <v>131</v>
      </c>
      <c r="F120" t="s"/>
      <c r="G120" t="s"/>
      <c r="H120" t="s"/>
      <c r="I120" t="s"/>
      <c r="J120" t="n">
        <v>0.0258</v>
      </c>
      <c r="K120" t="n">
        <v>0.08799999999999999</v>
      </c>
      <c r="L120" t="n">
        <v>0.8179999999999999</v>
      </c>
      <c r="M120" t="n">
        <v>0.094</v>
      </c>
    </row>
    <row r="121" spans="1:13">
      <c r="A121" s="1">
        <f>HYPERLINK("http://www.twitter.com/NathanBLawrence/status/1001683493888413696", "1001683493888413696")</f>
        <v/>
      </c>
      <c r="B121" s="2" t="n">
        <v>43250.19130787037</v>
      </c>
      <c r="C121" t="n">
        <v>0</v>
      </c>
      <c r="D121" t="n">
        <v>1</v>
      </c>
      <c r="E121" t="s">
        <v>132</v>
      </c>
      <c r="F121" t="s"/>
      <c r="G121" t="s"/>
      <c r="H121" t="s"/>
      <c r="I121" t="s"/>
      <c r="J121" t="n">
        <v>-0.8415</v>
      </c>
      <c r="K121" t="n">
        <v>0.226</v>
      </c>
      <c r="L121" t="n">
        <v>0.774</v>
      </c>
      <c r="M121" t="n">
        <v>0</v>
      </c>
    </row>
    <row r="122" spans="1:13">
      <c r="A122" s="1">
        <f>HYPERLINK("http://www.twitter.com/NathanBLawrence/status/1001682919591759875", "1001682919591759875")</f>
        <v/>
      </c>
      <c r="B122" s="2" t="n">
        <v>43250.18973379629</v>
      </c>
      <c r="C122" t="n">
        <v>0</v>
      </c>
      <c r="D122" t="n">
        <v>530</v>
      </c>
      <c r="E122" t="s">
        <v>133</v>
      </c>
      <c r="F122">
        <f>HYPERLINK("http://pbs.twimg.com/media/DeYAfDmXkAAtxHh.jpg", "http://pbs.twimg.com/media/DeYAfDmXkAAtxHh.jpg")</f>
        <v/>
      </c>
      <c r="G122" t="s"/>
      <c r="H122" t="s"/>
      <c r="I122" t="s"/>
      <c r="J122" t="n">
        <v>0.4939</v>
      </c>
      <c r="K122" t="n">
        <v>0</v>
      </c>
      <c r="L122" t="n">
        <v>0.775</v>
      </c>
      <c r="M122" t="n">
        <v>0.225</v>
      </c>
    </row>
    <row r="123" spans="1:13">
      <c r="A123" s="1">
        <f>HYPERLINK("http://www.twitter.com/NathanBLawrence/status/1001682621154381825", "1001682621154381825")</f>
        <v/>
      </c>
      <c r="B123" s="2" t="n">
        <v>43250.18890046296</v>
      </c>
      <c r="C123" t="n">
        <v>0</v>
      </c>
      <c r="D123" t="n">
        <v>3</v>
      </c>
      <c r="E123" t="s">
        <v>134</v>
      </c>
      <c r="F123" t="s"/>
      <c r="G123" t="s"/>
      <c r="H123" t="s"/>
      <c r="I123" t="s"/>
      <c r="J123" t="n">
        <v>-0.7506</v>
      </c>
      <c r="K123" t="n">
        <v>0.291</v>
      </c>
      <c r="L123" t="n">
        <v>0.709</v>
      </c>
      <c r="M123" t="n">
        <v>0</v>
      </c>
    </row>
    <row r="124" spans="1:13">
      <c r="A124" s="1">
        <f>HYPERLINK("http://www.twitter.com/NathanBLawrence/status/1001682373598240768", "1001682373598240768")</f>
        <v/>
      </c>
      <c r="B124" s="2" t="n">
        <v>43250.18821759259</v>
      </c>
      <c r="C124" t="n">
        <v>0</v>
      </c>
      <c r="D124" t="n">
        <v>9</v>
      </c>
      <c r="E124" t="s">
        <v>135</v>
      </c>
      <c r="F124" t="s"/>
      <c r="G124" t="s"/>
      <c r="H124" t="s"/>
      <c r="I124" t="s"/>
      <c r="J124" t="n">
        <v>0</v>
      </c>
      <c r="K124" t="n">
        <v>0</v>
      </c>
      <c r="L124" t="n">
        <v>1</v>
      </c>
      <c r="M124" t="n">
        <v>0</v>
      </c>
    </row>
    <row r="125" spans="1:13">
      <c r="A125" s="1">
        <f>HYPERLINK("http://www.twitter.com/NathanBLawrence/status/1001682129825169408", "1001682129825169408")</f>
        <v/>
      </c>
      <c r="B125" s="2" t="n">
        <v>43250.1875462963</v>
      </c>
      <c r="C125" t="n">
        <v>0</v>
      </c>
      <c r="D125" t="n">
        <v>4073</v>
      </c>
      <c r="E125" t="s">
        <v>136</v>
      </c>
      <c r="F125" t="s"/>
      <c r="G125" t="s"/>
      <c r="H125" t="s"/>
      <c r="I125" t="s"/>
      <c r="J125" t="n">
        <v>0.3612</v>
      </c>
      <c r="K125" t="n">
        <v>0</v>
      </c>
      <c r="L125" t="n">
        <v>0.898</v>
      </c>
      <c r="M125" t="n">
        <v>0.102</v>
      </c>
    </row>
    <row r="126" spans="1:13">
      <c r="A126" s="1">
        <f>HYPERLINK("http://www.twitter.com/NathanBLawrence/status/1001681802619183105", "1001681802619183105")</f>
        <v/>
      </c>
      <c r="B126" s="2" t="n">
        <v>43250.18664351852</v>
      </c>
      <c r="C126" t="n">
        <v>0</v>
      </c>
      <c r="D126" t="n">
        <v>8</v>
      </c>
      <c r="E126" t="s">
        <v>137</v>
      </c>
      <c r="F126" t="s"/>
      <c r="G126" t="s"/>
      <c r="H126" t="s"/>
      <c r="I126" t="s"/>
      <c r="J126" t="n">
        <v>0.6588000000000001</v>
      </c>
      <c r="K126" t="n">
        <v>0</v>
      </c>
      <c r="L126" t="n">
        <v>0.715</v>
      </c>
      <c r="M126" t="n">
        <v>0.285</v>
      </c>
    </row>
    <row r="127" spans="1:13">
      <c r="A127" s="1">
        <f>HYPERLINK("http://www.twitter.com/NathanBLawrence/status/1001681765776416768", "1001681765776416768")</f>
        <v/>
      </c>
      <c r="B127" s="2" t="n">
        <v>43250.18653935185</v>
      </c>
      <c r="C127" t="n">
        <v>0</v>
      </c>
      <c r="D127" t="n">
        <v>4</v>
      </c>
      <c r="E127" t="s">
        <v>138</v>
      </c>
      <c r="F127" t="s"/>
      <c r="G127" t="s"/>
      <c r="H127" t="s"/>
      <c r="I127" t="s"/>
      <c r="J127" t="n">
        <v>0</v>
      </c>
      <c r="K127" t="n">
        <v>0</v>
      </c>
      <c r="L127" t="n">
        <v>1</v>
      </c>
      <c r="M127" t="n">
        <v>0</v>
      </c>
    </row>
    <row r="128" spans="1:13">
      <c r="A128" s="1">
        <f>HYPERLINK("http://www.twitter.com/NathanBLawrence/status/1001681539724468224", "1001681539724468224")</f>
        <v/>
      </c>
      <c r="B128" s="2" t="n">
        <v>43250.18592592593</v>
      </c>
      <c r="C128" t="n">
        <v>0</v>
      </c>
      <c r="D128" t="n">
        <v>7</v>
      </c>
      <c r="E128" t="s">
        <v>139</v>
      </c>
      <c r="F128" t="s"/>
      <c r="G128" t="s"/>
      <c r="H128" t="s"/>
      <c r="I128" t="s"/>
      <c r="J128" t="n">
        <v>-0.5610000000000001</v>
      </c>
      <c r="K128" t="n">
        <v>0.136</v>
      </c>
      <c r="L128" t="n">
        <v>0.864</v>
      </c>
      <c r="M128" t="n">
        <v>0</v>
      </c>
    </row>
    <row r="129" spans="1:13">
      <c r="A129" s="1">
        <f>HYPERLINK("http://www.twitter.com/NathanBLawrence/status/1001681227387109376", "1001681227387109376")</f>
        <v/>
      </c>
      <c r="B129" s="2" t="n">
        <v>43250.18505787037</v>
      </c>
      <c r="C129" t="n">
        <v>0</v>
      </c>
      <c r="D129" t="n">
        <v>13</v>
      </c>
      <c r="E129" t="s">
        <v>140</v>
      </c>
      <c r="F129" t="s"/>
      <c r="G129" t="s"/>
      <c r="H129" t="s"/>
      <c r="I129" t="s"/>
      <c r="J129" t="n">
        <v>0.4767</v>
      </c>
      <c r="K129" t="n">
        <v>0</v>
      </c>
      <c r="L129" t="n">
        <v>0.871</v>
      </c>
      <c r="M129" t="n">
        <v>0.129</v>
      </c>
    </row>
    <row r="130" spans="1:13">
      <c r="A130" s="1">
        <f>HYPERLINK("http://www.twitter.com/NathanBLawrence/status/1001681172748034051", "1001681172748034051")</f>
        <v/>
      </c>
      <c r="B130" s="2" t="n">
        <v>43250.18490740741</v>
      </c>
      <c r="C130" t="n">
        <v>0</v>
      </c>
      <c r="D130" t="n">
        <v>6</v>
      </c>
      <c r="E130" t="s">
        <v>141</v>
      </c>
      <c r="F130" t="s"/>
      <c r="G130" t="s"/>
      <c r="H130" t="s"/>
      <c r="I130" t="s"/>
      <c r="J130" t="n">
        <v>0.2263</v>
      </c>
      <c r="K130" t="n">
        <v>0</v>
      </c>
      <c r="L130" t="n">
        <v>0.84</v>
      </c>
      <c r="M130" t="n">
        <v>0.16</v>
      </c>
    </row>
    <row r="131" spans="1:13">
      <c r="A131" s="1">
        <f>HYPERLINK("http://www.twitter.com/NathanBLawrence/status/1001681141282279426", "1001681141282279426")</f>
        <v/>
      </c>
      <c r="B131" s="2" t="n">
        <v>43250.18482638889</v>
      </c>
      <c r="C131" t="n">
        <v>0</v>
      </c>
      <c r="D131" t="n">
        <v>13</v>
      </c>
      <c r="E131" t="s">
        <v>142</v>
      </c>
      <c r="F131" t="s"/>
      <c r="G131" t="s"/>
      <c r="H131" t="s"/>
      <c r="I131" t="s"/>
      <c r="J131" t="n">
        <v>0</v>
      </c>
      <c r="K131" t="n">
        <v>0</v>
      </c>
      <c r="L131" t="n">
        <v>1</v>
      </c>
      <c r="M131" t="n">
        <v>0</v>
      </c>
    </row>
    <row r="132" spans="1:13">
      <c r="A132" s="1">
        <f>HYPERLINK("http://www.twitter.com/NathanBLawrence/status/1001681077344272385", "1001681077344272385")</f>
        <v/>
      </c>
      <c r="B132" s="2" t="n">
        <v>43250.1846412037</v>
      </c>
      <c r="C132" t="n">
        <v>0</v>
      </c>
      <c r="D132" t="n">
        <v>26</v>
      </c>
      <c r="E132" t="s">
        <v>143</v>
      </c>
      <c r="F132" t="s"/>
      <c r="G132" t="s"/>
      <c r="H132" t="s"/>
      <c r="I132" t="s"/>
      <c r="J132" t="n">
        <v>0</v>
      </c>
      <c r="K132" t="n">
        <v>0</v>
      </c>
      <c r="L132" t="n">
        <v>1</v>
      </c>
      <c r="M132" t="n">
        <v>0</v>
      </c>
    </row>
    <row r="133" spans="1:13">
      <c r="A133" s="1">
        <f>HYPERLINK("http://www.twitter.com/NathanBLawrence/status/1001681011086938114", "1001681011086938114")</f>
        <v/>
      </c>
      <c r="B133" s="2" t="n">
        <v>43250.18446759259</v>
      </c>
      <c r="C133" t="n">
        <v>0</v>
      </c>
      <c r="D133" t="n">
        <v>13</v>
      </c>
      <c r="E133" t="s">
        <v>144</v>
      </c>
      <c r="F133" t="s"/>
      <c r="G133" t="s"/>
      <c r="H133" t="s"/>
      <c r="I133" t="s"/>
      <c r="J133" t="n">
        <v>-0.4939</v>
      </c>
      <c r="K133" t="n">
        <v>0.16</v>
      </c>
      <c r="L133" t="n">
        <v>0.84</v>
      </c>
      <c r="M133" t="n">
        <v>0</v>
      </c>
    </row>
    <row r="134" spans="1:13">
      <c r="A134" s="1">
        <f>HYPERLINK("http://www.twitter.com/NathanBLawrence/status/1001680938684821505", "1001680938684821505")</f>
        <v/>
      </c>
      <c r="B134" s="2" t="n">
        <v>43250.18425925926</v>
      </c>
      <c r="C134" t="n">
        <v>0</v>
      </c>
      <c r="D134" t="n">
        <v>10</v>
      </c>
      <c r="E134" t="s">
        <v>145</v>
      </c>
      <c r="F134" t="s"/>
      <c r="G134" t="s"/>
      <c r="H134" t="s"/>
      <c r="I134" t="s"/>
      <c r="J134" t="n">
        <v>0</v>
      </c>
      <c r="K134" t="n">
        <v>0</v>
      </c>
      <c r="L134" t="n">
        <v>1</v>
      </c>
      <c r="M134" t="n">
        <v>0</v>
      </c>
    </row>
    <row r="135" spans="1:13">
      <c r="A135" s="1">
        <f>HYPERLINK("http://www.twitter.com/NathanBLawrence/status/1001680848842784768", "1001680848842784768")</f>
        <v/>
      </c>
      <c r="B135" s="2" t="n">
        <v>43250.1840162037</v>
      </c>
      <c r="C135" t="n">
        <v>0</v>
      </c>
      <c r="D135" t="n">
        <v>2432</v>
      </c>
      <c r="E135" t="s">
        <v>146</v>
      </c>
      <c r="F135" t="s"/>
      <c r="G135" t="s"/>
      <c r="H135" t="s"/>
      <c r="I135" t="s"/>
      <c r="J135" t="n">
        <v>-0.8442</v>
      </c>
      <c r="K135" t="n">
        <v>0.412</v>
      </c>
      <c r="L135" t="n">
        <v>0.502</v>
      </c>
      <c r="M135" t="n">
        <v>0.08599999999999999</v>
      </c>
    </row>
    <row r="136" spans="1:13">
      <c r="A136" s="1">
        <f>HYPERLINK("http://www.twitter.com/NathanBLawrence/status/1001680588380823553", "1001680588380823553")</f>
        <v/>
      </c>
      <c r="B136" s="2" t="n">
        <v>43250.18329861111</v>
      </c>
      <c r="C136" t="n">
        <v>0</v>
      </c>
      <c r="D136" t="n">
        <v>7</v>
      </c>
      <c r="E136" t="s">
        <v>147</v>
      </c>
      <c r="F136" t="s"/>
      <c r="G136" t="s"/>
      <c r="H136" t="s"/>
      <c r="I136" t="s"/>
      <c r="J136" t="n">
        <v>-0.296</v>
      </c>
      <c r="K136" t="n">
        <v>0.155</v>
      </c>
      <c r="L136" t="n">
        <v>0.845</v>
      </c>
      <c r="M136" t="n">
        <v>0</v>
      </c>
    </row>
    <row r="137" spans="1:13">
      <c r="A137" s="1">
        <f>HYPERLINK("http://www.twitter.com/NathanBLawrence/status/1001680415432863745", "1001680415432863745")</f>
        <v/>
      </c>
      <c r="B137" s="2" t="n">
        <v>43250.18282407407</v>
      </c>
      <c r="C137" t="n">
        <v>0</v>
      </c>
      <c r="D137" t="n">
        <v>310</v>
      </c>
      <c r="E137" t="s">
        <v>148</v>
      </c>
      <c r="F137">
        <f>HYPERLINK("http://pbs.twimg.com/media/DeaNWBiU0AAxXKE.jpg", "http://pbs.twimg.com/media/DeaNWBiU0AAxXKE.jpg")</f>
        <v/>
      </c>
      <c r="G137" t="s"/>
      <c r="H137" t="s"/>
      <c r="I137" t="s"/>
      <c r="J137" t="n">
        <v>-0.8957000000000001</v>
      </c>
      <c r="K137" t="n">
        <v>0.388</v>
      </c>
      <c r="L137" t="n">
        <v>0.612</v>
      </c>
      <c r="M137" t="n">
        <v>0</v>
      </c>
    </row>
    <row r="138" spans="1:13">
      <c r="A138" s="1">
        <f>HYPERLINK("http://www.twitter.com/NathanBLawrence/status/1001680245500661765", "1001680245500661765")</f>
        <v/>
      </c>
      <c r="B138" s="2" t="n">
        <v>43250.18234953703</v>
      </c>
      <c r="C138" t="n">
        <v>0</v>
      </c>
      <c r="D138" t="n">
        <v>718</v>
      </c>
      <c r="E138" t="s">
        <v>149</v>
      </c>
      <c r="F138" t="s"/>
      <c r="G138" t="s"/>
      <c r="H138" t="s"/>
      <c r="I138" t="s"/>
      <c r="J138" t="n">
        <v>-0.5106000000000001</v>
      </c>
      <c r="K138" t="n">
        <v>0.113</v>
      </c>
      <c r="L138" t="n">
        <v>0.887</v>
      </c>
      <c r="M138" t="n">
        <v>0</v>
      </c>
    </row>
    <row r="139" spans="1:13">
      <c r="A139" s="1">
        <f>HYPERLINK("http://www.twitter.com/NathanBLawrence/status/1001680189263351814", "1001680189263351814")</f>
        <v/>
      </c>
      <c r="B139" s="2" t="n">
        <v>43250.18219907407</v>
      </c>
      <c r="C139" t="n">
        <v>0</v>
      </c>
      <c r="D139" t="n">
        <v>4091</v>
      </c>
      <c r="E139" t="s">
        <v>150</v>
      </c>
      <c r="F139" t="s"/>
      <c r="G139" t="s"/>
      <c r="H139" t="s"/>
      <c r="I139" t="s"/>
      <c r="J139" t="n">
        <v>0.2856</v>
      </c>
      <c r="K139" t="n">
        <v>0.056</v>
      </c>
      <c r="L139" t="n">
        <v>0.842</v>
      </c>
      <c r="M139" t="n">
        <v>0.102</v>
      </c>
    </row>
    <row r="140" spans="1:13">
      <c r="A140" s="1">
        <f>HYPERLINK("http://www.twitter.com/NathanBLawrence/status/1001679992936452097", "1001679992936452097")</f>
        <v/>
      </c>
      <c r="B140" s="2" t="n">
        <v>43250.18165509259</v>
      </c>
      <c r="C140" t="n">
        <v>0</v>
      </c>
      <c r="D140" t="n">
        <v>287</v>
      </c>
      <c r="E140" t="s">
        <v>151</v>
      </c>
      <c r="F140">
        <f>HYPERLINK("http://pbs.twimg.com/media/DeaT7foXUAECYeM.jpg", "http://pbs.twimg.com/media/DeaT7foXUAECYeM.jpg")</f>
        <v/>
      </c>
      <c r="G140" t="s"/>
      <c r="H140" t="s"/>
      <c r="I140" t="s"/>
      <c r="J140" t="n">
        <v>-0.1779</v>
      </c>
      <c r="K140" t="n">
        <v>0.116</v>
      </c>
      <c r="L140" t="n">
        <v>0.884</v>
      </c>
      <c r="M140" t="n">
        <v>0</v>
      </c>
    </row>
    <row r="141" spans="1:13">
      <c r="A141" s="1">
        <f>HYPERLINK("http://www.twitter.com/NathanBLawrence/status/1001679960074063874", "1001679960074063874")</f>
        <v/>
      </c>
      <c r="B141" s="2" t="n">
        <v>43250.1815625</v>
      </c>
      <c r="C141" t="n">
        <v>0</v>
      </c>
      <c r="D141" t="n">
        <v>21</v>
      </c>
      <c r="E141" t="s">
        <v>152</v>
      </c>
      <c r="F141" t="s"/>
      <c r="G141" t="s"/>
      <c r="H141" t="s"/>
      <c r="I141" t="s"/>
      <c r="J141" t="n">
        <v>-0.4939</v>
      </c>
      <c r="K141" t="n">
        <v>0.231</v>
      </c>
      <c r="L141" t="n">
        <v>0.612</v>
      </c>
      <c r="M141" t="n">
        <v>0.156</v>
      </c>
    </row>
    <row r="142" spans="1:13">
      <c r="A142" s="1">
        <f>HYPERLINK("http://www.twitter.com/NathanBLawrence/status/1001677111130841091", "1001677111130841091")</f>
        <v/>
      </c>
      <c r="B142" s="2" t="n">
        <v>43250.1737037037</v>
      </c>
      <c r="C142" t="n">
        <v>0</v>
      </c>
      <c r="D142" t="n">
        <v>82</v>
      </c>
      <c r="E142" t="s">
        <v>153</v>
      </c>
      <c r="F142" t="s"/>
      <c r="G142" t="s"/>
      <c r="H142" t="s"/>
      <c r="I142" t="s"/>
      <c r="J142" t="n">
        <v>-0.8055</v>
      </c>
      <c r="K142" t="n">
        <v>0.292</v>
      </c>
      <c r="L142" t="n">
        <v>0.708</v>
      </c>
      <c r="M142" t="n">
        <v>0</v>
      </c>
    </row>
    <row r="143" spans="1:13">
      <c r="A143" s="1">
        <f>HYPERLINK("http://www.twitter.com/NathanBLawrence/status/1001677070156615680", "1001677070156615680")</f>
        <v/>
      </c>
      <c r="B143" s="2" t="n">
        <v>43250.17358796296</v>
      </c>
      <c r="C143" t="n">
        <v>0</v>
      </c>
      <c r="D143" t="n">
        <v>718</v>
      </c>
      <c r="E143" t="s">
        <v>154</v>
      </c>
      <c r="F143" t="s"/>
      <c r="G143" t="s"/>
      <c r="H143" t="s"/>
      <c r="I143" t="s"/>
      <c r="J143" t="n">
        <v>-0.2023</v>
      </c>
      <c r="K143" t="n">
        <v>0.107</v>
      </c>
      <c r="L143" t="n">
        <v>0.893</v>
      </c>
      <c r="M143" t="n">
        <v>0</v>
      </c>
    </row>
    <row r="144" spans="1:13">
      <c r="A144" s="1">
        <f>HYPERLINK("http://www.twitter.com/NathanBLawrence/status/1001676904305438723", "1001676904305438723")</f>
        <v/>
      </c>
      <c r="B144" s="2" t="n">
        <v>43250.173125</v>
      </c>
      <c r="C144" t="n">
        <v>0</v>
      </c>
      <c r="D144" t="n">
        <v>0</v>
      </c>
      <c r="E144" t="s">
        <v>155</v>
      </c>
      <c r="F144" t="s"/>
      <c r="G144" t="s"/>
      <c r="H144" t="s"/>
      <c r="I144" t="s"/>
      <c r="J144" t="n">
        <v>-0.5266999999999999</v>
      </c>
      <c r="K144" t="n">
        <v>0.093</v>
      </c>
      <c r="L144" t="n">
        <v>0.907</v>
      </c>
      <c r="M144" t="n">
        <v>0</v>
      </c>
    </row>
    <row r="145" spans="1:13">
      <c r="A145" s="1">
        <f>HYPERLINK("http://www.twitter.com/NathanBLawrence/status/1001676605134123010", "1001676605134123010")</f>
        <v/>
      </c>
      <c r="B145" s="2" t="n">
        <v>43250.17230324074</v>
      </c>
      <c r="C145" t="n">
        <v>0</v>
      </c>
      <c r="D145" t="n">
        <v>598</v>
      </c>
      <c r="E145" t="s">
        <v>156</v>
      </c>
      <c r="F145" t="s"/>
      <c r="G145" t="s"/>
      <c r="H145" t="s"/>
      <c r="I145" t="s"/>
      <c r="J145" t="n">
        <v>0</v>
      </c>
      <c r="K145" t="n">
        <v>0</v>
      </c>
      <c r="L145" t="n">
        <v>1</v>
      </c>
      <c r="M145" t="n">
        <v>0</v>
      </c>
    </row>
    <row r="146" spans="1:13">
      <c r="A146" s="1">
        <f>HYPERLINK("http://www.twitter.com/NathanBLawrence/status/1001676337415933959", "1001676337415933959")</f>
        <v/>
      </c>
      <c r="B146" s="2" t="n">
        <v>43250.1715625</v>
      </c>
      <c r="C146" t="n">
        <v>0</v>
      </c>
      <c r="D146" t="n">
        <v>174</v>
      </c>
      <c r="E146" t="s">
        <v>157</v>
      </c>
      <c r="F146" t="s"/>
      <c r="G146" t="s"/>
      <c r="H146" t="s"/>
      <c r="I146" t="s"/>
      <c r="J146" t="n">
        <v>-0.296</v>
      </c>
      <c r="K146" t="n">
        <v>0.08699999999999999</v>
      </c>
      <c r="L146" t="n">
        <v>0.913</v>
      </c>
      <c r="M146" t="n">
        <v>0</v>
      </c>
    </row>
    <row r="147" spans="1:13">
      <c r="A147" s="1">
        <f>HYPERLINK("http://www.twitter.com/NathanBLawrence/status/1001676265445908482", "1001676265445908482")</f>
        <v/>
      </c>
      <c r="B147" s="2" t="n">
        <v>43250.17136574074</v>
      </c>
      <c r="C147" t="n">
        <v>0</v>
      </c>
      <c r="D147" t="n">
        <v>286</v>
      </c>
      <c r="E147" t="s">
        <v>158</v>
      </c>
      <c r="F147" t="s"/>
      <c r="G147" t="s"/>
      <c r="H147" t="s"/>
      <c r="I147" t="s"/>
      <c r="J147" t="n">
        <v>-0.5709</v>
      </c>
      <c r="K147" t="n">
        <v>0.156</v>
      </c>
      <c r="L147" t="n">
        <v>0.844</v>
      </c>
      <c r="M147" t="n">
        <v>0</v>
      </c>
    </row>
    <row r="148" spans="1:13">
      <c r="A148" s="1">
        <f>HYPERLINK("http://www.twitter.com/NathanBLawrence/status/1001676212631232512", "1001676212631232512")</f>
        <v/>
      </c>
      <c r="B148" s="2" t="n">
        <v>43250.17121527778</v>
      </c>
      <c r="C148" t="n">
        <v>0</v>
      </c>
      <c r="D148" t="n">
        <v>90</v>
      </c>
      <c r="E148" t="s">
        <v>159</v>
      </c>
      <c r="F148" t="s"/>
      <c r="G148" t="s"/>
      <c r="H148" t="s"/>
      <c r="I148" t="s"/>
      <c r="J148" t="n">
        <v>0</v>
      </c>
      <c r="K148" t="n">
        <v>0</v>
      </c>
      <c r="L148" t="n">
        <v>1</v>
      </c>
      <c r="M148" t="n">
        <v>0</v>
      </c>
    </row>
    <row r="149" spans="1:13">
      <c r="A149" s="1">
        <f>HYPERLINK("http://www.twitter.com/NathanBLawrence/status/1001675830626541569", "1001675830626541569")</f>
        <v/>
      </c>
      <c r="B149" s="2" t="n">
        <v>43250.17016203704</v>
      </c>
      <c r="C149" t="n">
        <v>0</v>
      </c>
      <c r="D149" t="n">
        <v>424</v>
      </c>
      <c r="E149" t="s">
        <v>160</v>
      </c>
      <c r="F149" t="s"/>
      <c r="G149" t="s"/>
      <c r="H149" t="s"/>
      <c r="I149" t="s"/>
      <c r="J149" t="n">
        <v>0</v>
      </c>
      <c r="K149" t="n">
        <v>0</v>
      </c>
      <c r="L149" t="n">
        <v>1</v>
      </c>
      <c r="M149" t="n">
        <v>0</v>
      </c>
    </row>
    <row r="150" spans="1:13">
      <c r="A150" s="1">
        <f>HYPERLINK("http://www.twitter.com/NathanBLawrence/status/1001675361791479808", "1001675361791479808")</f>
        <v/>
      </c>
      <c r="B150" s="2" t="n">
        <v>43250.16887731481</v>
      </c>
      <c r="C150" t="n">
        <v>0</v>
      </c>
      <c r="D150" t="n">
        <v>294</v>
      </c>
      <c r="E150" t="s">
        <v>161</v>
      </c>
      <c r="F150" t="s"/>
      <c r="G150" t="s"/>
      <c r="H150" t="s"/>
      <c r="I150" t="s"/>
      <c r="J150" t="n">
        <v>-0.2924</v>
      </c>
      <c r="K150" t="n">
        <v>0.304</v>
      </c>
      <c r="L150" t="n">
        <v>0.696</v>
      </c>
      <c r="M150" t="n">
        <v>0</v>
      </c>
    </row>
    <row r="151" spans="1:13">
      <c r="A151" s="1">
        <f>HYPERLINK("http://www.twitter.com/NathanBLawrence/status/1001675108816244736", "1001675108816244736")</f>
        <v/>
      </c>
      <c r="B151" s="2" t="n">
        <v>43250.1681712963</v>
      </c>
      <c r="C151" t="n">
        <v>0</v>
      </c>
      <c r="D151" t="n">
        <v>2495</v>
      </c>
      <c r="E151" t="s">
        <v>162</v>
      </c>
      <c r="F151">
        <f>HYPERLINK("https://video.twimg.com/ext_tw_video/1001486670926000128/pu/vid/1280x720/ivtMVLhjI2_S7BVS.mp4?tag=3", "https://video.twimg.com/ext_tw_video/1001486670926000128/pu/vid/1280x720/ivtMVLhjI2_S7BVS.mp4?tag=3")</f>
        <v/>
      </c>
      <c r="G151" t="s"/>
      <c r="H151" t="s"/>
      <c r="I151" t="s"/>
      <c r="J151" t="n">
        <v>0</v>
      </c>
      <c r="K151" t="n">
        <v>0</v>
      </c>
      <c r="L151" t="n">
        <v>1</v>
      </c>
      <c r="M151" t="n">
        <v>0</v>
      </c>
    </row>
    <row r="152" spans="1:13">
      <c r="A152" s="1">
        <f>HYPERLINK("http://www.twitter.com/NathanBLawrence/status/1001675079481221121", "1001675079481221121")</f>
        <v/>
      </c>
      <c r="B152" s="2" t="n">
        <v>43250.16809027778</v>
      </c>
      <c r="C152" t="n">
        <v>0</v>
      </c>
      <c r="D152" t="n">
        <v>1846</v>
      </c>
      <c r="E152" t="s">
        <v>163</v>
      </c>
      <c r="F152" t="s"/>
      <c r="G152" t="s"/>
      <c r="H152" t="s"/>
      <c r="I152" t="s"/>
      <c r="J152" t="n">
        <v>0</v>
      </c>
      <c r="K152" t="n">
        <v>0</v>
      </c>
      <c r="L152" t="n">
        <v>1</v>
      </c>
      <c r="M152" t="n">
        <v>0</v>
      </c>
    </row>
    <row r="153" spans="1:13">
      <c r="A153" s="1">
        <f>HYPERLINK("http://www.twitter.com/NathanBLawrence/status/1001674653813952512", "1001674653813952512")</f>
        <v/>
      </c>
      <c r="B153" s="2" t="n">
        <v>43250.1669212963</v>
      </c>
      <c r="C153" t="n">
        <v>0</v>
      </c>
      <c r="D153" t="n">
        <v>25724</v>
      </c>
      <c r="E153" t="s">
        <v>164</v>
      </c>
      <c r="F153" t="s"/>
      <c r="G153" t="s"/>
      <c r="H153" t="s"/>
      <c r="I153" t="s"/>
      <c r="J153" t="n">
        <v>0.5423</v>
      </c>
      <c r="K153" t="n">
        <v>0.076</v>
      </c>
      <c r="L153" t="n">
        <v>0.727</v>
      </c>
      <c r="M153" t="n">
        <v>0.197</v>
      </c>
    </row>
    <row r="154" spans="1:13">
      <c r="A154" s="1">
        <f>HYPERLINK("http://www.twitter.com/NathanBLawrence/status/1001674517834616832", "1001674517834616832")</f>
        <v/>
      </c>
      <c r="B154" s="2" t="n">
        <v>43250.16653935185</v>
      </c>
      <c r="C154" t="n">
        <v>0</v>
      </c>
      <c r="D154" t="n">
        <v>532</v>
      </c>
      <c r="E154" t="s">
        <v>165</v>
      </c>
      <c r="F154" t="s"/>
      <c r="G154" t="s"/>
      <c r="H154" t="s"/>
      <c r="I154" t="s"/>
      <c r="J154" t="n">
        <v>-0.5266999999999999</v>
      </c>
      <c r="K154" t="n">
        <v>0.18</v>
      </c>
      <c r="L154" t="n">
        <v>0.82</v>
      </c>
      <c r="M154" t="n">
        <v>0</v>
      </c>
    </row>
    <row r="155" spans="1:13">
      <c r="A155" s="1">
        <f>HYPERLINK("http://www.twitter.com/NathanBLawrence/status/1001674387555344385", "1001674387555344385")</f>
        <v/>
      </c>
      <c r="B155" s="2" t="n">
        <v>43250.16618055556</v>
      </c>
      <c r="C155" t="n">
        <v>0</v>
      </c>
      <c r="D155" t="n">
        <v>12</v>
      </c>
      <c r="E155" t="s">
        <v>166</v>
      </c>
      <c r="F155" t="s"/>
      <c r="G155" t="s"/>
      <c r="H155" t="s"/>
      <c r="I155" t="s"/>
      <c r="J155" t="n">
        <v>0.5106000000000001</v>
      </c>
      <c r="K155" t="n">
        <v>0</v>
      </c>
      <c r="L155" t="n">
        <v>0.87</v>
      </c>
      <c r="M155" t="n">
        <v>0.13</v>
      </c>
    </row>
    <row r="156" spans="1:13">
      <c r="A156" s="1">
        <f>HYPERLINK("http://www.twitter.com/NathanBLawrence/status/1001674145413914626", "1001674145413914626")</f>
        <v/>
      </c>
      <c r="B156" s="2" t="n">
        <v>43250.16552083333</v>
      </c>
      <c r="C156" t="n">
        <v>0</v>
      </c>
      <c r="D156" t="n">
        <v>599</v>
      </c>
      <c r="E156" t="s">
        <v>167</v>
      </c>
      <c r="F156">
        <f>HYPERLINK("http://pbs.twimg.com/media/Dd_OPQvW0AAKYCQ.jpg", "http://pbs.twimg.com/media/Dd_OPQvW0AAKYCQ.jpg")</f>
        <v/>
      </c>
      <c r="G156" t="s"/>
      <c r="H156" t="s"/>
      <c r="I156" t="s"/>
      <c r="J156" t="n">
        <v>0.6369</v>
      </c>
      <c r="K156" t="n">
        <v>0</v>
      </c>
      <c r="L156" t="n">
        <v>0.802</v>
      </c>
      <c r="M156" t="n">
        <v>0.198</v>
      </c>
    </row>
    <row r="157" spans="1:13">
      <c r="A157" s="1">
        <f>HYPERLINK("http://www.twitter.com/NathanBLawrence/status/1001673962345127937", "1001673962345127937")</f>
        <v/>
      </c>
      <c r="B157" s="2" t="n">
        <v>43250.16501157408</v>
      </c>
      <c r="C157" t="n">
        <v>0</v>
      </c>
      <c r="D157" t="n">
        <v>371</v>
      </c>
      <c r="E157" t="s">
        <v>168</v>
      </c>
      <c r="F157">
        <f>HYPERLINK("http://pbs.twimg.com/media/DeYgcABWAAEcsbc.jpg", "http://pbs.twimg.com/media/DeYgcABWAAEcsbc.jpg")</f>
        <v/>
      </c>
      <c r="G157" t="s"/>
      <c r="H157" t="s"/>
      <c r="I157" t="s"/>
      <c r="J157" t="n">
        <v>-0.1027</v>
      </c>
      <c r="K157" t="n">
        <v>0.08500000000000001</v>
      </c>
      <c r="L157" t="n">
        <v>0.915</v>
      </c>
      <c r="M157" t="n">
        <v>0</v>
      </c>
    </row>
    <row r="158" spans="1:13">
      <c r="A158" s="1">
        <f>HYPERLINK("http://www.twitter.com/NathanBLawrence/status/1001673832028131328", "1001673832028131328")</f>
        <v/>
      </c>
      <c r="B158" s="2" t="n">
        <v>43250.16465277778</v>
      </c>
      <c r="C158" t="n">
        <v>0</v>
      </c>
      <c r="D158" t="n">
        <v>7</v>
      </c>
      <c r="E158" t="s">
        <v>169</v>
      </c>
      <c r="F158" t="s"/>
      <c r="G158" t="s"/>
      <c r="H158" t="s"/>
      <c r="I158" t="s"/>
      <c r="J158" t="n">
        <v>0.3089</v>
      </c>
      <c r="K158" t="n">
        <v>0</v>
      </c>
      <c r="L158" t="n">
        <v>0.889</v>
      </c>
      <c r="M158" t="n">
        <v>0.111</v>
      </c>
    </row>
    <row r="159" spans="1:13">
      <c r="A159" s="1">
        <f>HYPERLINK("http://www.twitter.com/NathanBLawrence/status/1001673789464367105", "1001673789464367105")</f>
        <v/>
      </c>
      <c r="B159" s="2" t="n">
        <v>43250.16453703704</v>
      </c>
      <c r="C159" t="n">
        <v>0</v>
      </c>
      <c r="D159" t="n">
        <v>310</v>
      </c>
      <c r="E159" t="s">
        <v>170</v>
      </c>
      <c r="F159" t="s"/>
      <c r="G159" t="s"/>
      <c r="H159" t="s"/>
      <c r="I159" t="s"/>
      <c r="J159" t="n">
        <v>0.5266999999999999</v>
      </c>
      <c r="K159" t="n">
        <v>0</v>
      </c>
      <c r="L159" t="n">
        <v>0.871</v>
      </c>
      <c r="M159" t="n">
        <v>0.129</v>
      </c>
    </row>
    <row r="160" spans="1:13">
      <c r="A160" s="1">
        <f>HYPERLINK("http://www.twitter.com/NathanBLawrence/status/1001673606345175040", "1001673606345175040")</f>
        <v/>
      </c>
      <c r="B160" s="2" t="n">
        <v>43250.16402777778</v>
      </c>
      <c r="C160" t="n">
        <v>0</v>
      </c>
      <c r="D160" t="n">
        <v>337</v>
      </c>
      <c r="E160" t="s">
        <v>171</v>
      </c>
      <c r="F160" t="s"/>
      <c r="G160" t="s"/>
      <c r="H160" t="s"/>
      <c r="I160" t="s"/>
      <c r="J160" t="n">
        <v>0.2023</v>
      </c>
      <c r="K160" t="n">
        <v>0</v>
      </c>
      <c r="L160" t="n">
        <v>0.924</v>
      </c>
      <c r="M160" t="n">
        <v>0.076</v>
      </c>
    </row>
    <row r="161" spans="1:13">
      <c r="A161" s="1">
        <f>HYPERLINK("http://www.twitter.com/NathanBLawrence/status/1001673484353835008", "1001673484353835008")</f>
        <v/>
      </c>
      <c r="B161" s="2" t="n">
        <v>43250.16369212963</v>
      </c>
      <c r="C161" t="n">
        <v>0</v>
      </c>
      <c r="D161" t="n">
        <v>155</v>
      </c>
      <c r="E161" t="s">
        <v>172</v>
      </c>
      <c r="F161" t="s"/>
      <c r="G161" t="s"/>
      <c r="H161" t="s"/>
      <c r="I161" t="s"/>
      <c r="J161" t="n">
        <v>-0.6369</v>
      </c>
      <c r="K161" t="n">
        <v>0.198</v>
      </c>
      <c r="L161" t="n">
        <v>0.802</v>
      </c>
      <c r="M161" t="n">
        <v>0</v>
      </c>
    </row>
    <row r="162" spans="1:13">
      <c r="A162" s="1">
        <f>HYPERLINK("http://www.twitter.com/NathanBLawrence/status/1001673446416363520", "1001673446416363520")</f>
        <v/>
      </c>
      <c r="B162" s="2" t="n">
        <v>43250.16358796296</v>
      </c>
      <c r="C162" t="n">
        <v>0</v>
      </c>
      <c r="D162" t="n">
        <v>252</v>
      </c>
      <c r="E162" t="s">
        <v>173</v>
      </c>
      <c r="F162">
        <f>HYPERLINK("http://pbs.twimg.com/media/DeCVrE_X0AAUw6D.jpg", "http://pbs.twimg.com/media/DeCVrE_X0AAUw6D.jpg")</f>
        <v/>
      </c>
      <c r="G162" t="s"/>
      <c r="H162" t="s"/>
      <c r="I162" t="s"/>
      <c r="J162" t="n">
        <v>0.2023</v>
      </c>
      <c r="K162" t="n">
        <v>0</v>
      </c>
      <c r="L162" t="n">
        <v>0.917</v>
      </c>
      <c r="M162" t="n">
        <v>0.083</v>
      </c>
    </row>
    <row r="163" spans="1:13">
      <c r="A163" s="1">
        <f>HYPERLINK("http://www.twitter.com/NathanBLawrence/status/1001673421439283200", "1001673421439283200")</f>
        <v/>
      </c>
      <c r="B163" s="2" t="n">
        <v>43250.16351851852</v>
      </c>
      <c r="C163" t="n">
        <v>0</v>
      </c>
      <c r="D163" t="n">
        <v>384</v>
      </c>
      <c r="E163" t="s">
        <v>174</v>
      </c>
      <c r="F163" t="s"/>
      <c r="G163" t="s"/>
      <c r="H163" t="s"/>
      <c r="I163" t="s"/>
      <c r="J163" t="n">
        <v>0.3182</v>
      </c>
      <c r="K163" t="n">
        <v>0</v>
      </c>
      <c r="L163" t="n">
        <v>0.909</v>
      </c>
      <c r="M163" t="n">
        <v>0.091</v>
      </c>
    </row>
    <row r="164" spans="1:13">
      <c r="A164" s="1">
        <f>HYPERLINK("http://www.twitter.com/NathanBLawrence/status/1001673395682062339", "1001673395682062339")</f>
        <v/>
      </c>
      <c r="B164" s="2" t="n">
        <v>43250.16344907408</v>
      </c>
      <c r="C164" t="n">
        <v>0</v>
      </c>
      <c r="D164" t="n">
        <v>245</v>
      </c>
      <c r="E164" t="s">
        <v>175</v>
      </c>
      <c r="F164">
        <f>HYPERLINK("http://pbs.twimg.com/media/DeCQgUrXcAELfxh.jpg", "http://pbs.twimg.com/media/DeCQgUrXcAELfxh.jpg")</f>
        <v/>
      </c>
      <c r="G164">
        <f>HYPERLINK("http://pbs.twimg.com/media/DeCSwaJW0AI-Uke.jpg", "http://pbs.twimg.com/media/DeCSwaJW0AI-Uke.jpg")</f>
        <v/>
      </c>
      <c r="H164" t="s"/>
      <c r="I164" t="s"/>
      <c r="J164" t="n">
        <v>0.128</v>
      </c>
      <c r="K164" t="n">
        <v>0</v>
      </c>
      <c r="L164" t="n">
        <v>0.923</v>
      </c>
      <c r="M164" t="n">
        <v>0.077</v>
      </c>
    </row>
    <row r="165" spans="1:13">
      <c r="A165" s="1">
        <f>HYPERLINK("http://www.twitter.com/NathanBLawrence/status/1001673174105427968", "1001673174105427968")</f>
        <v/>
      </c>
      <c r="B165" s="2" t="n">
        <v>43250.16283564815</v>
      </c>
      <c r="C165" t="n">
        <v>0</v>
      </c>
      <c r="D165" t="n">
        <v>75</v>
      </c>
      <c r="E165" t="s">
        <v>176</v>
      </c>
      <c r="F165">
        <f>HYPERLINK("http://pbs.twimg.com/media/DeaP3jNW0AAfCmm.jpg", "http://pbs.twimg.com/media/DeaP3jNW0AAfCmm.jpg")</f>
        <v/>
      </c>
      <c r="G165" t="s"/>
      <c r="H165" t="s"/>
      <c r="I165" t="s"/>
      <c r="J165" t="n">
        <v>0</v>
      </c>
      <c r="K165" t="n">
        <v>0</v>
      </c>
      <c r="L165" t="n">
        <v>1</v>
      </c>
      <c r="M165" t="n">
        <v>0</v>
      </c>
    </row>
    <row r="166" spans="1:13">
      <c r="A166" s="1">
        <f>HYPERLINK("http://www.twitter.com/NathanBLawrence/status/1001672845905350658", "1001672845905350658")</f>
        <v/>
      </c>
      <c r="B166" s="2" t="n">
        <v>43250.16193287037</v>
      </c>
      <c r="C166" t="n">
        <v>0</v>
      </c>
      <c r="D166" t="n">
        <v>1</v>
      </c>
      <c r="E166" t="s">
        <v>177</v>
      </c>
      <c r="F166" t="s"/>
      <c r="G166" t="s"/>
      <c r="H166" t="s"/>
      <c r="I166" t="s"/>
      <c r="J166" t="n">
        <v>-0.34</v>
      </c>
      <c r="K166" t="n">
        <v>0.32</v>
      </c>
      <c r="L166" t="n">
        <v>0.5</v>
      </c>
      <c r="M166" t="n">
        <v>0.18</v>
      </c>
    </row>
    <row r="167" spans="1:13">
      <c r="A167" s="1">
        <f>HYPERLINK("http://www.twitter.com/NathanBLawrence/status/1001672830604447744", "1001672830604447744")</f>
        <v/>
      </c>
      <c r="B167" s="2" t="n">
        <v>43250.16188657407</v>
      </c>
      <c r="C167" t="n">
        <v>0</v>
      </c>
      <c r="D167" t="n">
        <v>411</v>
      </c>
      <c r="E167" t="s">
        <v>178</v>
      </c>
      <c r="F167" t="s"/>
      <c r="G167" t="s"/>
      <c r="H167" t="s"/>
      <c r="I167" t="s"/>
      <c r="J167" t="n">
        <v>0.128</v>
      </c>
      <c r="K167" t="n">
        <v>0.091</v>
      </c>
      <c r="L167" t="n">
        <v>0.801</v>
      </c>
      <c r="M167" t="n">
        <v>0.108</v>
      </c>
    </row>
    <row r="168" spans="1:13">
      <c r="A168" s="1">
        <f>HYPERLINK("http://www.twitter.com/NathanBLawrence/status/1001672718356549632", "1001672718356549632")</f>
        <v/>
      </c>
      <c r="B168" s="2" t="n">
        <v>43250.16157407407</v>
      </c>
      <c r="C168" t="n">
        <v>0</v>
      </c>
      <c r="D168" t="n">
        <v>74</v>
      </c>
      <c r="E168" t="s">
        <v>179</v>
      </c>
      <c r="F168" t="s"/>
      <c r="G168" t="s"/>
      <c r="H168" t="s"/>
      <c r="I168" t="s"/>
      <c r="J168" t="n">
        <v>0.5266999999999999</v>
      </c>
      <c r="K168" t="n">
        <v>0</v>
      </c>
      <c r="L168" t="n">
        <v>0.841</v>
      </c>
      <c r="M168" t="n">
        <v>0.159</v>
      </c>
    </row>
    <row r="169" spans="1:13">
      <c r="A169" s="1">
        <f>HYPERLINK("http://www.twitter.com/NathanBLawrence/status/1001672671304802304", "1001672671304802304")</f>
        <v/>
      </c>
      <c r="B169" s="2" t="n">
        <v>43250.16144675926</v>
      </c>
      <c r="C169" t="n">
        <v>0</v>
      </c>
      <c r="D169" t="n">
        <v>35</v>
      </c>
      <c r="E169" t="s">
        <v>180</v>
      </c>
      <c r="F169" t="s"/>
      <c r="G169" t="s"/>
      <c r="H169" t="s"/>
      <c r="I169" t="s"/>
      <c r="J169" t="n">
        <v>0</v>
      </c>
      <c r="K169" t="n">
        <v>0</v>
      </c>
      <c r="L169" t="n">
        <v>1</v>
      </c>
      <c r="M169" t="n">
        <v>0</v>
      </c>
    </row>
    <row r="170" spans="1:13">
      <c r="A170" s="1">
        <f>HYPERLINK("http://www.twitter.com/NathanBLawrence/status/1001671951176339457", "1001671951176339457")</f>
        <v/>
      </c>
      <c r="B170" s="2" t="n">
        <v>43250.15945601852</v>
      </c>
      <c r="C170" t="n">
        <v>0</v>
      </c>
      <c r="D170" t="n">
        <v>25</v>
      </c>
      <c r="E170" t="s">
        <v>181</v>
      </c>
      <c r="F170" t="s"/>
      <c r="G170" t="s"/>
      <c r="H170" t="s"/>
      <c r="I170" t="s"/>
      <c r="J170" t="n">
        <v>-0.5423</v>
      </c>
      <c r="K170" t="n">
        <v>0.333</v>
      </c>
      <c r="L170" t="n">
        <v>0.667</v>
      </c>
      <c r="M170" t="n">
        <v>0</v>
      </c>
    </row>
    <row r="171" spans="1:13">
      <c r="A171" s="1">
        <f>HYPERLINK("http://www.twitter.com/NathanBLawrence/status/1001671935720349698", "1001671935720349698")</f>
        <v/>
      </c>
      <c r="B171" s="2" t="n">
        <v>43250.1594212963</v>
      </c>
      <c r="C171" t="n">
        <v>0</v>
      </c>
      <c r="D171" t="n">
        <v>324</v>
      </c>
      <c r="E171" t="s">
        <v>182</v>
      </c>
      <c r="F171" t="s"/>
      <c r="G171" t="s"/>
      <c r="H171" t="s"/>
      <c r="I171" t="s"/>
      <c r="J171" t="n">
        <v>-0.5719</v>
      </c>
      <c r="K171" t="n">
        <v>0.179</v>
      </c>
      <c r="L171" t="n">
        <v>0.821</v>
      </c>
      <c r="M171" t="n">
        <v>0</v>
      </c>
    </row>
    <row r="172" spans="1:13">
      <c r="A172" s="1">
        <f>HYPERLINK("http://www.twitter.com/NathanBLawrence/status/1001671835182911488", "1001671835182911488")</f>
        <v/>
      </c>
      <c r="B172" s="2" t="n">
        <v>43250.15914351852</v>
      </c>
      <c r="C172" t="n">
        <v>0</v>
      </c>
      <c r="D172" t="n">
        <v>136</v>
      </c>
      <c r="E172" t="s">
        <v>183</v>
      </c>
      <c r="F172" t="s"/>
      <c r="G172" t="s"/>
      <c r="H172" t="s"/>
      <c r="I172" t="s"/>
      <c r="J172" t="n">
        <v>0.5266999999999999</v>
      </c>
      <c r="K172" t="n">
        <v>0</v>
      </c>
      <c r="L172" t="n">
        <v>0.855</v>
      </c>
      <c r="M172" t="n">
        <v>0.145</v>
      </c>
    </row>
    <row r="173" spans="1:13">
      <c r="A173" s="1">
        <f>HYPERLINK("http://www.twitter.com/NathanBLawrence/status/1001671748587270144", "1001671748587270144")</f>
        <v/>
      </c>
      <c r="B173" s="2" t="n">
        <v>43250.15890046296</v>
      </c>
      <c r="C173" t="n">
        <v>0</v>
      </c>
      <c r="D173" t="n">
        <v>45</v>
      </c>
      <c r="E173" t="s">
        <v>184</v>
      </c>
      <c r="F173" t="s"/>
      <c r="G173" t="s"/>
      <c r="H173" t="s"/>
      <c r="I173" t="s"/>
      <c r="J173" t="n">
        <v>0.6322</v>
      </c>
      <c r="K173" t="n">
        <v>0</v>
      </c>
      <c r="L173" t="n">
        <v>0.828</v>
      </c>
      <c r="M173" t="n">
        <v>0.172</v>
      </c>
    </row>
    <row r="174" spans="1:13">
      <c r="A174" s="1">
        <f>HYPERLINK("http://www.twitter.com/NathanBLawrence/status/1001671653334581248", "1001671653334581248")</f>
        <v/>
      </c>
      <c r="B174" s="2" t="n">
        <v>43250.15863425926</v>
      </c>
      <c r="C174" t="n">
        <v>0</v>
      </c>
      <c r="D174" t="n">
        <v>5943</v>
      </c>
      <c r="E174" t="s">
        <v>185</v>
      </c>
      <c r="F174" t="s"/>
      <c r="G174" t="s"/>
      <c r="H174" t="s"/>
      <c r="I174" t="s"/>
      <c r="J174" t="n">
        <v>-0.296</v>
      </c>
      <c r="K174" t="n">
        <v>0.186</v>
      </c>
      <c r="L174" t="n">
        <v>0.6820000000000001</v>
      </c>
      <c r="M174" t="n">
        <v>0.132</v>
      </c>
    </row>
    <row r="175" spans="1:13">
      <c r="A175" s="1">
        <f>HYPERLINK("http://www.twitter.com/NathanBLawrence/status/1001671527551700998", "1001671527551700998")</f>
        <v/>
      </c>
      <c r="B175" s="2" t="n">
        <v>43250.15828703704</v>
      </c>
      <c r="C175" t="n">
        <v>0</v>
      </c>
      <c r="D175" t="n">
        <v>882</v>
      </c>
      <c r="E175" t="s">
        <v>186</v>
      </c>
      <c r="F175">
        <f>HYPERLINK("http://pbs.twimg.com/media/DGKe4dsUQAA3uqt.jpg", "http://pbs.twimg.com/media/DGKe4dsUQAA3uqt.jpg")</f>
        <v/>
      </c>
      <c r="G175" t="s"/>
      <c r="H175" t="s"/>
      <c r="I175" t="s"/>
      <c r="J175" t="n">
        <v>-0.1027</v>
      </c>
      <c r="K175" t="n">
        <v>0.065</v>
      </c>
      <c r="L175" t="n">
        <v>0.9350000000000001</v>
      </c>
      <c r="M175" t="n">
        <v>0</v>
      </c>
    </row>
    <row r="176" spans="1:13">
      <c r="A176" s="1">
        <f>HYPERLINK("http://www.twitter.com/NathanBLawrence/status/1001671497780482049", "1001671497780482049")</f>
        <v/>
      </c>
      <c r="B176" s="2" t="n">
        <v>43250.15820601852</v>
      </c>
      <c r="C176" t="n">
        <v>0</v>
      </c>
      <c r="D176" t="n">
        <v>137</v>
      </c>
      <c r="E176" t="s">
        <v>187</v>
      </c>
      <c r="F176" t="s"/>
      <c r="G176" t="s"/>
      <c r="H176" t="s"/>
      <c r="I176" t="s"/>
      <c r="J176" t="n">
        <v>0</v>
      </c>
      <c r="K176" t="n">
        <v>0</v>
      </c>
      <c r="L176" t="n">
        <v>1</v>
      </c>
      <c r="M176" t="n">
        <v>0</v>
      </c>
    </row>
    <row r="177" spans="1:13">
      <c r="A177" s="1">
        <f>HYPERLINK("http://www.twitter.com/NathanBLawrence/status/1001671470257524736", "1001671470257524736")</f>
        <v/>
      </c>
      <c r="B177" s="2" t="n">
        <v>43250.15813657407</v>
      </c>
      <c r="C177" t="n">
        <v>0</v>
      </c>
      <c r="D177" t="n">
        <v>463</v>
      </c>
      <c r="E177" t="s">
        <v>188</v>
      </c>
      <c r="F177" t="s"/>
      <c r="G177" t="s"/>
      <c r="H177" t="s"/>
      <c r="I177" t="s"/>
      <c r="J177" t="n">
        <v>0.25</v>
      </c>
      <c r="K177" t="n">
        <v>0</v>
      </c>
      <c r="L177" t="n">
        <v>0.895</v>
      </c>
      <c r="M177" t="n">
        <v>0.105</v>
      </c>
    </row>
    <row r="178" spans="1:13">
      <c r="A178" s="1">
        <f>HYPERLINK("http://www.twitter.com/NathanBLawrence/status/1001671383544401924", "1001671383544401924")</f>
        <v/>
      </c>
      <c r="B178" s="2" t="n">
        <v>43250.15789351852</v>
      </c>
      <c r="C178" t="n">
        <v>0</v>
      </c>
      <c r="D178" t="n">
        <v>288</v>
      </c>
      <c r="E178" t="s">
        <v>189</v>
      </c>
      <c r="F178" t="s"/>
      <c r="G178" t="s"/>
      <c r="H178" t="s"/>
      <c r="I178" t="s"/>
      <c r="J178" t="n">
        <v>0</v>
      </c>
      <c r="K178" t="n">
        <v>0.183</v>
      </c>
      <c r="L178" t="n">
        <v>0.669</v>
      </c>
      <c r="M178" t="n">
        <v>0.148</v>
      </c>
    </row>
    <row r="179" spans="1:13">
      <c r="A179" s="1">
        <f>HYPERLINK("http://www.twitter.com/NathanBLawrence/status/1001671205030711298", "1001671205030711298")</f>
        <v/>
      </c>
      <c r="B179" s="2" t="n">
        <v>43250.15740740741</v>
      </c>
      <c r="C179" t="n">
        <v>0</v>
      </c>
      <c r="D179" t="n">
        <v>318</v>
      </c>
      <c r="E179" t="s">
        <v>190</v>
      </c>
      <c r="F179" t="s"/>
      <c r="G179" t="s"/>
      <c r="H179" t="s"/>
      <c r="I179" t="s"/>
      <c r="J179" t="n">
        <v>0.4939</v>
      </c>
      <c r="K179" t="n">
        <v>0.07000000000000001</v>
      </c>
      <c r="L179" t="n">
        <v>0.778</v>
      </c>
      <c r="M179" t="n">
        <v>0.152</v>
      </c>
    </row>
    <row r="180" spans="1:13">
      <c r="A180" s="1">
        <f>HYPERLINK("http://www.twitter.com/NathanBLawrence/status/1001671124067942401", "1001671124067942401")</f>
        <v/>
      </c>
      <c r="B180" s="2" t="n">
        <v>43250.15717592592</v>
      </c>
      <c r="C180" t="n">
        <v>0</v>
      </c>
      <c r="D180" t="n">
        <v>173</v>
      </c>
      <c r="E180" t="s">
        <v>191</v>
      </c>
      <c r="F180">
        <f>HYPERLINK("https://video.twimg.com/amplify_video/1001648523685826560/vid/1280x720/lRFt1fOJpQqyxKW1.mp4?tag=2", "https://video.twimg.com/amplify_video/1001648523685826560/vid/1280x720/lRFt1fOJpQqyxKW1.mp4?tag=2")</f>
        <v/>
      </c>
      <c r="G180" t="s"/>
      <c r="H180" t="s"/>
      <c r="I180" t="s"/>
      <c r="J180" t="n">
        <v>0.6249</v>
      </c>
      <c r="K180" t="n">
        <v>0</v>
      </c>
      <c r="L180" t="n">
        <v>0.806</v>
      </c>
      <c r="M180" t="n">
        <v>0.194</v>
      </c>
    </row>
    <row r="181" spans="1:13">
      <c r="A181" s="1">
        <f>HYPERLINK("http://www.twitter.com/NathanBLawrence/status/1001671080120127488", "1001671080120127488")</f>
        <v/>
      </c>
      <c r="B181" s="2" t="n">
        <v>43250.15706018519</v>
      </c>
      <c r="C181" t="n">
        <v>0</v>
      </c>
      <c r="D181" t="n">
        <v>1556</v>
      </c>
      <c r="E181" t="s">
        <v>192</v>
      </c>
      <c r="F181" t="s"/>
      <c r="G181" t="s"/>
      <c r="H181" t="s"/>
      <c r="I181" t="s"/>
      <c r="J181" t="n">
        <v>0</v>
      </c>
      <c r="K181" t="n">
        <v>0</v>
      </c>
      <c r="L181" t="n">
        <v>1</v>
      </c>
      <c r="M181" t="n">
        <v>0</v>
      </c>
    </row>
    <row r="182" spans="1:13">
      <c r="A182" s="1">
        <f>HYPERLINK("http://www.twitter.com/NathanBLawrence/status/1001670851220135942", "1001670851220135942")</f>
        <v/>
      </c>
      <c r="B182" s="2" t="n">
        <v>43250.15642361111</v>
      </c>
      <c r="C182" t="n">
        <v>0</v>
      </c>
      <c r="D182" t="n">
        <v>2812</v>
      </c>
      <c r="E182" t="s">
        <v>193</v>
      </c>
      <c r="F182" t="s"/>
      <c r="G182" t="s"/>
      <c r="H182" t="s"/>
      <c r="I182" t="s"/>
      <c r="J182" t="n">
        <v>-0.296</v>
      </c>
      <c r="K182" t="n">
        <v>0.136</v>
      </c>
      <c r="L182" t="n">
        <v>0.772</v>
      </c>
      <c r="M182" t="n">
        <v>0.092</v>
      </c>
    </row>
    <row r="183" spans="1:13">
      <c r="A183" s="1">
        <f>HYPERLINK("http://www.twitter.com/NathanBLawrence/status/1001670782043475969", "1001670782043475969")</f>
        <v/>
      </c>
      <c r="B183" s="2" t="n">
        <v>43250.15623842592</v>
      </c>
      <c r="C183" t="n">
        <v>0</v>
      </c>
      <c r="D183" t="n">
        <v>133</v>
      </c>
      <c r="E183" t="s">
        <v>194</v>
      </c>
      <c r="F183" t="s"/>
      <c r="G183" t="s"/>
      <c r="H183" t="s"/>
      <c r="I183" t="s"/>
      <c r="J183" t="n">
        <v>0</v>
      </c>
      <c r="K183" t="n">
        <v>0</v>
      </c>
      <c r="L183" t="n">
        <v>1</v>
      </c>
      <c r="M183" t="n">
        <v>0</v>
      </c>
    </row>
    <row r="184" spans="1:13">
      <c r="A184" s="1">
        <f>HYPERLINK("http://www.twitter.com/NathanBLawrence/status/1001670677567623168", "1001670677567623168")</f>
        <v/>
      </c>
      <c r="B184" s="2" t="n">
        <v>43250.15594907408</v>
      </c>
      <c r="C184" t="n">
        <v>0</v>
      </c>
      <c r="D184" t="n">
        <v>289</v>
      </c>
      <c r="E184" t="s">
        <v>195</v>
      </c>
      <c r="F184">
        <f>HYPERLINK("http://pbs.twimg.com/media/DePEXanWAAYr-Qz.jpg", "http://pbs.twimg.com/media/DePEXanWAAYr-Qz.jpg")</f>
        <v/>
      </c>
      <c r="G184" t="s"/>
      <c r="H184" t="s"/>
      <c r="I184" t="s"/>
      <c r="J184" t="n">
        <v>0.2263</v>
      </c>
      <c r="K184" t="n">
        <v>0</v>
      </c>
      <c r="L184" t="n">
        <v>0.909</v>
      </c>
      <c r="M184" t="n">
        <v>0.091</v>
      </c>
    </row>
    <row r="185" spans="1:13">
      <c r="A185" s="1">
        <f>HYPERLINK("http://www.twitter.com/NathanBLawrence/status/1001670640116666369", "1001670640116666369")</f>
        <v/>
      </c>
      <c r="B185" s="2" t="n">
        <v>43250.15584490741</v>
      </c>
      <c r="C185" t="n">
        <v>0</v>
      </c>
      <c r="D185" t="n">
        <v>266</v>
      </c>
      <c r="E185" t="s">
        <v>196</v>
      </c>
      <c r="F185" t="s"/>
      <c r="G185" t="s"/>
      <c r="H185" t="s"/>
      <c r="I185" t="s"/>
      <c r="J185" t="n">
        <v>-0.1531</v>
      </c>
      <c r="K185" t="n">
        <v>0.159</v>
      </c>
      <c r="L185" t="n">
        <v>0.741</v>
      </c>
      <c r="M185" t="n">
        <v>0.1</v>
      </c>
    </row>
    <row r="186" spans="1:13">
      <c r="A186" s="1">
        <f>HYPERLINK("http://www.twitter.com/NathanBLawrence/status/1001670530771103744", "1001670530771103744")</f>
        <v/>
      </c>
      <c r="B186" s="2" t="n">
        <v>43250.15554398148</v>
      </c>
      <c r="C186" t="n">
        <v>0</v>
      </c>
      <c r="D186" t="n">
        <v>554</v>
      </c>
      <c r="E186" t="s">
        <v>197</v>
      </c>
      <c r="F186" t="s"/>
      <c r="G186" t="s"/>
      <c r="H186" t="s"/>
      <c r="I186" t="s"/>
      <c r="J186" t="n">
        <v>0.4939</v>
      </c>
      <c r="K186" t="n">
        <v>0</v>
      </c>
      <c r="L186" t="n">
        <v>0.789</v>
      </c>
      <c r="M186" t="n">
        <v>0.211</v>
      </c>
    </row>
    <row r="187" spans="1:13">
      <c r="A187" s="1">
        <f>HYPERLINK("http://www.twitter.com/NathanBLawrence/status/1001670493227880449", "1001670493227880449")</f>
        <v/>
      </c>
      <c r="B187" s="2" t="n">
        <v>43250.15543981481</v>
      </c>
      <c r="C187" t="n">
        <v>0</v>
      </c>
      <c r="D187" t="n">
        <v>253</v>
      </c>
      <c r="E187" t="s">
        <v>198</v>
      </c>
      <c r="F187" t="s"/>
      <c r="G187" t="s"/>
      <c r="H187" t="s"/>
      <c r="I187" t="s"/>
      <c r="J187" t="n">
        <v>0</v>
      </c>
      <c r="K187" t="n">
        <v>0</v>
      </c>
      <c r="L187" t="n">
        <v>1</v>
      </c>
      <c r="M187" t="n">
        <v>0</v>
      </c>
    </row>
    <row r="188" spans="1:13">
      <c r="A188" s="1">
        <f>HYPERLINK("http://www.twitter.com/NathanBLawrence/status/1001670387330093056", "1001670387330093056")</f>
        <v/>
      </c>
      <c r="B188" s="2" t="n">
        <v>43250.15515046296</v>
      </c>
      <c r="C188" t="n">
        <v>0</v>
      </c>
      <c r="D188" t="n">
        <v>2962</v>
      </c>
      <c r="E188" t="s">
        <v>199</v>
      </c>
      <c r="F188" t="s"/>
      <c r="G188" t="s"/>
      <c r="H188" t="s"/>
      <c r="I188" t="s"/>
      <c r="J188" t="n">
        <v>0</v>
      </c>
      <c r="K188" t="n">
        <v>0</v>
      </c>
      <c r="L188" t="n">
        <v>1</v>
      </c>
      <c r="M188" t="n">
        <v>0</v>
      </c>
    </row>
    <row r="189" spans="1:13">
      <c r="A189" s="1">
        <f>HYPERLINK("http://www.twitter.com/NathanBLawrence/status/1001670301531475971", "1001670301531475971")</f>
        <v/>
      </c>
      <c r="B189" s="2" t="n">
        <v>43250.15490740741</v>
      </c>
      <c r="C189" t="n">
        <v>0</v>
      </c>
      <c r="D189" t="n">
        <v>0</v>
      </c>
      <c r="E189" t="s">
        <v>200</v>
      </c>
      <c r="F189" t="s"/>
      <c r="G189" t="s"/>
      <c r="H189" t="s"/>
      <c r="I189" t="s"/>
      <c r="J189" t="n">
        <v>0</v>
      </c>
      <c r="K189" t="n">
        <v>0</v>
      </c>
      <c r="L189" t="n">
        <v>1</v>
      </c>
      <c r="M189" t="n">
        <v>0</v>
      </c>
    </row>
    <row r="190" spans="1:13">
      <c r="A190" s="1">
        <f>HYPERLINK("http://www.twitter.com/NathanBLawrence/status/1001669637355048962", "1001669637355048962")</f>
        <v/>
      </c>
      <c r="B190" s="2" t="n">
        <v>43250.1530787037</v>
      </c>
      <c r="C190" t="n">
        <v>0</v>
      </c>
      <c r="D190" t="n">
        <v>693</v>
      </c>
      <c r="E190" t="s">
        <v>201</v>
      </c>
      <c r="F190" t="s"/>
      <c r="G190" t="s"/>
      <c r="H190" t="s"/>
      <c r="I190" t="s"/>
      <c r="J190" t="n">
        <v>0.0258</v>
      </c>
      <c r="K190" t="n">
        <v>0</v>
      </c>
      <c r="L190" t="n">
        <v>0.959</v>
      </c>
      <c r="M190" t="n">
        <v>0.041</v>
      </c>
    </row>
    <row r="191" spans="1:13">
      <c r="A191" s="1">
        <f>HYPERLINK("http://www.twitter.com/NathanBLawrence/status/1001669563753357312", "1001669563753357312")</f>
        <v/>
      </c>
      <c r="B191" s="2" t="n">
        <v>43250.15287037037</v>
      </c>
      <c r="C191" t="n">
        <v>0</v>
      </c>
      <c r="D191" t="n">
        <v>243</v>
      </c>
      <c r="E191" t="s">
        <v>202</v>
      </c>
      <c r="F191" t="s"/>
      <c r="G191" t="s"/>
      <c r="H191" t="s"/>
      <c r="I191" t="s"/>
      <c r="J191" t="n">
        <v>-0.802</v>
      </c>
      <c r="K191" t="n">
        <v>0.375</v>
      </c>
      <c r="L191" t="n">
        <v>0.625</v>
      </c>
      <c r="M191" t="n">
        <v>0</v>
      </c>
    </row>
    <row r="192" spans="1:13">
      <c r="A192" s="1">
        <f>HYPERLINK("http://www.twitter.com/NathanBLawrence/status/1001669358962212866", "1001669358962212866")</f>
        <v/>
      </c>
      <c r="B192" s="2" t="n">
        <v>43250.15230324074</v>
      </c>
      <c r="C192" t="n">
        <v>0</v>
      </c>
      <c r="D192" t="n">
        <v>697</v>
      </c>
      <c r="E192" t="s">
        <v>203</v>
      </c>
      <c r="F192" t="s"/>
      <c r="G192" t="s"/>
      <c r="H192" t="s"/>
      <c r="I192" t="s"/>
      <c r="J192" t="n">
        <v>-0.5266999999999999</v>
      </c>
      <c r="K192" t="n">
        <v>0.145</v>
      </c>
      <c r="L192" t="n">
        <v>0.855</v>
      </c>
      <c r="M192" t="n">
        <v>0</v>
      </c>
    </row>
    <row r="193" spans="1:13">
      <c r="A193" s="1">
        <f>HYPERLINK("http://www.twitter.com/NathanBLawrence/status/1001669309108752386", "1001669309108752386")</f>
        <v/>
      </c>
      <c r="B193" s="2" t="n">
        <v>43250.15217592593</v>
      </c>
      <c r="C193" t="n">
        <v>0</v>
      </c>
      <c r="D193" t="n">
        <v>164</v>
      </c>
      <c r="E193" t="s">
        <v>204</v>
      </c>
      <c r="F193" t="s"/>
      <c r="G193" t="s"/>
      <c r="H193" t="s"/>
      <c r="I193" t="s"/>
      <c r="J193" t="n">
        <v>0</v>
      </c>
      <c r="K193" t="n">
        <v>0</v>
      </c>
      <c r="L193" t="n">
        <v>1</v>
      </c>
      <c r="M193" t="n">
        <v>0</v>
      </c>
    </row>
    <row r="194" spans="1:13">
      <c r="A194" s="1">
        <f>HYPERLINK("http://www.twitter.com/NathanBLawrence/status/1001669242004045827", "1001669242004045827")</f>
        <v/>
      </c>
      <c r="B194" s="2" t="n">
        <v>43250.15199074074</v>
      </c>
      <c r="C194" t="n">
        <v>0</v>
      </c>
      <c r="D194" t="n">
        <v>29</v>
      </c>
      <c r="E194" t="s">
        <v>205</v>
      </c>
      <c r="F194" t="s"/>
      <c r="G194" t="s"/>
      <c r="H194" t="s"/>
      <c r="I194" t="s"/>
      <c r="J194" t="n">
        <v>0.8588</v>
      </c>
      <c r="K194" t="n">
        <v>0</v>
      </c>
      <c r="L194" t="n">
        <v>0.667</v>
      </c>
      <c r="M194" t="n">
        <v>0.333</v>
      </c>
    </row>
    <row r="195" spans="1:13">
      <c r="A195" s="1">
        <f>HYPERLINK("http://www.twitter.com/NathanBLawrence/status/1001669207954743296", "1001669207954743296")</f>
        <v/>
      </c>
      <c r="B195" s="2" t="n">
        <v>43250.15188657407</v>
      </c>
      <c r="C195" t="n">
        <v>0</v>
      </c>
      <c r="D195" t="n">
        <v>215</v>
      </c>
      <c r="E195" t="s">
        <v>206</v>
      </c>
      <c r="F195" t="s"/>
      <c r="G195" t="s"/>
      <c r="H195" t="s"/>
      <c r="I195" t="s"/>
      <c r="J195" t="n">
        <v>0.802</v>
      </c>
      <c r="K195" t="n">
        <v>0</v>
      </c>
      <c r="L195" t="n">
        <v>0.714</v>
      </c>
      <c r="M195" t="n">
        <v>0.286</v>
      </c>
    </row>
    <row r="196" spans="1:13">
      <c r="A196" s="1">
        <f>HYPERLINK("http://www.twitter.com/NathanBLawrence/status/1001669124353941504", "1001669124353941504")</f>
        <v/>
      </c>
      <c r="B196" s="2" t="n">
        <v>43250.15166666666</v>
      </c>
      <c r="C196" t="n">
        <v>0</v>
      </c>
      <c r="D196" t="n">
        <v>347</v>
      </c>
      <c r="E196" t="s">
        <v>207</v>
      </c>
      <c r="F196" t="s"/>
      <c r="G196" t="s"/>
      <c r="H196" t="s"/>
      <c r="I196" t="s"/>
      <c r="J196" t="n">
        <v>0</v>
      </c>
      <c r="K196" t="n">
        <v>0</v>
      </c>
      <c r="L196" t="n">
        <v>1</v>
      </c>
      <c r="M196" t="n">
        <v>0</v>
      </c>
    </row>
    <row r="197" spans="1:13">
      <c r="A197" s="1">
        <f>HYPERLINK("http://www.twitter.com/NathanBLawrence/status/1001669010830888960", "1001669010830888960")</f>
        <v/>
      </c>
      <c r="B197" s="2" t="n">
        <v>43250.1513425926</v>
      </c>
      <c r="C197" t="n">
        <v>0</v>
      </c>
      <c r="D197" t="n">
        <v>230</v>
      </c>
      <c r="E197" t="s">
        <v>208</v>
      </c>
      <c r="F197" t="s"/>
      <c r="G197" t="s"/>
      <c r="H197" t="s"/>
      <c r="I197" t="s"/>
      <c r="J197" t="n">
        <v>0.128</v>
      </c>
      <c r="K197" t="n">
        <v>0</v>
      </c>
      <c r="L197" t="n">
        <v>0.857</v>
      </c>
      <c r="M197" t="n">
        <v>0.143</v>
      </c>
    </row>
    <row r="198" spans="1:13">
      <c r="A198" s="1">
        <f>HYPERLINK("http://www.twitter.com/NathanBLawrence/status/1001668908888350722", "1001668908888350722")</f>
        <v/>
      </c>
      <c r="B198" s="2" t="n">
        <v>43250.15106481482</v>
      </c>
      <c r="C198" t="n">
        <v>0</v>
      </c>
      <c r="D198" t="n">
        <v>155</v>
      </c>
      <c r="E198" t="s">
        <v>209</v>
      </c>
      <c r="F198" t="s"/>
      <c r="G198" t="s"/>
      <c r="H198" t="s"/>
      <c r="I198" t="s"/>
      <c r="J198" t="n">
        <v>0.2023</v>
      </c>
      <c r="K198" t="n">
        <v>0.094</v>
      </c>
      <c r="L198" t="n">
        <v>0.779</v>
      </c>
      <c r="M198" t="n">
        <v>0.127</v>
      </c>
    </row>
    <row r="199" spans="1:13">
      <c r="A199" s="1">
        <f>HYPERLINK("http://www.twitter.com/NathanBLawrence/status/1001668850654629888", "1001668850654629888")</f>
        <v/>
      </c>
      <c r="B199" s="2" t="n">
        <v>43250.15090277778</v>
      </c>
      <c r="C199" t="n">
        <v>0</v>
      </c>
      <c r="D199" t="n">
        <v>479</v>
      </c>
      <c r="E199" t="s">
        <v>210</v>
      </c>
      <c r="F199" t="s"/>
      <c r="G199" t="s"/>
      <c r="H199" t="s"/>
      <c r="I199" t="s"/>
      <c r="J199" t="n">
        <v>-0.5266999999999999</v>
      </c>
      <c r="K199" t="n">
        <v>0.207</v>
      </c>
      <c r="L199" t="n">
        <v>0.793</v>
      </c>
      <c r="M199" t="n">
        <v>0</v>
      </c>
    </row>
    <row r="200" spans="1:13">
      <c r="A200" s="1">
        <f>HYPERLINK("http://www.twitter.com/NathanBLawrence/status/1001668742869372929", "1001668742869372929")</f>
        <v/>
      </c>
      <c r="B200" s="2" t="n">
        <v>43250.15061342593</v>
      </c>
      <c r="C200" t="n">
        <v>0</v>
      </c>
      <c r="D200" t="n">
        <v>1244</v>
      </c>
      <c r="E200" t="s">
        <v>211</v>
      </c>
      <c r="F200" t="s"/>
      <c r="G200" t="s"/>
      <c r="H200" t="s"/>
      <c r="I200" t="s"/>
      <c r="J200" t="n">
        <v>0.4019</v>
      </c>
      <c r="K200" t="n">
        <v>0</v>
      </c>
      <c r="L200" t="n">
        <v>0.838</v>
      </c>
      <c r="M200" t="n">
        <v>0.162</v>
      </c>
    </row>
    <row r="201" spans="1:13">
      <c r="A201" s="1">
        <f>HYPERLINK("http://www.twitter.com/NathanBLawrence/status/1001668665371217921", "1001668665371217921")</f>
        <v/>
      </c>
      <c r="B201" s="2" t="n">
        <v>43250.15039351852</v>
      </c>
      <c r="C201" t="n">
        <v>0</v>
      </c>
      <c r="D201" t="n">
        <v>22</v>
      </c>
      <c r="E201" t="s">
        <v>212</v>
      </c>
      <c r="F201" t="s"/>
      <c r="G201" t="s"/>
      <c r="H201" t="s"/>
      <c r="I201" t="s"/>
      <c r="J201" t="n">
        <v>-0.5994</v>
      </c>
      <c r="K201" t="n">
        <v>0.187</v>
      </c>
      <c r="L201" t="n">
        <v>0.8129999999999999</v>
      </c>
      <c r="M201" t="n">
        <v>0</v>
      </c>
    </row>
    <row r="202" spans="1:13">
      <c r="A202" s="1">
        <f>HYPERLINK("http://www.twitter.com/NathanBLawrence/status/1001668615417073664", "1001668615417073664")</f>
        <v/>
      </c>
      <c r="B202" s="2" t="n">
        <v>43250.15025462963</v>
      </c>
      <c r="C202" t="n">
        <v>0</v>
      </c>
      <c r="D202" t="n">
        <v>80</v>
      </c>
      <c r="E202" t="s">
        <v>213</v>
      </c>
      <c r="F202" t="s"/>
      <c r="G202" t="s"/>
      <c r="H202" t="s"/>
      <c r="I202" t="s"/>
      <c r="J202" t="n">
        <v>-0.6739000000000001</v>
      </c>
      <c r="K202" t="n">
        <v>0.165</v>
      </c>
      <c r="L202" t="n">
        <v>0.835</v>
      </c>
      <c r="M202" t="n">
        <v>0</v>
      </c>
    </row>
    <row r="203" spans="1:13">
      <c r="A203" s="1">
        <f>HYPERLINK("http://www.twitter.com/NathanBLawrence/status/1001668498865704962", "1001668498865704962")</f>
        <v/>
      </c>
      <c r="B203" s="2" t="n">
        <v>43250.14993055556</v>
      </c>
      <c r="C203" t="n">
        <v>0</v>
      </c>
      <c r="D203" t="n">
        <v>539</v>
      </c>
      <c r="E203" t="s">
        <v>214</v>
      </c>
      <c r="F203" t="s"/>
      <c r="G203" t="s"/>
      <c r="H203" t="s"/>
      <c r="I203" t="s"/>
      <c r="J203" t="n">
        <v>0</v>
      </c>
      <c r="K203" t="n">
        <v>0</v>
      </c>
      <c r="L203" t="n">
        <v>1</v>
      </c>
      <c r="M203" t="n">
        <v>0</v>
      </c>
    </row>
    <row r="204" spans="1:13">
      <c r="A204" s="1">
        <f>HYPERLINK("http://www.twitter.com/NathanBLawrence/status/1001668030626222082", "1001668030626222082")</f>
        <v/>
      </c>
      <c r="B204" s="2" t="n">
        <v>43250.14864583333</v>
      </c>
      <c r="C204" t="n">
        <v>0</v>
      </c>
      <c r="D204" t="n">
        <v>206</v>
      </c>
      <c r="E204" t="s">
        <v>215</v>
      </c>
      <c r="F204" t="s"/>
      <c r="G204" t="s"/>
      <c r="H204" t="s"/>
      <c r="I204" t="s"/>
      <c r="J204" t="n">
        <v>-0.2617</v>
      </c>
      <c r="K204" t="n">
        <v>0.152</v>
      </c>
      <c r="L204" t="n">
        <v>0.848</v>
      </c>
      <c r="M204" t="n">
        <v>0</v>
      </c>
    </row>
    <row r="205" spans="1:13">
      <c r="A205" s="1">
        <f>HYPERLINK("http://www.twitter.com/NathanBLawrence/status/1001667919909212161", "1001667919909212161")</f>
        <v/>
      </c>
      <c r="B205" s="2" t="n">
        <v>43250.14833333333</v>
      </c>
      <c r="C205" t="n">
        <v>0</v>
      </c>
      <c r="D205" t="n">
        <v>410</v>
      </c>
      <c r="E205" t="s">
        <v>216</v>
      </c>
      <c r="F205">
        <f>HYPERLINK("http://pbs.twimg.com/media/DeXYzVpX4AAJt9U.jpg", "http://pbs.twimg.com/media/DeXYzVpX4AAJt9U.jpg")</f>
        <v/>
      </c>
      <c r="G205" t="s"/>
      <c r="H205" t="s"/>
      <c r="I205" t="s"/>
      <c r="J205" t="n">
        <v>-0.34</v>
      </c>
      <c r="K205" t="n">
        <v>0.118</v>
      </c>
      <c r="L205" t="n">
        <v>0.882</v>
      </c>
      <c r="M205" t="n">
        <v>0</v>
      </c>
    </row>
    <row r="206" spans="1:13">
      <c r="A206" s="1">
        <f>HYPERLINK("http://www.twitter.com/NathanBLawrence/status/1001667873616596998", "1001667873616596998")</f>
        <v/>
      </c>
      <c r="B206" s="2" t="n">
        <v>43250.14820601852</v>
      </c>
      <c r="C206" t="n">
        <v>0</v>
      </c>
      <c r="D206" t="n">
        <v>44</v>
      </c>
      <c r="E206" t="s">
        <v>217</v>
      </c>
      <c r="F206" t="s"/>
      <c r="G206" t="s"/>
      <c r="H206" t="s"/>
      <c r="I206" t="s"/>
      <c r="J206" t="n">
        <v>0</v>
      </c>
      <c r="K206" t="n">
        <v>0</v>
      </c>
      <c r="L206" t="n">
        <v>1</v>
      </c>
      <c r="M206" t="n">
        <v>0</v>
      </c>
    </row>
    <row r="207" spans="1:13">
      <c r="A207" s="1">
        <f>HYPERLINK("http://www.twitter.com/NathanBLawrence/status/1001667838678044674", "1001667838678044674")</f>
        <v/>
      </c>
      <c r="B207" s="2" t="n">
        <v>43250.14811342592</v>
      </c>
      <c r="C207" t="n">
        <v>0</v>
      </c>
      <c r="D207" t="n">
        <v>703</v>
      </c>
      <c r="E207" t="s">
        <v>218</v>
      </c>
      <c r="F207" t="s"/>
      <c r="G207" t="s"/>
      <c r="H207" t="s"/>
      <c r="I207" t="s"/>
      <c r="J207" t="n">
        <v>0.5106000000000001</v>
      </c>
      <c r="K207" t="n">
        <v>0</v>
      </c>
      <c r="L207" t="n">
        <v>0.875</v>
      </c>
      <c r="M207" t="n">
        <v>0.125</v>
      </c>
    </row>
    <row r="208" spans="1:13">
      <c r="A208" s="1">
        <f>HYPERLINK("http://www.twitter.com/NathanBLawrence/status/1001667619102035969", "1001667619102035969")</f>
        <v/>
      </c>
      <c r="B208" s="2" t="n">
        <v>43250.14751157408</v>
      </c>
      <c r="C208" t="n">
        <v>0</v>
      </c>
      <c r="D208" t="n">
        <v>568</v>
      </c>
      <c r="E208" t="s">
        <v>219</v>
      </c>
      <c r="F208" t="s"/>
      <c r="G208" t="s"/>
      <c r="H208" t="s"/>
      <c r="I208" t="s"/>
      <c r="J208" t="n">
        <v>0.0498</v>
      </c>
      <c r="K208" t="n">
        <v>0.108</v>
      </c>
      <c r="L208" t="n">
        <v>0.778</v>
      </c>
      <c r="M208" t="n">
        <v>0.115</v>
      </c>
    </row>
    <row r="209" spans="1:13">
      <c r="A209" s="1">
        <f>HYPERLINK("http://www.twitter.com/NathanBLawrence/status/1001667509521612800", "1001667509521612800")</f>
        <v/>
      </c>
      <c r="B209" s="2" t="n">
        <v>43250.14721064815</v>
      </c>
      <c r="C209" t="n">
        <v>0</v>
      </c>
      <c r="D209" t="n">
        <v>3962</v>
      </c>
      <c r="E209" t="s">
        <v>220</v>
      </c>
      <c r="F209">
        <f>HYPERLINK("https://video.twimg.com/amplify_video/1001291197896318976/vid/1280x720/RCsqSqs0SXe3juaN.mp4?tag=2", "https://video.twimg.com/amplify_video/1001291197896318976/vid/1280x720/RCsqSqs0SXe3juaN.mp4?tag=2")</f>
        <v/>
      </c>
      <c r="G209" t="s"/>
      <c r="H209" t="s"/>
      <c r="I209" t="s"/>
      <c r="J209" t="n">
        <v>0.5994</v>
      </c>
      <c r="K209" t="n">
        <v>0</v>
      </c>
      <c r="L209" t="n">
        <v>0.86</v>
      </c>
      <c r="M209" t="n">
        <v>0.14</v>
      </c>
    </row>
    <row r="210" spans="1:13">
      <c r="A210" s="1">
        <f>HYPERLINK("http://www.twitter.com/NathanBLawrence/status/1001667484573978625", "1001667484573978625")</f>
        <v/>
      </c>
      <c r="B210" s="2" t="n">
        <v>43250.14714120371</v>
      </c>
      <c r="C210" t="n">
        <v>0</v>
      </c>
      <c r="D210" t="n">
        <v>31911</v>
      </c>
      <c r="E210" t="s">
        <v>221</v>
      </c>
      <c r="F210" t="s"/>
      <c r="G210" t="s"/>
      <c r="H210" t="s"/>
      <c r="I210" t="s"/>
      <c r="J210" t="n">
        <v>0.0772</v>
      </c>
      <c r="K210" t="n">
        <v>0.098</v>
      </c>
      <c r="L210" t="n">
        <v>0.792</v>
      </c>
      <c r="M210" t="n">
        <v>0.109</v>
      </c>
    </row>
    <row r="211" spans="1:13">
      <c r="A211" s="1">
        <f>HYPERLINK("http://www.twitter.com/NathanBLawrence/status/1001667460259512320", "1001667460259512320")</f>
        <v/>
      </c>
      <c r="B211" s="2" t="n">
        <v>43250.14707175926</v>
      </c>
      <c r="C211" t="n">
        <v>0</v>
      </c>
      <c r="D211" t="n">
        <v>1026</v>
      </c>
      <c r="E211" t="s">
        <v>222</v>
      </c>
      <c r="F211" t="s"/>
      <c r="G211" t="s"/>
      <c r="H211" t="s"/>
      <c r="I211" t="s"/>
      <c r="J211" t="n">
        <v>0.5975</v>
      </c>
      <c r="K211" t="n">
        <v>0.215</v>
      </c>
      <c r="L211" t="n">
        <v>0.482</v>
      </c>
      <c r="M211" t="n">
        <v>0.302</v>
      </c>
    </row>
    <row r="212" spans="1:13">
      <c r="A212" s="1">
        <f>HYPERLINK("http://www.twitter.com/NathanBLawrence/status/1001667429448192006", "1001667429448192006")</f>
        <v/>
      </c>
      <c r="B212" s="2" t="n">
        <v>43250.14697916667</v>
      </c>
      <c r="C212" t="n">
        <v>0</v>
      </c>
      <c r="D212" t="n">
        <v>2582</v>
      </c>
      <c r="E212" t="s">
        <v>223</v>
      </c>
      <c r="F212" t="s"/>
      <c r="G212" t="s"/>
      <c r="H212" t="s"/>
      <c r="I212" t="s"/>
      <c r="J212" t="n">
        <v>0.4767</v>
      </c>
      <c r="K212" t="n">
        <v>0</v>
      </c>
      <c r="L212" t="n">
        <v>0.78</v>
      </c>
      <c r="M212" t="n">
        <v>0.22</v>
      </c>
    </row>
    <row r="213" spans="1:13">
      <c r="A213" s="1">
        <f>HYPERLINK("http://www.twitter.com/NathanBLawrence/status/1001667173398532097", "1001667173398532097")</f>
        <v/>
      </c>
      <c r="B213" s="2" t="n">
        <v>43250.14627314815</v>
      </c>
      <c r="C213" t="n">
        <v>0</v>
      </c>
      <c r="D213" t="n">
        <v>1</v>
      </c>
      <c r="E213" t="s">
        <v>224</v>
      </c>
      <c r="F213" t="s"/>
      <c r="G213" t="s"/>
      <c r="H213" t="s"/>
      <c r="I213" t="s"/>
      <c r="J213" t="n">
        <v>0.7096</v>
      </c>
      <c r="K213" t="n">
        <v>0</v>
      </c>
      <c r="L213" t="n">
        <v>0.718</v>
      </c>
      <c r="M213" t="n">
        <v>0.282</v>
      </c>
    </row>
    <row r="214" spans="1:13">
      <c r="A214" s="1">
        <f>HYPERLINK("http://www.twitter.com/NathanBLawrence/status/1001666893370089472", "1001666893370089472")</f>
        <v/>
      </c>
      <c r="B214" s="2" t="n">
        <v>43250.14550925926</v>
      </c>
      <c r="C214" t="n">
        <v>0</v>
      </c>
      <c r="D214" t="n">
        <v>2</v>
      </c>
      <c r="E214" t="s">
        <v>225</v>
      </c>
      <c r="F214">
        <f>HYPERLINK("http://pbs.twimg.com/media/DeafT2oV0AAlohs.jpg", "http://pbs.twimg.com/media/DeafT2oV0AAlohs.jpg")</f>
        <v/>
      </c>
      <c r="G214" t="s"/>
      <c r="H214" t="s"/>
      <c r="I214" t="s"/>
      <c r="J214" t="n">
        <v>-0.743</v>
      </c>
      <c r="K214" t="n">
        <v>0.31</v>
      </c>
      <c r="L214" t="n">
        <v>0.6899999999999999</v>
      </c>
      <c r="M214" t="n">
        <v>0</v>
      </c>
    </row>
    <row r="215" spans="1:13">
      <c r="A215" s="1">
        <f>HYPERLINK("http://www.twitter.com/NathanBLawrence/status/1001645775447838720", "1001645775447838720")</f>
        <v/>
      </c>
      <c r="B215" s="2" t="n">
        <v>43250.08723379629</v>
      </c>
      <c r="C215" t="n">
        <v>0</v>
      </c>
      <c r="D215" t="n">
        <v>997</v>
      </c>
      <c r="E215" t="s">
        <v>226</v>
      </c>
      <c r="F215" t="s"/>
      <c r="G215" t="s"/>
      <c r="H215" t="s"/>
      <c r="I215" t="s"/>
      <c r="J215" t="n">
        <v>0.8324</v>
      </c>
      <c r="K215" t="n">
        <v>0</v>
      </c>
      <c r="L215" t="n">
        <v>0.681</v>
      </c>
      <c r="M215" t="n">
        <v>0.319</v>
      </c>
    </row>
    <row r="216" spans="1:13">
      <c r="A216" s="1">
        <f>HYPERLINK("http://www.twitter.com/NathanBLawrence/status/1001645429954662400", "1001645429954662400")</f>
        <v/>
      </c>
      <c r="B216" s="2" t="n">
        <v>43250.08627314815</v>
      </c>
      <c r="C216" t="n">
        <v>0</v>
      </c>
      <c r="D216" t="n">
        <v>666</v>
      </c>
      <c r="E216" t="s">
        <v>227</v>
      </c>
      <c r="F216">
        <f>HYPERLINK("http://pbs.twimg.com/media/DeZWUx2VAAI7EpL.jpg", "http://pbs.twimg.com/media/DeZWUx2VAAI7EpL.jpg")</f>
        <v/>
      </c>
      <c r="G216" t="s"/>
      <c r="H216" t="s"/>
      <c r="I216" t="s"/>
      <c r="J216" t="n">
        <v>-0.6124000000000001</v>
      </c>
      <c r="K216" t="n">
        <v>0.179</v>
      </c>
      <c r="L216" t="n">
        <v>0.777</v>
      </c>
      <c r="M216" t="n">
        <v>0.044</v>
      </c>
    </row>
    <row r="217" spans="1:13">
      <c r="A217" s="1">
        <f>HYPERLINK("http://www.twitter.com/NathanBLawrence/status/1001645305182515200", "1001645305182515200")</f>
        <v/>
      </c>
      <c r="B217" s="2" t="n">
        <v>43250.0859375</v>
      </c>
      <c r="C217" t="n">
        <v>0</v>
      </c>
      <c r="D217" t="n">
        <v>58</v>
      </c>
      <c r="E217" t="s">
        <v>228</v>
      </c>
      <c r="F217" t="s"/>
      <c r="G217" t="s"/>
      <c r="H217" t="s"/>
      <c r="I217" t="s"/>
      <c r="J217" t="n">
        <v>0</v>
      </c>
      <c r="K217" t="n">
        <v>0</v>
      </c>
      <c r="L217" t="n">
        <v>1</v>
      </c>
      <c r="M217" t="n">
        <v>0</v>
      </c>
    </row>
    <row r="218" spans="1:13">
      <c r="A218" s="1">
        <f>HYPERLINK("http://www.twitter.com/NathanBLawrence/status/1001645273498685440", "1001645273498685440")</f>
        <v/>
      </c>
      <c r="B218" s="2" t="n">
        <v>43250.08584490741</v>
      </c>
      <c r="C218" t="n">
        <v>0</v>
      </c>
      <c r="D218" t="n">
        <v>2</v>
      </c>
      <c r="E218" t="s">
        <v>229</v>
      </c>
      <c r="F218" t="s"/>
      <c r="G218" t="s"/>
      <c r="H218" t="s"/>
      <c r="I218" t="s"/>
      <c r="J218" t="n">
        <v>-0.4939</v>
      </c>
      <c r="K218" t="n">
        <v>0.138</v>
      </c>
      <c r="L218" t="n">
        <v>0.862</v>
      </c>
      <c r="M218" t="n">
        <v>0</v>
      </c>
    </row>
    <row r="219" spans="1:13">
      <c r="A219" s="1">
        <f>HYPERLINK("http://www.twitter.com/NathanBLawrence/status/1001645167907139584", "1001645167907139584")</f>
        <v/>
      </c>
      <c r="B219" s="2" t="n">
        <v>43250.08555555555</v>
      </c>
      <c r="C219" t="n">
        <v>0</v>
      </c>
      <c r="D219" t="n">
        <v>4488</v>
      </c>
      <c r="E219" t="s">
        <v>230</v>
      </c>
      <c r="F219">
        <f>HYPERLINK("https://video.twimg.com/ext_tw_video/1001568153825001472/pu/vid/1280x720/lrq7EJqvcsNDc1wa.mp4?tag=3", "https://video.twimg.com/ext_tw_video/1001568153825001472/pu/vid/1280x720/lrq7EJqvcsNDc1wa.mp4?tag=3")</f>
        <v/>
      </c>
      <c r="G219" t="s"/>
      <c r="H219" t="s"/>
      <c r="I219" t="s"/>
      <c r="J219" t="n">
        <v>-0.7096</v>
      </c>
      <c r="K219" t="n">
        <v>0.244</v>
      </c>
      <c r="L219" t="n">
        <v>0.678</v>
      </c>
      <c r="M219" t="n">
        <v>0.078</v>
      </c>
    </row>
    <row r="220" spans="1:13">
      <c r="A220" s="1">
        <f>HYPERLINK("http://www.twitter.com/NathanBLawrence/status/1001642719968743425", "1001642719968743425")</f>
        <v/>
      </c>
      <c r="B220" s="2" t="n">
        <v>43250.07879629629</v>
      </c>
      <c r="C220" t="n">
        <v>0</v>
      </c>
      <c r="D220" t="n">
        <v>1</v>
      </c>
      <c r="E220" t="s">
        <v>231</v>
      </c>
      <c r="F220" t="s"/>
      <c r="G220" t="s"/>
      <c r="H220" t="s"/>
      <c r="I220" t="s"/>
      <c r="J220" t="n">
        <v>0</v>
      </c>
      <c r="K220" t="n">
        <v>0</v>
      </c>
      <c r="L220" t="n">
        <v>1</v>
      </c>
      <c r="M220" t="n">
        <v>0</v>
      </c>
    </row>
    <row r="221" spans="1:13">
      <c r="A221" s="1">
        <f>HYPERLINK("http://www.twitter.com/NathanBLawrence/status/1001642686154248192", "1001642686154248192")</f>
        <v/>
      </c>
      <c r="B221" s="2" t="n">
        <v>43250.0787037037</v>
      </c>
      <c r="C221" t="n">
        <v>0</v>
      </c>
      <c r="D221" t="n">
        <v>1</v>
      </c>
      <c r="E221" t="s">
        <v>232</v>
      </c>
      <c r="F221" t="s"/>
      <c r="G221" t="s"/>
      <c r="H221" t="s"/>
      <c r="I221" t="s"/>
      <c r="J221" t="n">
        <v>0</v>
      </c>
      <c r="K221" t="n">
        <v>0</v>
      </c>
      <c r="L221" t="n">
        <v>1</v>
      </c>
      <c r="M221" t="n">
        <v>0</v>
      </c>
    </row>
    <row r="222" spans="1:13">
      <c r="A222" s="1">
        <f>HYPERLINK("http://www.twitter.com/NathanBLawrence/status/1001642517585170432", "1001642517585170432")</f>
        <v/>
      </c>
      <c r="B222" s="2" t="n">
        <v>43250.07824074074</v>
      </c>
      <c r="C222" t="n">
        <v>0</v>
      </c>
      <c r="D222" t="n">
        <v>65</v>
      </c>
      <c r="E222" t="s">
        <v>233</v>
      </c>
      <c r="F222" t="s"/>
      <c r="G222" t="s"/>
      <c r="H222" t="s"/>
      <c r="I222" t="s"/>
      <c r="J222" t="n">
        <v>-0.4939</v>
      </c>
      <c r="K222" t="n">
        <v>0.122</v>
      </c>
      <c r="L222" t="n">
        <v>0.878</v>
      </c>
      <c r="M222" t="n">
        <v>0</v>
      </c>
    </row>
    <row r="223" spans="1:13">
      <c r="A223" s="1">
        <f>HYPERLINK("http://www.twitter.com/NathanBLawrence/status/1001641848442679296", "1001641848442679296")</f>
        <v/>
      </c>
      <c r="B223" s="2" t="n">
        <v>43250.07638888889</v>
      </c>
      <c r="C223" t="n">
        <v>0</v>
      </c>
      <c r="D223" t="n">
        <v>160</v>
      </c>
      <c r="E223" t="s">
        <v>234</v>
      </c>
      <c r="F223">
        <f>HYPERLINK("http://pbs.twimg.com/media/DeZubWRWkAATsQS.jpg", "http://pbs.twimg.com/media/DeZubWRWkAATsQS.jpg")</f>
        <v/>
      </c>
      <c r="G223" t="s"/>
      <c r="H223" t="s"/>
      <c r="I223" t="s"/>
      <c r="J223" t="n">
        <v>0</v>
      </c>
      <c r="K223" t="n">
        <v>0</v>
      </c>
      <c r="L223" t="n">
        <v>1</v>
      </c>
      <c r="M223" t="n">
        <v>0</v>
      </c>
    </row>
    <row r="224" spans="1:13">
      <c r="A224" s="1">
        <f>HYPERLINK("http://www.twitter.com/NathanBLawrence/status/1001641822991605760", "1001641822991605760")</f>
        <v/>
      </c>
      <c r="B224" s="2" t="n">
        <v>43250.07631944444</v>
      </c>
      <c r="C224" t="n">
        <v>0</v>
      </c>
      <c r="D224" t="n">
        <v>541</v>
      </c>
      <c r="E224" t="s">
        <v>235</v>
      </c>
      <c r="F224" t="s"/>
      <c r="G224" t="s"/>
      <c r="H224" t="s"/>
      <c r="I224" t="s"/>
      <c r="J224" t="n">
        <v>0</v>
      </c>
      <c r="K224" t="n">
        <v>0</v>
      </c>
      <c r="L224" t="n">
        <v>1</v>
      </c>
      <c r="M224" t="n">
        <v>0</v>
      </c>
    </row>
    <row r="225" spans="1:13">
      <c r="A225" s="1">
        <f>HYPERLINK("http://www.twitter.com/NathanBLawrence/status/1001641337274486787", "1001641337274486787")</f>
        <v/>
      </c>
      <c r="B225" s="2" t="n">
        <v>43250.07498842593</v>
      </c>
      <c r="C225" t="n">
        <v>0</v>
      </c>
      <c r="D225" t="n">
        <v>1235</v>
      </c>
      <c r="E225" t="s">
        <v>236</v>
      </c>
      <c r="F225" t="s"/>
      <c r="G225" t="s"/>
      <c r="H225" t="s"/>
      <c r="I225" t="s"/>
      <c r="J225" t="n">
        <v>0.2023</v>
      </c>
      <c r="K225" t="n">
        <v>0.172</v>
      </c>
      <c r="L225" t="n">
        <v>0.664</v>
      </c>
      <c r="M225" t="n">
        <v>0.164</v>
      </c>
    </row>
    <row r="226" spans="1:13">
      <c r="A226" s="1">
        <f>HYPERLINK("http://www.twitter.com/NathanBLawrence/status/1001641288415006720", "1001641288415006720")</f>
        <v/>
      </c>
      <c r="B226" s="2" t="n">
        <v>43250.07484953704</v>
      </c>
      <c r="C226" t="n">
        <v>0</v>
      </c>
      <c r="D226" t="n">
        <v>376</v>
      </c>
      <c r="E226" t="s">
        <v>237</v>
      </c>
      <c r="F226" t="s"/>
      <c r="G226" t="s"/>
      <c r="H226" t="s"/>
      <c r="I226" t="s"/>
      <c r="J226" t="n">
        <v>0.3182</v>
      </c>
      <c r="K226" t="n">
        <v>0</v>
      </c>
      <c r="L226" t="n">
        <v>0.909</v>
      </c>
      <c r="M226" t="n">
        <v>0.091</v>
      </c>
    </row>
    <row r="227" spans="1:13">
      <c r="A227" s="1">
        <f>HYPERLINK("http://www.twitter.com/NathanBLawrence/status/1001640479631511552", "1001640479631511552")</f>
        <v/>
      </c>
      <c r="B227" s="2" t="n">
        <v>43250.07261574074</v>
      </c>
      <c r="C227" t="n">
        <v>0</v>
      </c>
      <c r="D227" t="n">
        <v>3</v>
      </c>
      <c r="E227" t="s">
        <v>238</v>
      </c>
      <c r="F227" t="s"/>
      <c r="G227" t="s"/>
      <c r="H227" t="s"/>
      <c r="I227" t="s"/>
      <c r="J227" t="n">
        <v>0</v>
      </c>
      <c r="K227" t="n">
        <v>0</v>
      </c>
      <c r="L227" t="n">
        <v>1</v>
      </c>
      <c r="M227" t="n">
        <v>0</v>
      </c>
    </row>
    <row r="228" spans="1:13">
      <c r="A228" s="1">
        <f>HYPERLINK("http://www.twitter.com/NathanBLawrence/status/1001640404951937024", "1001640404951937024")</f>
        <v/>
      </c>
      <c r="B228" s="2" t="n">
        <v>43250.07240740741</v>
      </c>
      <c r="C228" t="n">
        <v>0</v>
      </c>
      <c r="D228" t="n">
        <v>3</v>
      </c>
      <c r="E228" t="s">
        <v>239</v>
      </c>
      <c r="F228" t="s"/>
      <c r="G228" t="s"/>
      <c r="H228" t="s"/>
      <c r="I228" t="s"/>
      <c r="J228" t="n">
        <v>-0.4404</v>
      </c>
      <c r="K228" t="n">
        <v>0.139</v>
      </c>
      <c r="L228" t="n">
        <v>0.861</v>
      </c>
      <c r="M228" t="n">
        <v>0</v>
      </c>
    </row>
    <row r="229" spans="1:13">
      <c r="A229" s="1">
        <f>HYPERLINK("http://www.twitter.com/NathanBLawrence/status/1001640259711569920", "1001640259711569920")</f>
        <v/>
      </c>
      <c r="B229" s="2" t="n">
        <v>43250.07201388889</v>
      </c>
      <c r="C229" t="n">
        <v>0</v>
      </c>
      <c r="D229" t="n">
        <v>7462</v>
      </c>
      <c r="E229" t="s">
        <v>240</v>
      </c>
      <c r="F229" t="s"/>
      <c r="G229" t="s"/>
      <c r="H229" t="s"/>
      <c r="I229" t="s"/>
      <c r="J229" t="n">
        <v>-0.228</v>
      </c>
      <c r="K229" t="n">
        <v>0.213</v>
      </c>
      <c r="L229" t="n">
        <v>0.647</v>
      </c>
      <c r="M229" t="n">
        <v>0.14</v>
      </c>
    </row>
    <row r="230" spans="1:13">
      <c r="A230" s="1">
        <f>HYPERLINK("http://www.twitter.com/NathanBLawrence/status/1001640193886183427", "1001640193886183427")</f>
        <v/>
      </c>
      <c r="B230" s="2" t="n">
        <v>43250.0718287037</v>
      </c>
      <c r="C230" t="n">
        <v>0</v>
      </c>
      <c r="D230" t="n">
        <v>1823</v>
      </c>
      <c r="E230" t="s">
        <v>241</v>
      </c>
      <c r="F230" t="s"/>
      <c r="G230" t="s"/>
      <c r="H230" t="s"/>
      <c r="I230" t="s"/>
      <c r="J230" t="n">
        <v>-0.8176</v>
      </c>
      <c r="K230" t="n">
        <v>0.378</v>
      </c>
      <c r="L230" t="n">
        <v>0.622</v>
      </c>
      <c r="M230" t="n">
        <v>0</v>
      </c>
    </row>
    <row r="231" spans="1:13">
      <c r="A231" s="1">
        <f>HYPERLINK("http://www.twitter.com/NathanBLawrence/status/1001640174282006530", "1001640174282006530")</f>
        <v/>
      </c>
      <c r="B231" s="2" t="n">
        <v>43250.07177083333</v>
      </c>
      <c r="C231" t="n">
        <v>0</v>
      </c>
      <c r="D231" t="n">
        <v>5292</v>
      </c>
      <c r="E231" t="s">
        <v>242</v>
      </c>
      <c r="F231">
        <f>HYPERLINK("http://pbs.twimg.com/media/DeY3b7VXkAAXX9-.jpg", "http://pbs.twimg.com/media/DeY3b7VXkAAXX9-.jpg")</f>
        <v/>
      </c>
      <c r="G231" t="s"/>
      <c r="H231" t="s"/>
      <c r="I231" t="s"/>
      <c r="J231" t="n">
        <v>0.3291</v>
      </c>
      <c r="K231" t="n">
        <v>0</v>
      </c>
      <c r="L231" t="n">
        <v>0.903</v>
      </c>
      <c r="M231" t="n">
        <v>0.097</v>
      </c>
    </row>
    <row r="232" spans="1:13">
      <c r="A232" s="1">
        <f>HYPERLINK("http://www.twitter.com/NathanBLawrence/status/1001640146758979584", "1001640146758979584")</f>
        <v/>
      </c>
      <c r="B232" s="2" t="n">
        <v>43250.07170138889</v>
      </c>
      <c r="C232" t="n">
        <v>0</v>
      </c>
      <c r="D232" t="n">
        <v>344</v>
      </c>
      <c r="E232" t="s">
        <v>243</v>
      </c>
      <c r="F232" t="s"/>
      <c r="G232" t="s"/>
      <c r="H232" t="s"/>
      <c r="I232" t="s"/>
      <c r="J232" t="n">
        <v>0.3182</v>
      </c>
      <c r="K232" t="n">
        <v>0</v>
      </c>
      <c r="L232" t="n">
        <v>0.901</v>
      </c>
      <c r="M232" t="n">
        <v>0.099</v>
      </c>
    </row>
    <row r="233" spans="1:13">
      <c r="A233" s="1">
        <f>HYPERLINK("http://www.twitter.com/NathanBLawrence/status/1001608392383791104", "1001608392383791104")</f>
        <v/>
      </c>
      <c r="B233" s="2" t="n">
        <v>43249.98407407408</v>
      </c>
      <c r="C233" t="n">
        <v>0</v>
      </c>
      <c r="D233" t="n">
        <v>17</v>
      </c>
      <c r="E233" t="s">
        <v>244</v>
      </c>
      <c r="F233" t="s"/>
      <c r="G233" t="s"/>
      <c r="H233" t="s"/>
      <c r="I233" t="s"/>
      <c r="J233" t="n">
        <v>-0.4984</v>
      </c>
      <c r="K233" t="n">
        <v>0.212</v>
      </c>
      <c r="L233" t="n">
        <v>0.788</v>
      </c>
      <c r="M233" t="n">
        <v>0</v>
      </c>
    </row>
    <row r="234" spans="1:13">
      <c r="A234" s="1">
        <f>HYPERLINK("http://www.twitter.com/NathanBLawrence/status/1001608365498421248", "1001608365498421248")</f>
        <v/>
      </c>
      <c r="B234" s="2" t="n">
        <v>43249.98399305555</v>
      </c>
      <c r="C234" t="n">
        <v>0</v>
      </c>
      <c r="D234" t="n">
        <v>17</v>
      </c>
      <c r="E234" t="s">
        <v>245</v>
      </c>
      <c r="F234" t="s"/>
      <c r="G234" t="s"/>
      <c r="H234" t="s"/>
      <c r="I234" t="s"/>
      <c r="J234" t="n">
        <v>0.8270999999999999</v>
      </c>
      <c r="K234" t="n">
        <v>0</v>
      </c>
      <c r="L234" t="n">
        <v>0.674</v>
      </c>
      <c r="M234" t="n">
        <v>0.326</v>
      </c>
    </row>
    <row r="235" spans="1:13">
      <c r="A235" s="1">
        <f>HYPERLINK("http://www.twitter.com/NathanBLawrence/status/1001608164327018496", "1001608164327018496")</f>
        <v/>
      </c>
      <c r="B235" s="2" t="n">
        <v>43249.98344907408</v>
      </c>
      <c r="C235" t="n">
        <v>0</v>
      </c>
      <c r="D235" t="n">
        <v>29</v>
      </c>
      <c r="E235" t="s">
        <v>246</v>
      </c>
      <c r="F235" t="s"/>
      <c r="G235" t="s"/>
      <c r="H235" t="s"/>
      <c r="I235" t="s"/>
      <c r="J235" t="n">
        <v>0</v>
      </c>
      <c r="K235" t="n">
        <v>0</v>
      </c>
      <c r="L235" t="n">
        <v>1</v>
      </c>
      <c r="M235" t="n">
        <v>0</v>
      </c>
    </row>
    <row r="236" spans="1:13">
      <c r="A236" s="1">
        <f>HYPERLINK("http://www.twitter.com/NathanBLawrence/status/1001608116360839168", "1001608116360839168")</f>
        <v/>
      </c>
      <c r="B236" s="2" t="n">
        <v>43249.98331018518</v>
      </c>
      <c r="C236" t="n">
        <v>0</v>
      </c>
      <c r="D236" t="n">
        <v>11</v>
      </c>
      <c r="E236" t="s">
        <v>247</v>
      </c>
      <c r="F236" t="s"/>
      <c r="G236" t="s"/>
      <c r="H236" t="s"/>
      <c r="I236" t="s"/>
      <c r="J236" t="n">
        <v>0.7003</v>
      </c>
      <c r="K236" t="n">
        <v>0</v>
      </c>
      <c r="L236" t="n">
        <v>0.734</v>
      </c>
      <c r="M236" t="n">
        <v>0.266</v>
      </c>
    </row>
    <row r="237" spans="1:13">
      <c r="A237" s="1">
        <f>HYPERLINK("http://www.twitter.com/NathanBLawrence/status/1001608076619866117", "1001608076619866117")</f>
        <v/>
      </c>
      <c r="B237" s="2" t="n">
        <v>43249.98320601852</v>
      </c>
      <c r="C237" t="n">
        <v>0</v>
      </c>
      <c r="D237" t="n">
        <v>5</v>
      </c>
      <c r="E237" t="s">
        <v>248</v>
      </c>
      <c r="F237" t="s"/>
      <c r="G237" t="s"/>
      <c r="H237" t="s"/>
      <c r="I237" t="s"/>
      <c r="J237" t="n">
        <v>0.3612</v>
      </c>
      <c r="K237" t="n">
        <v>0</v>
      </c>
      <c r="L237" t="n">
        <v>0.902</v>
      </c>
      <c r="M237" t="n">
        <v>0.098</v>
      </c>
    </row>
    <row r="238" spans="1:13">
      <c r="A238" s="1">
        <f>HYPERLINK("http://www.twitter.com/NathanBLawrence/status/1001608018188996608", "1001608018188996608")</f>
        <v/>
      </c>
      <c r="B238" s="2" t="n">
        <v>43249.98304398148</v>
      </c>
      <c r="C238" t="n">
        <v>0</v>
      </c>
      <c r="D238" t="n">
        <v>11</v>
      </c>
      <c r="E238" t="s">
        <v>249</v>
      </c>
      <c r="F238" t="s"/>
      <c r="G238" t="s"/>
      <c r="H238" t="s"/>
      <c r="I238" t="s"/>
      <c r="J238" t="n">
        <v>-0.6662</v>
      </c>
      <c r="K238" t="n">
        <v>0.157</v>
      </c>
      <c r="L238" t="n">
        <v>0.843</v>
      </c>
      <c r="M238" t="n">
        <v>0</v>
      </c>
    </row>
    <row r="239" spans="1:13">
      <c r="A239" s="1">
        <f>HYPERLINK("http://www.twitter.com/NathanBLawrence/status/1001602467820396545", "1001602467820396545")</f>
        <v/>
      </c>
      <c r="B239" s="2" t="n">
        <v>43249.96771990741</v>
      </c>
      <c r="C239" t="n">
        <v>0</v>
      </c>
      <c r="D239" t="n">
        <v>7</v>
      </c>
      <c r="E239" t="s">
        <v>250</v>
      </c>
      <c r="F239" t="s"/>
      <c r="G239" t="s"/>
      <c r="H239" t="s"/>
      <c r="I239" t="s"/>
      <c r="J239" t="n">
        <v>0</v>
      </c>
      <c r="K239" t="n">
        <v>0</v>
      </c>
      <c r="L239" t="n">
        <v>1</v>
      </c>
      <c r="M239" t="n">
        <v>0</v>
      </c>
    </row>
    <row r="240" spans="1:13">
      <c r="A240" s="1">
        <f>HYPERLINK("http://www.twitter.com/NathanBLawrence/status/1001602410597543941", "1001602410597543941")</f>
        <v/>
      </c>
      <c r="B240" s="2" t="n">
        <v>43249.96756944444</v>
      </c>
      <c r="C240" t="n">
        <v>0</v>
      </c>
      <c r="D240" t="n">
        <v>3</v>
      </c>
      <c r="E240" t="s">
        <v>251</v>
      </c>
      <c r="F240" t="s"/>
      <c r="G240" t="s"/>
      <c r="H240" t="s"/>
      <c r="I240" t="s"/>
      <c r="J240" t="n">
        <v>0.0258</v>
      </c>
      <c r="K240" t="n">
        <v>0.083</v>
      </c>
      <c r="L240" t="n">
        <v>0.83</v>
      </c>
      <c r="M240" t="n">
        <v>0.08699999999999999</v>
      </c>
    </row>
    <row r="241" spans="1:13">
      <c r="A241" s="1">
        <f>HYPERLINK("http://www.twitter.com/NathanBLawrence/status/1001602124726374402", "1001602124726374402")</f>
        <v/>
      </c>
      <c r="B241" s="2" t="n">
        <v>43249.96678240741</v>
      </c>
      <c r="C241" t="n">
        <v>0</v>
      </c>
      <c r="D241" t="n">
        <v>189</v>
      </c>
      <c r="E241" t="s">
        <v>252</v>
      </c>
      <c r="F241" t="s"/>
      <c r="G241" t="s"/>
      <c r="H241" t="s"/>
      <c r="I241" t="s"/>
      <c r="J241" t="n">
        <v>0.7423</v>
      </c>
      <c r="K241" t="n">
        <v>0</v>
      </c>
      <c r="L241" t="n">
        <v>0.73</v>
      </c>
      <c r="M241" t="n">
        <v>0.27</v>
      </c>
    </row>
    <row r="242" spans="1:13">
      <c r="A242" s="1">
        <f>HYPERLINK("http://www.twitter.com/NathanBLawrence/status/1001600986828427264", "1001600986828427264")</f>
        <v/>
      </c>
      <c r="B242" s="2" t="n">
        <v>43249.96363425926</v>
      </c>
      <c r="C242" t="n">
        <v>0</v>
      </c>
      <c r="D242" t="n">
        <v>3</v>
      </c>
      <c r="E242" t="s">
        <v>253</v>
      </c>
      <c r="F242" t="s"/>
      <c r="G242" t="s"/>
      <c r="H242" t="s"/>
      <c r="I242" t="s"/>
      <c r="J242" t="n">
        <v>0</v>
      </c>
      <c r="K242" t="n">
        <v>0</v>
      </c>
      <c r="L242" t="n">
        <v>1</v>
      </c>
      <c r="M242" t="n">
        <v>0</v>
      </c>
    </row>
    <row r="243" spans="1:13">
      <c r="A243" s="1">
        <f>HYPERLINK("http://www.twitter.com/NathanBLawrence/status/1001596301077860352", "1001596301077860352")</f>
        <v/>
      </c>
      <c r="B243" s="2" t="n">
        <v>43249.95070601852</v>
      </c>
      <c r="C243" t="n">
        <v>0</v>
      </c>
      <c r="D243" t="n">
        <v>16</v>
      </c>
      <c r="E243" t="s">
        <v>254</v>
      </c>
      <c r="F243" t="s"/>
      <c r="G243" t="s"/>
      <c r="H243" t="s"/>
      <c r="I243" t="s"/>
      <c r="J243" t="n">
        <v>-0.1779</v>
      </c>
      <c r="K243" t="n">
        <v>0.129</v>
      </c>
      <c r="L243" t="n">
        <v>0.773</v>
      </c>
      <c r="M243" t="n">
        <v>0.099</v>
      </c>
    </row>
    <row r="244" spans="1:13">
      <c r="A244" s="1">
        <f>HYPERLINK("http://www.twitter.com/NathanBLawrence/status/1001595965793619968", "1001595965793619968")</f>
        <v/>
      </c>
      <c r="B244" s="2" t="n">
        <v>43249.94978009259</v>
      </c>
      <c r="C244" t="n">
        <v>0</v>
      </c>
      <c r="D244" t="n">
        <v>10</v>
      </c>
      <c r="E244" t="s">
        <v>255</v>
      </c>
      <c r="F244" t="s"/>
      <c r="G244" t="s"/>
      <c r="H244" t="s"/>
      <c r="I244" t="s"/>
      <c r="J244" t="n">
        <v>0.5719</v>
      </c>
      <c r="K244" t="n">
        <v>0</v>
      </c>
      <c r="L244" t="n">
        <v>0.8169999999999999</v>
      </c>
      <c r="M244" t="n">
        <v>0.183</v>
      </c>
    </row>
    <row r="245" spans="1:13">
      <c r="A245" s="1">
        <f>HYPERLINK("http://www.twitter.com/NathanBLawrence/status/1001595894901469184", "1001595894901469184")</f>
        <v/>
      </c>
      <c r="B245" s="2" t="n">
        <v>43249.94958333333</v>
      </c>
      <c r="C245" t="n">
        <v>0</v>
      </c>
      <c r="D245" t="n">
        <v>2</v>
      </c>
      <c r="E245" t="s">
        <v>256</v>
      </c>
      <c r="F245" t="s"/>
      <c r="G245" t="s"/>
      <c r="H245" t="s"/>
      <c r="I245" t="s"/>
      <c r="J245" t="n">
        <v>-0.6486</v>
      </c>
      <c r="K245" t="n">
        <v>0.281</v>
      </c>
      <c r="L245" t="n">
        <v>0.719</v>
      </c>
      <c r="M245" t="n">
        <v>0</v>
      </c>
    </row>
    <row r="246" spans="1:13">
      <c r="A246" s="1">
        <f>HYPERLINK("http://www.twitter.com/NathanBLawrence/status/1001587922007740419", "1001587922007740419")</f>
        <v/>
      </c>
      <c r="B246" s="2" t="n">
        <v>43249.92758101852</v>
      </c>
      <c r="C246" t="n">
        <v>0</v>
      </c>
      <c r="D246" t="n">
        <v>3</v>
      </c>
      <c r="E246" t="s">
        <v>257</v>
      </c>
      <c r="F246" t="s"/>
      <c r="G246" t="s"/>
      <c r="H246" t="s"/>
      <c r="I246" t="s"/>
      <c r="J246" t="n">
        <v>0.4019</v>
      </c>
      <c r="K246" t="n">
        <v>0</v>
      </c>
      <c r="L246" t="n">
        <v>0.787</v>
      </c>
      <c r="M246" t="n">
        <v>0.213</v>
      </c>
    </row>
    <row r="247" spans="1:13">
      <c r="A247" s="1">
        <f>HYPERLINK("http://www.twitter.com/NathanBLawrence/status/1001581351085240320", "1001581351085240320")</f>
        <v/>
      </c>
      <c r="B247" s="2" t="n">
        <v>43249.90945601852</v>
      </c>
      <c r="C247" t="n">
        <v>0</v>
      </c>
      <c r="D247" t="n">
        <v>0</v>
      </c>
      <c r="E247" t="s">
        <v>258</v>
      </c>
      <c r="F247" t="s"/>
      <c r="G247" t="s"/>
      <c r="H247" t="s"/>
      <c r="I247" t="s"/>
      <c r="J247" t="n">
        <v>0.1265</v>
      </c>
      <c r="K247" t="n">
        <v>0.114</v>
      </c>
      <c r="L247" t="n">
        <v>0.761</v>
      </c>
      <c r="M247" t="n">
        <v>0.124</v>
      </c>
    </row>
    <row r="248" spans="1:13">
      <c r="A248" s="1">
        <f>HYPERLINK("http://www.twitter.com/NathanBLawrence/status/1001574184743514114", "1001574184743514114")</f>
        <v/>
      </c>
      <c r="B248" s="2" t="n">
        <v>43249.88967592592</v>
      </c>
      <c r="C248" t="n">
        <v>0</v>
      </c>
      <c r="D248" t="n">
        <v>50</v>
      </c>
      <c r="E248" t="s">
        <v>259</v>
      </c>
      <c r="F248" t="s"/>
      <c r="G248" t="s"/>
      <c r="H248" t="s"/>
      <c r="I248" t="s"/>
      <c r="J248" t="n">
        <v>0</v>
      </c>
      <c r="K248" t="n">
        <v>0</v>
      </c>
      <c r="L248" t="n">
        <v>1</v>
      </c>
      <c r="M248" t="n">
        <v>0</v>
      </c>
    </row>
    <row r="249" spans="1:13">
      <c r="A249" s="1">
        <f>HYPERLINK("http://www.twitter.com/NathanBLawrence/status/1001566258914054144", "1001566258914054144")</f>
        <v/>
      </c>
      <c r="B249" s="2" t="n">
        <v>43249.86780092592</v>
      </c>
      <c r="C249" t="n">
        <v>0</v>
      </c>
      <c r="D249" t="n">
        <v>1678</v>
      </c>
      <c r="E249" t="s">
        <v>260</v>
      </c>
      <c r="F249" t="s"/>
      <c r="G249" t="s"/>
      <c r="H249" t="s"/>
      <c r="I249" t="s"/>
      <c r="J249" t="n">
        <v>0.4215</v>
      </c>
      <c r="K249" t="n">
        <v>0</v>
      </c>
      <c r="L249" t="n">
        <v>0.877</v>
      </c>
      <c r="M249" t="n">
        <v>0.123</v>
      </c>
    </row>
    <row r="250" spans="1:13">
      <c r="A250" s="1">
        <f>HYPERLINK("http://www.twitter.com/NathanBLawrence/status/1001566156086530049", "1001566156086530049")</f>
        <v/>
      </c>
      <c r="B250" s="2" t="n">
        <v>43249.86752314815</v>
      </c>
      <c r="C250" t="n">
        <v>0</v>
      </c>
      <c r="D250" t="n">
        <v>755</v>
      </c>
      <c r="E250" t="s">
        <v>261</v>
      </c>
      <c r="F250" t="s"/>
      <c r="G250" t="s"/>
      <c r="H250" t="s"/>
      <c r="I250" t="s"/>
      <c r="J250" t="n">
        <v>0</v>
      </c>
      <c r="K250" t="n">
        <v>0</v>
      </c>
      <c r="L250" t="n">
        <v>1</v>
      </c>
      <c r="M250" t="n">
        <v>0</v>
      </c>
    </row>
    <row r="251" spans="1:13">
      <c r="A251" s="1">
        <f>HYPERLINK("http://www.twitter.com/NathanBLawrence/status/1001566099396268034", "1001566099396268034")</f>
        <v/>
      </c>
      <c r="B251" s="2" t="n">
        <v>43249.86736111111</v>
      </c>
      <c r="C251" t="n">
        <v>0</v>
      </c>
      <c r="D251" t="n">
        <v>282</v>
      </c>
      <c r="E251" t="s">
        <v>262</v>
      </c>
      <c r="F251" t="s"/>
      <c r="G251" t="s"/>
      <c r="H251" t="s"/>
      <c r="I251" t="s"/>
      <c r="J251" t="n">
        <v>0</v>
      </c>
      <c r="K251" t="n">
        <v>0.106</v>
      </c>
      <c r="L251" t="n">
        <v>0.787</v>
      </c>
      <c r="M251" t="n">
        <v>0.106</v>
      </c>
    </row>
    <row r="252" spans="1:13">
      <c r="A252" s="1">
        <f>HYPERLINK("http://www.twitter.com/NathanBLawrence/status/1001565634772242432", "1001565634772242432")</f>
        <v/>
      </c>
      <c r="B252" s="2" t="n">
        <v>43249.86608796296</v>
      </c>
      <c r="C252" t="n">
        <v>0</v>
      </c>
      <c r="D252" t="n">
        <v>450</v>
      </c>
      <c r="E252" t="s">
        <v>263</v>
      </c>
      <c r="F252" t="s"/>
      <c r="G252" t="s"/>
      <c r="H252" t="s"/>
      <c r="I252" t="s"/>
      <c r="J252" t="n">
        <v>0.0772</v>
      </c>
      <c r="K252" t="n">
        <v>0</v>
      </c>
      <c r="L252" t="n">
        <v>0.9389999999999999</v>
      </c>
      <c r="M252" t="n">
        <v>0.061</v>
      </c>
    </row>
    <row r="253" spans="1:13">
      <c r="A253" s="1">
        <f>HYPERLINK("http://www.twitter.com/NathanBLawrence/status/1001565592514629632", "1001565592514629632")</f>
        <v/>
      </c>
      <c r="B253" s="2" t="n">
        <v>43249.86597222222</v>
      </c>
      <c r="C253" t="n">
        <v>0</v>
      </c>
      <c r="D253" t="n">
        <v>5090</v>
      </c>
      <c r="E253" t="s">
        <v>264</v>
      </c>
      <c r="F253">
        <f>HYPERLINK("http://pbs.twimg.com/media/DeYoQObV4AAEyT7.jpg", "http://pbs.twimg.com/media/DeYoQObV4AAEyT7.jpg")</f>
        <v/>
      </c>
      <c r="G253" t="s"/>
      <c r="H253" t="s"/>
      <c r="I253" t="s"/>
      <c r="J253" t="n">
        <v>0.4019</v>
      </c>
      <c r="K253" t="n">
        <v>0</v>
      </c>
      <c r="L253" t="n">
        <v>0.649</v>
      </c>
      <c r="M253" t="n">
        <v>0.351</v>
      </c>
    </row>
    <row r="254" spans="1:13">
      <c r="A254" s="1">
        <f>HYPERLINK("http://www.twitter.com/NathanBLawrence/status/1001565530950643712", "1001565530950643712")</f>
        <v/>
      </c>
      <c r="B254" s="2" t="n">
        <v>43249.86579861111</v>
      </c>
      <c r="C254" t="n">
        <v>0</v>
      </c>
      <c r="D254" t="n">
        <v>15</v>
      </c>
      <c r="E254" t="s">
        <v>265</v>
      </c>
      <c r="F254" t="s"/>
      <c r="G254" t="s"/>
      <c r="H254" t="s"/>
      <c r="I254" t="s"/>
      <c r="J254" t="n">
        <v>0.6166</v>
      </c>
      <c r="K254" t="n">
        <v>0</v>
      </c>
      <c r="L254" t="n">
        <v>0.776</v>
      </c>
      <c r="M254" t="n">
        <v>0.224</v>
      </c>
    </row>
    <row r="255" spans="1:13">
      <c r="A255" s="1">
        <f>HYPERLINK("http://www.twitter.com/NathanBLawrence/status/1001565456489164801", "1001565456489164801")</f>
        <v/>
      </c>
      <c r="B255" s="2" t="n">
        <v>43249.86559027778</v>
      </c>
      <c r="C255" t="n">
        <v>0</v>
      </c>
      <c r="D255" t="n">
        <v>24</v>
      </c>
      <c r="E255" t="s">
        <v>266</v>
      </c>
      <c r="F255" t="s"/>
      <c r="G255" t="s"/>
      <c r="H255" t="s"/>
      <c r="I255" t="s"/>
      <c r="J255" t="n">
        <v>0</v>
      </c>
      <c r="K255" t="n">
        <v>0</v>
      </c>
      <c r="L255" t="n">
        <v>1</v>
      </c>
      <c r="M255" t="n">
        <v>0</v>
      </c>
    </row>
    <row r="256" spans="1:13">
      <c r="A256" s="1">
        <f>HYPERLINK("http://www.twitter.com/NathanBLawrence/status/1001565395411722242", "1001565395411722242")</f>
        <v/>
      </c>
      <c r="B256" s="2" t="n">
        <v>43249.86542824074</v>
      </c>
      <c r="C256" t="n">
        <v>0</v>
      </c>
      <c r="D256" t="n">
        <v>233</v>
      </c>
      <c r="E256" t="s">
        <v>267</v>
      </c>
      <c r="F256" t="s"/>
      <c r="G256" t="s"/>
      <c r="H256" t="s"/>
      <c r="I256" t="s"/>
      <c r="J256" t="n">
        <v>0</v>
      </c>
      <c r="K256" t="n">
        <v>0</v>
      </c>
      <c r="L256" t="n">
        <v>1</v>
      </c>
      <c r="M256" t="n">
        <v>0</v>
      </c>
    </row>
    <row r="257" spans="1:13">
      <c r="A257" s="1">
        <f>HYPERLINK("http://www.twitter.com/NathanBLawrence/status/1001565354924101635", "1001565354924101635")</f>
        <v/>
      </c>
      <c r="B257" s="2" t="n">
        <v>43249.8653125</v>
      </c>
      <c r="C257" t="n">
        <v>0</v>
      </c>
      <c r="D257" t="n">
        <v>675</v>
      </c>
      <c r="E257" t="s">
        <v>268</v>
      </c>
      <c r="F257">
        <f>HYPERLINK("http://pbs.twimg.com/media/DeY833CXkAEpYp9.jpg", "http://pbs.twimg.com/media/DeY833CXkAEpYp9.jpg")</f>
        <v/>
      </c>
      <c r="G257" t="s"/>
      <c r="H257" t="s"/>
      <c r="I257" t="s"/>
      <c r="J257" t="n">
        <v>-0.3818</v>
      </c>
      <c r="K257" t="n">
        <v>0.12</v>
      </c>
      <c r="L257" t="n">
        <v>0.88</v>
      </c>
      <c r="M257" t="n">
        <v>0</v>
      </c>
    </row>
    <row r="258" spans="1:13">
      <c r="A258" s="1">
        <f>HYPERLINK("http://www.twitter.com/NathanBLawrence/status/1001565324880371715", "1001565324880371715")</f>
        <v/>
      </c>
      <c r="B258" s="2" t="n">
        <v>43249.86523148148</v>
      </c>
      <c r="C258" t="n">
        <v>0</v>
      </c>
      <c r="D258" t="n">
        <v>704</v>
      </c>
      <c r="E258" t="s">
        <v>269</v>
      </c>
      <c r="F258" t="s"/>
      <c r="G258" t="s"/>
      <c r="H258" t="s"/>
      <c r="I258" t="s"/>
      <c r="J258" t="n">
        <v>0</v>
      </c>
      <c r="K258" t="n">
        <v>0</v>
      </c>
      <c r="L258" t="n">
        <v>1</v>
      </c>
      <c r="M258" t="n">
        <v>0</v>
      </c>
    </row>
    <row r="259" spans="1:13">
      <c r="A259" s="1">
        <f>HYPERLINK("http://www.twitter.com/NathanBLawrence/status/1001565274473197570", "1001565274473197570")</f>
        <v/>
      </c>
      <c r="B259" s="2" t="n">
        <v>43249.86509259259</v>
      </c>
      <c r="C259" t="n">
        <v>0</v>
      </c>
      <c r="D259" t="n">
        <v>370</v>
      </c>
      <c r="E259" t="s">
        <v>270</v>
      </c>
      <c r="F259" t="s"/>
      <c r="G259" t="s"/>
      <c r="H259" t="s"/>
      <c r="I259" t="s"/>
      <c r="J259" t="n">
        <v>0</v>
      </c>
      <c r="K259" t="n">
        <v>0</v>
      </c>
      <c r="L259" t="n">
        <v>1</v>
      </c>
      <c r="M259" t="n">
        <v>0</v>
      </c>
    </row>
    <row r="260" spans="1:13">
      <c r="A260" s="1">
        <f>HYPERLINK("http://www.twitter.com/NathanBLawrence/status/1001565237814939651", "1001565237814939651")</f>
        <v/>
      </c>
      <c r="B260" s="2" t="n">
        <v>43249.86498842593</v>
      </c>
      <c r="C260" t="n">
        <v>0</v>
      </c>
      <c r="D260" t="n">
        <v>559</v>
      </c>
      <c r="E260" t="s">
        <v>271</v>
      </c>
      <c r="F260" t="s"/>
      <c r="G260" t="s"/>
      <c r="H260" t="s"/>
      <c r="I260" t="s"/>
      <c r="J260" t="n">
        <v>-0.3818</v>
      </c>
      <c r="K260" t="n">
        <v>0.115</v>
      </c>
      <c r="L260" t="n">
        <v>0.885</v>
      </c>
      <c r="M260" t="n">
        <v>0</v>
      </c>
    </row>
    <row r="261" spans="1:13">
      <c r="A261" s="1">
        <f>HYPERLINK("http://www.twitter.com/NathanBLawrence/status/1001564989969362944", "1001564989969362944")</f>
        <v/>
      </c>
      <c r="B261" s="2" t="n">
        <v>43249.86430555556</v>
      </c>
      <c r="C261" t="n">
        <v>0</v>
      </c>
      <c r="D261" t="n">
        <v>76</v>
      </c>
      <c r="E261" t="s">
        <v>272</v>
      </c>
      <c r="F261" t="s"/>
      <c r="G261" t="s"/>
      <c r="H261" t="s"/>
      <c r="I261" t="s"/>
      <c r="J261" t="n">
        <v>0.7184</v>
      </c>
      <c r="K261" t="n">
        <v>0</v>
      </c>
      <c r="L261" t="n">
        <v>0.778</v>
      </c>
      <c r="M261" t="n">
        <v>0.222</v>
      </c>
    </row>
    <row r="262" spans="1:13">
      <c r="A262" s="1">
        <f>HYPERLINK("http://www.twitter.com/NathanBLawrence/status/1001564797190668288", "1001564797190668288")</f>
        <v/>
      </c>
      <c r="B262" s="2" t="n">
        <v>43249.86377314815</v>
      </c>
      <c r="C262" t="n">
        <v>0</v>
      </c>
      <c r="D262" t="n">
        <v>97</v>
      </c>
      <c r="E262" t="s">
        <v>273</v>
      </c>
      <c r="F262" t="s"/>
      <c r="G262" t="s"/>
      <c r="H262" t="s"/>
      <c r="I262" t="s"/>
      <c r="J262" t="n">
        <v>0.6597</v>
      </c>
      <c r="K262" t="n">
        <v>0</v>
      </c>
      <c r="L262" t="n">
        <v>0.787</v>
      </c>
      <c r="M262" t="n">
        <v>0.213</v>
      </c>
    </row>
    <row r="263" spans="1:13">
      <c r="A263" s="1">
        <f>HYPERLINK("http://www.twitter.com/NathanBLawrence/status/1001564746481586176", "1001564746481586176")</f>
        <v/>
      </c>
      <c r="B263" s="2" t="n">
        <v>43249.86363425926</v>
      </c>
      <c r="C263" t="n">
        <v>0</v>
      </c>
      <c r="D263" t="n">
        <v>5</v>
      </c>
      <c r="E263" t="s">
        <v>274</v>
      </c>
      <c r="F263" t="s"/>
      <c r="G263" t="s"/>
      <c r="H263" t="s"/>
      <c r="I263" t="s"/>
      <c r="J263" t="n">
        <v>0</v>
      </c>
      <c r="K263" t="n">
        <v>0</v>
      </c>
      <c r="L263" t="n">
        <v>1</v>
      </c>
      <c r="M263" t="n">
        <v>0</v>
      </c>
    </row>
    <row r="264" spans="1:13">
      <c r="A264" s="1">
        <f>HYPERLINK("http://www.twitter.com/NathanBLawrence/status/1001564723018698754", "1001564723018698754")</f>
        <v/>
      </c>
      <c r="B264" s="2" t="n">
        <v>43249.86356481481</v>
      </c>
      <c r="C264" t="n">
        <v>0</v>
      </c>
      <c r="D264" t="n">
        <v>47</v>
      </c>
      <c r="E264" t="s">
        <v>275</v>
      </c>
      <c r="F264" t="s"/>
      <c r="G264" t="s"/>
      <c r="H264" t="s"/>
      <c r="I264" t="s"/>
      <c r="J264" t="n">
        <v>0.4404</v>
      </c>
      <c r="K264" t="n">
        <v>0</v>
      </c>
      <c r="L264" t="n">
        <v>0.879</v>
      </c>
      <c r="M264" t="n">
        <v>0.121</v>
      </c>
    </row>
    <row r="265" spans="1:13">
      <c r="A265" s="1">
        <f>HYPERLINK("http://www.twitter.com/NathanBLawrence/status/1001564462137081856", "1001564462137081856")</f>
        <v/>
      </c>
      <c r="B265" s="2" t="n">
        <v>43249.86284722222</v>
      </c>
      <c r="C265" t="n">
        <v>0</v>
      </c>
      <c r="D265" t="n">
        <v>33</v>
      </c>
      <c r="E265" t="s">
        <v>276</v>
      </c>
      <c r="F265" t="s"/>
      <c r="G265" t="s"/>
      <c r="H265" t="s"/>
      <c r="I265" t="s"/>
      <c r="J265" t="n">
        <v>0.3182</v>
      </c>
      <c r="K265" t="n">
        <v>0</v>
      </c>
      <c r="L265" t="n">
        <v>0.897</v>
      </c>
      <c r="M265" t="n">
        <v>0.103</v>
      </c>
    </row>
    <row r="266" spans="1:13">
      <c r="A266" s="1">
        <f>HYPERLINK("http://www.twitter.com/NathanBLawrence/status/1001564405073678339", "1001564405073678339")</f>
        <v/>
      </c>
      <c r="B266" s="2" t="n">
        <v>43249.86268518519</v>
      </c>
      <c r="C266" t="n">
        <v>0</v>
      </c>
      <c r="D266" t="n">
        <v>22</v>
      </c>
      <c r="E266" t="s">
        <v>277</v>
      </c>
      <c r="F266" t="s"/>
      <c r="G266" t="s"/>
      <c r="H266" t="s"/>
      <c r="I266" t="s"/>
      <c r="J266" t="n">
        <v>-0.4019</v>
      </c>
      <c r="K266" t="n">
        <v>0.144</v>
      </c>
      <c r="L266" t="n">
        <v>0.856</v>
      </c>
      <c r="M266" t="n">
        <v>0</v>
      </c>
    </row>
    <row r="267" spans="1:13">
      <c r="A267" s="1">
        <f>HYPERLINK("http://www.twitter.com/NathanBLawrence/status/1001564311087669254", "1001564311087669254")</f>
        <v/>
      </c>
      <c r="B267" s="2" t="n">
        <v>43249.86243055556</v>
      </c>
      <c r="C267" t="n">
        <v>0</v>
      </c>
      <c r="D267" t="n">
        <v>843</v>
      </c>
      <c r="E267" t="s">
        <v>278</v>
      </c>
      <c r="F267">
        <f>HYPERLINK("http://pbs.twimg.com/media/DeYpdF3X4AYhFmR.jpg", "http://pbs.twimg.com/media/DeYpdF3X4AYhFmR.jpg")</f>
        <v/>
      </c>
      <c r="G267" t="s"/>
      <c r="H267" t="s"/>
      <c r="I267" t="s"/>
      <c r="J267" t="n">
        <v>0</v>
      </c>
      <c r="K267" t="n">
        <v>0</v>
      </c>
      <c r="L267" t="n">
        <v>1</v>
      </c>
      <c r="M267" t="n">
        <v>0</v>
      </c>
    </row>
    <row r="268" spans="1:13">
      <c r="A268" s="1">
        <f>HYPERLINK("http://www.twitter.com/NathanBLawrence/status/1001564167512436742", "1001564167512436742")</f>
        <v/>
      </c>
      <c r="B268" s="2" t="n">
        <v>43249.86203703703</v>
      </c>
      <c r="C268" t="n">
        <v>0</v>
      </c>
      <c r="D268" t="n">
        <v>219</v>
      </c>
      <c r="E268" t="s">
        <v>279</v>
      </c>
      <c r="F268">
        <f>HYPERLINK("http://pbs.twimg.com/media/DeYmzDLX4AIM8o9.jpg", "http://pbs.twimg.com/media/DeYmzDLX4AIM8o9.jpg")</f>
        <v/>
      </c>
      <c r="G268" t="s"/>
      <c r="H268" t="s"/>
      <c r="I268" t="s"/>
      <c r="J268" t="n">
        <v>-0.5266999999999999</v>
      </c>
      <c r="K268" t="n">
        <v>0.145</v>
      </c>
      <c r="L268" t="n">
        <v>0.855</v>
      </c>
      <c r="M268" t="n">
        <v>0</v>
      </c>
    </row>
    <row r="269" spans="1:13">
      <c r="A269" s="1">
        <f>HYPERLINK("http://www.twitter.com/NathanBLawrence/status/1001564136634028034", "1001564136634028034")</f>
        <v/>
      </c>
      <c r="B269" s="2" t="n">
        <v>43249.86194444444</v>
      </c>
      <c r="C269" t="n">
        <v>0</v>
      </c>
      <c r="D269" t="n">
        <v>152</v>
      </c>
      <c r="E269" t="s">
        <v>280</v>
      </c>
      <c r="F269">
        <f>HYPERLINK("http://pbs.twimg.com/media/DeYmRSpWAAEilt9.jpg", "http://pbs.twimg.com/media/DeYmRSpWAAEilt9.jpg")</f>
        <v/>
      </c>
      <c r="G269" t="s"/>
      <c r="H269" t="s"/>
      <c r="I269" t="s"/>
      <c r="J269" t="n">
        <v>-0.6486</v>
      </c>
      <c r="K269" t="n">
        <v>0.209</v>
      </c>
      <c r="L269" t="n">
        <v>0.791</v>
      </c>
      <c r="M269" t="n">
        <v>0</v>
      </c>
    </row>
    <row r="270" spans="1:13">
      <c r="A270" s="1">
        <f>HYPERLINK("http://www.twitter.com/NathanBLawrence/status/1001564083961913344", "1001564083961913344")</f>
        <v/>
      </c>
      <c r="B270" s="2" t="n">
        <v>43249.86180555556</v>
      </c>
      <c r="C270" t="n">
        <v>0</v>
      </c>
      <c r="D270" t="n">
        <v>120</v>
      </c>
      <c r="E270" t="s">
        <v>281</v>
      </c>
      <c r="F270">
        <f>HYPERLINK("http://pbs.twimg.com/media/DeYlxM6X0AA0_vF.jpg", "http://pbs.twimg.com/media/DeYlxM6X0AA0_vF.jpg")</f>
        <v/>
      </c>
      <c r="G270" t="s"/>
      <c r="H270" t="s"/>
      <c r="I270" t="s"/>
      <c r="J270" t="n">
        <v>0</v>
      </c>
      <c r="K270" t="n">
        <v>0</v>
      </c>
      <c r="L270" t="n">
        <v>1</v>
      </c>
      <c r="M270" t="n">
        <v>0</v>
      </c>
    </row>
    <row r="271" spans="1:13">
      <c r="A271" s="1">
        <f>HYPERLINK("http://www.twitter.com/NathanBLawrence/status/1001563978739396608", "1001563978739396608")</f>
        <v/>
      </c>
      <c r="B271" s="2" t="n">
        <v>43249.8615162037</v>
      </c>
      <c r="C271" t="n">
        <v>0</v>
      </c>
      <c r="D271" t="n">
        <v>779</v>
      </c>
      <c r="E271" t="s">
        <v>282</v>
      </c>
      <c r="F271">
        <f>HYPERLINK("http://pbs.twimg.com/media/DeYkq2qX4AAtFiO.jpg", "http://pbs.twimg.com/media/DeYkq2qX4AAtFiO.jpg")</f>
        <v/>
      </c>
      <c r="G271">
        <f>HYPERLINK("http://pbs.twimg.com/media/DeYkq2oXkAEQfmX.jpg", "http://pbs.twimg.com/media/DeYkq2oXkAEQfmX.jpg")</f>
        <v/>
      </c>
      <c r="H271" t="s"/>
      <c r="I271" t="s"/>
      <c r="J271" t="n">
        <v>-0.6249</v>
      </c>
      <c r="K271" t="n">
        <v>0.231</v>
      </c>
      <c r="L271" t="n">
        <v>0.769</v>
      </c>
      <c r="M271" t="n">
        <v>0</v>
      </c>
    </row>
    <row r="272" spans="1:13">
      <c r="A272" s="1">
        <f>HYPERLINK("http://www.twitter.com/NathanBLawrence/status/1001563795834179585", "1001563795834179585")</f>
        <v/>
      </c>
      <c r="B272" s="2" t="n">
        <v>43249.86100694445</v>
      </c>
      <c r="C272" t="n">
        <v>0</v>
      </c>
      <c r="D272" t="n">
        <v>132</v>
      </c>
      <c r="E272" t="s">
        <v>283</v>
      </c>
      <c r="F272" t="s"/>
      <c r="G272" t="s"/>
      <c r="H272" t="s"/>
      <c r="I272" t="s"/>
      <c r="J272" t="n">
        <v>0.0194</v>
      </c>
      <c r="K272" t="n">
        <v>0.093</v>
      </c>
      <c r="L272" t="n">
        <v>0.8120000000000001</v>
      </c>
      <c r="M272" t="n">
        <v>0.095</v>
      </c>
    </row>
    <row r="273" spans="1:13">
      <c r="A273" s="1">
        <f>HYPERLINK("http://www.twitter.com/NathanBLawrence/status/1001563659238244352", "1001563659238244352")</f>
        <v/>
      </c>
      <c r="B273" s="2" t="n">
        <v>43249.86063657407</v>
      </c>
      <c r="C273" t="n">
        <v>0</v>
      </c>
      <c r="D273" t="n">
        <v>372</v>
      </c>
      <c r="E273" t="s">
        <v>284</v>
      </c>
      <c r="F273" t="s"/>
      <c r="G273" t="s"/>
      <c r="H273" t="s"/>
      <c r="I273" t="s"/>
      <c r="J273" t="n">
        <v>-0.6597</v>
      </c>
      <c r="K273" t="n">
        <v>0.213</v>
      </c>
      <c r="L273" t="n">
        <v>0.787</v>
      </c>
      <c r="M273" t="n">
        <v>0</v>
      </c>
    </row>
    <row r="274" spans="1:13">
      <c r="A274" s="1">
        <f>HYPERLINK("http://www.twitter.com/NathanBLawrence/status/1001563613826551809", "1001563613826551809")</f>
        <v/>
      </c>
      <c r="B274" s="2" t="n">
        <v>43249.86050925926</v>
      </c>
      <c r="C274" t="n">
        <v>0</v>
      </c>
      <c r="D274" t="n">
        <v>19</v>
      </c>
      <c r="E274" t="s">
        <v>285</v>
      </c>
      <c r="F274" t="s"/>
      <c r="G274" t="s"/>
      <c r="H274" t="s"/>
      <c r="I274" t="s"/>
      <c r="J274" t="n">
        <v>0.6486</v>
      </c>
      <c r="K274" t="n">
        <v>0</v>
      </c>
      <c r="L274" t="n">
        <v>0.782</v>
      </c>
      <c r="M274" t="n">
        <v>0.218</v>
      </c>
    </row>
    <row r="275" spans="1:13">
      <c r="A275" s="1">
        <f>HYPERLINK("http://www.twitter.com/NathanBLawrence/status/1001563514337742848", "1001563514337742848")</f>
        <v/>
      </c>
      <c r="B275" s="2" t="n">
        <v>43249.86023148148</v>
      </c>
      <c r="C275" t="n">
        <v>0</v>
      </c>
      <c r="D275" t="n">
        <v>329</v>
      </c>
      <c r="E275" t="s">
        <v>286</v>
      </c>
      <c r="F275" t="s"/>
      <c r="G275" t="s"/>
      <c r="H275" t="s"/>
      <c r="I275" t="s"/>
      <c r="J275" t="n">
        <v>-0.4404</v>
      </c>
      <c r="K275" t="n">
        <v>0.121</v>
      </c>
      <c r="L275" t="n">
        <v>0.879</v>
      </c>
      <c r="M275" t="n">
        <v>0</v>
      </c>
    </row>
    <row r="276" spans="1:13">
      <c r="A276" s="1">
        <f>HYPERLINK("http://www.twitter.com/NathanBLawrence/status/1001563496977399808", "1001563496977399808")</f>
        <v/>
      </c>
      <c r="B276" s="2" t="n">
        <v>43249.86018518519</v>
      </c>
      <c r="C276" t="n">
        <v>0</v>
      </c>
      <c r="D276" t="n">
        <v>1702</v>
      </c>
      <c r="E276" t="s">
        <v>287</v>
      </c>
      <c r="F276" t="s"/>
      <c r="G276" t="s"/>
      <c r="H276" t="s"/>
      <c r="I276" t="s"/>
      <c r="J276" t="n">
        <v>0.2732</v>
      </c>
      <c r="K276" t="n">
        <v>0</v>
      </c>
      <c r="L276" t="n">
        <v>0.9</v>
      </c>
      <c r="M276" t="n">
        <v>0.1</v>
      </c>
    </row>
    <row r="277" spans="1:13">
      <c r="A277" s="1">
        <f>HYPERLINK("http://www.twitter.com/NathanBLawrence/status/1001563189648265217", "1001563189648265217")</f>
        <v/>
      </c>
      <c r="B277" s="2" t="n">
        <v>43249.85934027778</v>
      </c>
      <c r="C277" t="n">
        <v>0</v>
      </c>
      <c r="D277" t="n">
        <v>10</v>
      </c>
      <c r="E277" t="s">
        <v>288</v>
      </c>
      <c r="F277" t="s"/>
      <c r="G277" t="s"/>
      <c r="H277" t="s"/>
      <c r="I277" t="s"/>
      <c r="J277" t="n">
        <v>0</v>
      </c>
      <c r="K277" t="n">
        <v>0</v>
      </c>
      <c r="L277" t="n">
        <v>1</v>
      </c>
      <c r="M277" t="n">
        <v>0</v>
      </c>
    </row>
    <row r="278" spans="1:13">
      <c r="A278" s="1">
        <f>HYPERLINK("http://www.twitter.com/NathanBLawrence/status/1001563094743691266", "1001563094743691266")</f>
        <v/>
      </c>
      <c r="B278" s="2" t="n">
        <v>43249.85907407408</v>
      </c>
      <c r="C278" t="n">
        <v>0</v>
      </c>
      <c r="D278" t="n">
        <v>291</v>
      </c>
      <c r="E278" t="s">
        <v>289</v>
      </c>
      <c r="F278" t="s"/>
      <c r="G278" t="s"/>
      <c r="H278" t="s"/>
      <c r="I278" t="s"/>
      <c r="J278" t="n">
        <v>-0.128</v>
      </c>
      <c r="K278" t="n">
        <v>0.176</v>
      </c>
      <c r="L278" t="n">
        <v>0.824</v>
      </c>
      <c r="M278" t="n">
        <v>0</v>
      </c>
    </row>
    <row r="279" spans="1:13">
      <c r="A279" s="1">
        <f>HYPERLINK("http://www.twitter.com/NathanBLawrence/status/1001563061029875712", "1001563061029875712")</f>
        <v/>
      </c>
      <c r="B279" s="2" t="n">
        <v>43249.85898148148</v>
      </c>
      <c r="C279" t="n">
        <v>0</v>
      </c>
      <c r="D279" t="n">
        <v>28</v>
      </c>
      <c r="E279" t="s">
        <v>290</v>
      </c>
      <c r="F279" t="s"/>
      <c r="G279" t="s"/>
      <c r="H279" t="s"/>
      <c r="I279" t="s"/>
      <c r="J279" t="n">
        <v>0</v>
      </c>
      <c r="K279" t="n">
        <v>0</v>
      </c>
      <c r="L279" t="n">
        <v>1</v>
      </c>
      <c r="M279" t="n">
        <v>0</v>
      </c>
    </row>
    <row r="280" spans="1:13">
      <c r="A280" s="1">
        <f>HYPERLINK("http://www.twitter.com/NathanBLawrence/status/1001563051936673795", "1001563051936673795")</f>
        <v/>
      </c>
      <c r="B280" s="2" t="n">
        <v>43249.85895833333</v>
      </c>
      <c r="C280" t="n">
        <v>0</v>
      </c>
      <c r="D280" t="n">
        <v>36</v>
      </c>
      <c r="E280" t="s">
        <v>291</v>
      </c>
      <c r="F280" t="s"/>
      <c r="G280" t="s"/>
      <c r="H280" t="s"/>
      <c r="I280" t="s"/>
      <c r="J280" t="n">
        <v>0</v>
      </c>
      <c r="K280" t="n">
        <v>0</v>
      </c>
      <c r="L280" t="n">
        <v>1</v>
      </c>
      <c r="M280" t="n">
        <v>0</v>
      </c>
    </row>
    <row r="281" spans="1:13">
      <c r="A281" s="1">
        <f>HYPERLINK("http://www.twitter.com/NathanBLawrence/status/1001562986144727040", "1001562986144727040")</f>
        <v/>
      </c>
      <c r="B281" s="2" t="n">
        <v>43249.85877314815</v>
      </c>
      <c r="C281" t="n">
        <v>0</v>
      </c>
      <c r="D281" t="n">
        <v>151</v>
      </c>
      <c r="E281" t="s">
        <v>292</v>
      </c>
      <c r="F281" t="s"/>
      <c r="G281" t="s"/>
      <c r="H281" t="s"/>
      <c r="I281" t="s"/>
      <c r="J281" t="n">
        <v>0</v>
      </c>
      <c r="K281" t="n">
        <v>0</v>
      </c>
      <c r="L281" t="n">
        <v>1</v>
      </c>
      <c r="M281" t="n">
        <v>0</v>
      </c>
    </row>
    <row r="282" spans="1:13">
      <c r="A282" s="1">
        <f>HYPERLINK("http://www.twitter.com/NathanBLawrence/status/1001562964565078016", "1001562964565078016")</f>
        <v/>
      </c>
      <c r="B282" s="2" t="n">
        <v>43249.85871527778</v>
      </c>
      <c r="C282" t="n">
        <v>0</v>
      </c>
      <c r="D282" t="n">
        <v>42</v>
      </c>
      <c r="E282" t="s">
        <v>293</v>
      </c>
      <c r="F282" t="s"/>
      <c r="G282" t="s"/>
      <c r="H282" t="s"/>
      <c r="I282" t="s"/>
      <c r="J282" t="n">
        <v>0.1513</v>
      </c>
      <c r="K282" t="n">
        <v>0.11</v>
      </c>
      <c r="L282" t="n">
        <v>0.75</v>
      </c>
      <c r="M282" t="n">
        <v>0.14</v>
      </c>
    </row>
    <row r="283" spans="1:13">
      <c r="A283" s="1">
        <f>HYPERLINK("http://www.twitter.com/NathanBLawrence/status/1001562799670218754", "1001562799670218754")</f>
        <v/>
      </c>
      <c r="B283" s="2" t="n">
        <v>43249.85826388889</v>
      </c>
      <c r="C283" t="n">
        <v>0</v>
      </c>
      <c r="D283" t="n">
        <v>1794</v>
      </c>
      <c r="E283" t="s">
        <v>294</v>
      </c>
      <c r="F283" t="s"/>
      <c r="G283" t="s"/>
      <c r="H283" t="s"/>
      <c r="I283" t="s"/>
      <c r="J283" t="n">
        <v>-0.2023</v>
      </c>
      <c r="K283" t="n">
        <v>0.12</v>
      </c>
      <c r="L283" t="n">
        <v>0.789</v>
      </c>
      <c r="M283" t="n">
        <v>0.09</v>
      </c>
    </row>
    <row r="284" spans="1:13">
      <c r="A284" s="1">
        <f>HYPERLINK("http://www.twitter.com/NathanBLawrence/status/1001562549123538944", "1001562549123538944")</f>
        <v/>
      </c>
      <c r="B284" s="2" t="n">
        <v>43249.85756944444</v>
      </c>
      <c r="C284" t="n">
        <v>0</v>
      </c>
      <c r="D284" t="n">
        <v>239</v>
      </c>
      <c r="E284" t="s">
        <v>295</v>
      </c>
      <c r="F284">
        <f>HYPERLINK("http://pbs.twimg.com/media/DeYVB1WV0AA4fyI.jpg", "http://pbs.twimg.com/media/DeYVB1WV0AA4fyI.jpg")</f>
        <v/>
      </c>
      <c r="G284" t="s"/>
      <c r="H284" t="s"/>
      <c r="I284" t="s"/>
      <c r="J284" t="n">
        <v>0.1027</v>
      </c>
      <c r="K284" t="n">
        <v>0.113</v>
      </c>
      <c r="L284" t="n">
        <v>0.728</v>
      </c>
      <c r="M284" t="n">
        <v>0.159</v>
      </c>
    </row>
    <row r="285" spans="1:13">
      <c r="A285" s="1">
        <f>HYPERLINK("http://www.twitter.com/NathanBLawrence/status/1001562496602435584", "1001562496602435584")</f>
        <v/>
      </c>
      <c r="B285" s="2" t="n">
        <v>43249.85741898148</v>
      </c>
      <c r="C285" t="n">
        <v>0</v>
      </c>
      <c r="D285" t="n">
        <v>229</v>
      </c>
      <c r="E285" t="s">
        <v>296</v>
      </c>
      <c r="F285" t="s"/>
      <c r="G285" t="s"/>
      <c r="H285" t="s"/>
      <c r="I285" t="s"/>
      <c r="J285" t="n">
        <v>0.3612</v>
      </c>
      <c r="K285" t="n">
        <v>0</v>
      </c>
      <c r="L285" t="n">
        <v>0.894</v>
      </c>
      <c r="M285" t="n">
        <v>0.106</v>
      </c>
    </row>
    <row r="286" spans="1:13">
      <c r="A286" s="1">
        <f>HYPERLINK("http://www.twitter.com/NathanBLawrence/status/1001562356466450432", "1001562356466450432")</f>
        <v/>
      </c>
      <c r="B286" s="2" t="n">
        <v>43249.85703703704</v>
      </c>
      <c r="C286" t="n">
        <v>0</v>
      </c>
      <c r="D286" t="n">
        <v>22108</v>
      </c>
      <c r="E286" t="s">
        <v>297</v>
      </c>
      <c r="F286" t="s"/>
      <c r="G286" t="s"/>
      <c r="H286" t="s"/>
      <c r="I286" t="s"/>
      <c r="J286" t="n">
        <v>-0.8074</v>
      </c>
      <c r="K286" t="n">
        <v>0.293</v>
      </c>
      <c r="L286" t="n">
        <v>0.707</v>
      </c>
      <c r="M286" t="n">
        <v>0</v>
      </c>
    </row>
    <row r="287" spans="1:13">
      <c r="A287" s="1">
        <f>HYPERLINK("http://www.twitter.com/NathanBLawrence/status/1001562173007679488", "1001562173007679488")</f>
        <v/>
      </c>
      <c r="B287" s="2" t="n">
        <v>43249.85652777777</v>
      </c>
      <c r="C287" t="n">
        <v>0</v>
      </c>
      <c r="D287" t="n">
        <v>23709</v>
      </c>
      <c r="E287" t="s">
        <v>298</v>
      </c>
      <c r="F287" t="s"/>
      <c r="G287" t="s"/>
      <c r="H287" t="s"/>
      <c r="I287" t="s"/>
      <c r="J287" t="n">
        <v>-0.3818</v>
      </c>
      <c r="K287" t="n">
        <v>0.215</v>
      </c>
      <c r="L287" t="n">
        <v>0.625</v>
      </c>
      <c r="M287" t="n">
        <v>0.16</v>
      </c>
    </row>
    <row r="288" spans="1:13">
      <c r="A288" s="1">
        <f>HYPERLINK("http://www.twitter.com/NathanBLawrence/status/1001562133891608576", "1001562133891608576")</f>
        <v/>
      </c>
      <c r="B288" s="2" t="n">
        <v>43249.85642361111</v>
      </c>
      <c r="C288" t="n">
        <v>0</v>
      </c>
      <c r="D288" t="n">
        <v>51</v>
      </c>
      <c r="E288" t="s">
        <v>299</v>
      </c>
      <c r="F288" t="s"/>
      <c r="G288" t="s"/>
      <c r="H288" t="s"/>
      <c r="I288" t="s"/>
      <c r="J288" t="n">
        <v>0.7579</v>
      </c>
      <c r="K288" t="n">
        <v>0</v>
      </c>
      <c r="L288" t="n">
        <v>0.723</v>
      </c>
      <c r="M288" t="n">
        <v>0.277</v>
      </c>
    </row>
    <row r="289" spans="1:13">
      <c r="A289" s="1">
        <f>HYPERLINK("http://www.twitter.com/NathanBLawrence/status/1001562073896284160", "1001562073896284160")</f>
        <v/>
      </c>
      <c r="B289" s="2" t="n">
        <v>43249.85626157407</v>
      </c>
      <c r="C289" t="n">
        <v>0</v>
      </c>
      <c r="D289" t="n">
        <v>6778</v>
      </c>
      <c r="E289" t="s">
        <v>300</v>
      </c>
      <c r="F289" t="s"/>
      <c r="G289" t="s"/>
      <c r="H289" t="s"/>
      <c r="I289" t="s"/>
      <c r="J289" t="n">
        <v>0</v>
      </c>
      <c r="K289" t="n">
        <v>0</v>
      </c>
      <c r="L289" t="n">
        <v>1</v>
      </c>
      <c r="M289" t="n">
        <v>0</v>
      </c>
    </row>
    <row r="290" spans="1:13">
      <c r="A290" s="1">
        <f>HYPERLINK("http://www.twitter.com/NathanBLawrence/status/1001561763308064770", "1001561763308064770")</f>
        <v/>
      </c>
      <c r="B290" s="2" t="n">
        <v>43249.8554050926</v>
      </c>
      <c r="C290" t="n">
        <v>0</v>
      </c>
      <c r="D290" t="n">
        <v>1285</v>
      </c>
      <c r="E290" t="s">
        <v>301</v>
      </c>
      <c r="F290" t="s"/>
      <c r="G290" t="s"/>
      <c r="H290" t="s"/>
      <c r="I290" t="s"/>
      <c r="J290" t="n">
        <v>0.3182</v>
      </c>
      <c r="K290" t="n">
        <v>0</v>
      </c>
      <c r="L290" t="n">
        <v>0.905</v>
      </c>
      <c r="M290" t="n">
        <v>0.095</v>
      </c>
    </row>
    <row r="291" spans="1:13">
      <c r="A291" s="1">
        <f>HYPERLINK("http://www.twitter.com/NathanBLawrence/status/1001561373338406912", "1001561373338406912")</f>
        <v/>
      </c>
      <c r="B291" s="2" t="n">
        <v>43249.8543287037</v>
      </c>
      <c r="C291" t="n">
        <v>0</v>
      </c>
      <c r="D291" t="n">
        <v>284</v>
      </c>
      <c r="E291" t="s">
        <v>302</v>
      </c>
      <c r="F291">
        <f>HYPERLINK("http://pbs.twimg.com/media/DeVdDjyWkAAXcxt.jpg", "http://pbs.twimg.com/media/DeVdDjyWkAAXcxt.jpg")</f>
        <v/>
      </c>
      <c r="G291" t="s"/>
      <c r="H291" t="s"/>
      <c r="I291" t="s"/>
      <c r="J291" t="n">
        <v>-0.2732</v>
      </c>
      <c r="K291" t="n">
        <v>0.1</v>
      </c>
      <c r="L291" t="n">
        <v>0.9</v>
      </c>
      <c r="M291" t="n">
        <v>0</v>
      </c>
    </row>
    <row r="292" spans="1:13">
      <c r="A292" s="1">
        <f>HYPERLINK("http://www.twitter.com/NathanBLawrence/status/1001561186083770368", "1001561186083770368")</f>
        <v/>
      </c>
      <c r="B292" s="2" t="n">
        <v>43249.85380787037</v>
      </c>
      <c r="C292" t="n">
        <v>0</v>
      </c>
      <c r="D292" t="n">
        <v>80</v>
      </c>
      <c r="E292" t="s">
        <v>303</v>
      </c>
      <c r="F292">
        <f>HYPERLINK("http://pbs.twimg.com/media/DeU6jXeW4AACTHL.jpg", "http://pbs.twimg.com/media/DeU6jXeW4AACTHL.jpg")</f>
        <v/>
      </c>
      <c r="G292" t="s"/>
      <c r="H292" t="s"/>
      <c r="I292" t="s"/>
      <c r="J292" t="n">
        <v>0</v>
      </c>
      <c r="K292" t="n">
        <v>0</v>
      </c>
      <c r="L292" t="n">
        <v>1</v>
      </c>
      <c r="M292" t="n">
        <v>0</v>
      </c>
    </row>
    <row r="293" spans="1:13">
      <c r="A293" s="1">
        <f>HYPERLINK("http://www.twitter.com/NathanBLawrence/status/1001560842402516992", "1001560842402516992")</f>
        <v/>
      </c>
      <c r="B293" s="2" t="n">
        <v>43249.85285879629</v>
      </c>
      <c r="C293" t="n">
        <v>0</v>
      </c>
      <c r="D293" t="n">
        <v>3</v>
      </c>
      <c r="E293" t="s">
        <v>304</v>
      </c>
      <c r="F293" t="s"/>
      <c r="G293" t="s"/>
      <c r="H293" t="s"/>
      <c r="I293" t="s"/>
      <c r="J293" t="n">
        <v>-0.8516</v>
      </c>
      <c r="K293" t="n">
        <v>0.304</v>
      </c>
      <c r="L293" t="n">
        <v>0.696</v>
      </c>
      <c r="M293" t="n">
        <v>0</v>
      </c>
    </row>
    <row r="294" spans="1:13">
      <c r="A294" s="1">
        <f>HYPERLINK("http://www.twitter.com/NathanBLawrence/status/1001560753135026177", "1001560753135026177")</f>
        <v/>
      </c>
      <c r="B294" s="2" t="n">
        <v>43249.85261574074</v>
      </c>
      <c r="C294" t="n">
        <v>0</v>
      </c>
      <c r="D294" t="n">
        <v>7</v>
      </c>
      <c r="E294" t="s">
        <v>305</v>
      </c>
      <c r="F294" t="s"/>
      <c r="G294" t="s"/>
      <c r="H294" t="s"/>
      <c r="I294" t="s"/>
      <c r="J294" t="n">
        <v>0.6666</v>
      </c>
      <c r="K294" t="n">
        <v>0</v>
      </c>
      <c r="L294" t="n">
        <v>0.801</v>
      </c>
      <c r="M294" t="n">
        <v>0.199</v>
      </c>
    </row>
    <row r="295" spans="1:13">
      <c r="A295" s="1">
        <f>HYPERLINK("http://www.twitter.com/NathanBLawrence/status/1001560594728833024", "1001560594728833024")</f>
        <v/>
      </c>
      <c r="B295" s="2" t="n">
        <v>43249.85217592592</v>
      </c>
      <c r="C295" t="n">
        <v>0</v>
      </c>
      <c r="D295" t="n">
        <v>252</v>
      </c>
      <c r="E295" t="s">
        <v>306</v>
      </c>
      <c r="F295" t="s"/>
      <c r="G295" t="s"/>
      <c r="H295" t="s"/>
      <c r="I295" t="s"/>
      <c r="J295" t="n">
        <v>0.3167</v>
      </c>
      <c r="K295" t="n">
        <v>0.137</v>
      </c>
      <c r="L295" t="n">
        <v>0.649</v>
      </c>
      <c r="M295" t="n">
        <v>0.215</v>
      </c>
    </row>
    <row r="296" spans="1:13">
      <c r="A296" s="1">
        <f>HYPERLINK("http://www.twitter.com/NathanBLawrence/status/1001560461962305536", "1001560461962305536")</f>
        <v/>
      </c>
      <c r="B296" s="2" t="n">
        <v>43249.85180555555</v>
      </c>
      <c r="C296" t="n">
        <v>0</v>
      </c>
      <c r="D296" t="n">
        <v>285</v>
      </c>
      <c r="E296" t="s">
        <v>307</v>
      </c>
      <c r="F296" t="s"/>
      <c r="G296" t="s"/>
      <c r="H296" t="s"/>
      <c r="I296" t="s"/>
      <c r="J296" t="n">
        <v>0.4389</v>
      </c>
      <c r="K296" t="n">
        <v>0</v>
      </c>
      <c r="L296" t="n">
        <v>0.734</v>
      </c>
      <c r="M296" t="n">
        <v>0.266</v>
      </c>
    </row>
    <row r="297" spans="1:13">
      <c r="A297" s="1">
        <f>HYPERLINK("http://www.twitter.com/NathanBLawrence/status/1001560421394993153", "1001560421394993153")</f>
        <v/>
      </c>
      <c r="B297" s="2" t="n">
        <v>43249.85170138889</v>
      </c>
      <c r="C297" t="n">
        <v>0</v>
      </c>
      <c r="D297" t="n">
        <v>11</v>
      </c>
      <c r="E297" t="s">
        <v>308</v>
      </c>
      <c r="F297" t="s"/>
      <c r="G297" t="s"/>
      <c r="H297" t="s"/>
      <c r="I297" t="s"/>
      <c r="J297" t="n">
        <v>0</v>
      </c>
      <c r="K297" t="n">
        <v>0</v>
      </c>
      <c r="L297" t="n">
        <v>1</v>
      </c>
      <c r="M297" t="n">
        <v>0</v>
      </c>
    </row>
    <row r="298" spans="1:13">
      <c r="A298" s="1">
        <f>HYPERLINK("http://www.twitter.com/NathanBLawrence/status/1001560272962715648", "1001560272962715648")</f>
        <v/>
      </c>
      <c r="B298" s="2" t="n">
        <v>43249.85128472222</v>
      </c>
      <c r="C298" t="n">
        <v>0</v>
      </c>
      <c r="D298" t="n">
        <v>0</v>
      </c>
      <c r="E298" t="s">
        <v>309</v>
      </c>
      <c r="F298" t="s"/>
      <c r="G298" t="s"/>
      <c r="H298" t="s"/>
      <c r="I298" t="s"/>
      <c r="J298" t="n">
        <v>-0.4404</v>
      </c>
      <c r="K298" t="n">
        <v>0.08799999999999999</v>
      </c>
      <c r="L298" t="n">
        <v>0.912</v>
      </c>
      <c r="M298" t="n">
        <v>0</v>
      </c>
    </row>
    <row r="299" spans="1:13">
      <c r="A299" s="1">
        <f>HYPERLINK("http://www.twitter.com/NathanBLawrence/status/1001559020040278016", "1001559020040278016")</f>
        <v/>
      </c>
      <c r="B299" s="2" t="n">
        <v>43249.84783564815</v>
      </c>
      <c r="C299" t="n">
        <v>0</v>
      </c>
      <c r="D299" t="n">
        <v>0</v>
      </c>
      <c r="E299" t="s">
        <v>310</v>
      </c>
      <c r="F299" t="s"/>
      <c r="G299" t="s"/>
      <c r="H299" t="s"/>
      <c r="I299" t="s"/>
      <c r="J299" t="n">
        <v>0.7783</v>
      </c>
      <c r="K299" t="n">
        <v>0</v>
      </c>
      <c r="L299" t="n">
        <v>0.698</v>
      </c>
      <c r="M299" t="n">
        <v>0.302</v>
      </c>
    </row>
    <row r="300" spans="1:13">
      <c r="A300" s="1">
        <f>HYPERLINK("http://www.twitter.com/NathanBLawrence/status/1001558647783256065", "1001558647783256065")</f>
        <v/>
      </c>
      <c r="B300" s="2" t="n">
        <v>43249.84680555556</v>
      </c>
      <c r="C300" t="n">
        <v>0</v>
      </c>
      <c r="D300" t="n">
        <v>0</v>
      </c>
      <c r="E300" t="s">
        <v>311</v>
      </c>
      <c r="F300" t="s"/>
      <c r="G300" t="s"/>
      <c r="H300" t="s"/>
      <c r="I300" t="s"/>
      <c r="J300" t="n">
        <v>-0.5744</v>
      </c>
      <c r="K300" t="n">
        <v>0.299</v>
      </c>
      <c r="L300" t="n">
        <v>0.606</v>
      </c>
      <c r="M300" t="n">
        <v>0.095</v>
      </c>
    </row>
    <row r="301" spans="1:13">
      <c r="A301" s="1">
        <f>HYPERLINK("http://www.twitter.com/NathanBLawrence/status/1001558173030010881", "1001558173030010881")</f>
        <v/>
      </c>
      <c r="B301" s="2" t="n">
        <v>43249.84549768519</v>
      </c>
      <c r="C301" t="n">
        <v>0</v>
      </c>
      <c r="D301" t="n">
        <v>0</v>
      </c>
      <c r="E301" t="s">
        <v>312</v>
      </c>
      <c r="F301" t="s"/>
      <c r="G301" t="s"/>
      <c r="H301" t="s"/>
      <c r="I301" t="s"/>
      <c r="J301" t="n">
        <v>0</v>
      </c>
      <c r="K301" t="n">
        <v>0</v>
      </c>
      <c r="L301" t="n">
        <v>1</v>
      </c>
      <c r="M301" t="n">
        <v>0</v>
      </c>
    </row>
    <row r="302" spans="1:13">
      <c r="A302" s="1">
        <f>HYPERLINK("http://www.twitter.com/NathanBLawrence/status/1001535815401472000", "1001535815401472000")</f>
        <v/>
      </c>
      <c r="B302" s="2" t="n">
        <v>43249.78379629629</v>
      </c>
      <c r="C302" t="n">
        <v>0</v>
      </c>
      <c r="D302" t="n">
        <v>0</v>
      </c>
      <c r="E302" t="s">
        <v>313</v>
      </c>
      <c r="F302" t="s"/>
      <c r="G302" t="s"/>
      <c r="H302" t="s"/>
      <c r="I302" t="s"/>
      <c r="J302" t="n">
        <v>-0.8689</v>
      </c>
      <c r="K302" t="n">
        <v>0.205</v>
      </c>
      <c r="L302" t="n">
        <v>0.795</v>
      </c>
      <c r="M302" t="n">
        <v>0</v>
      </c>
    </row>
    <row r="303" spans="1:13">
      <c r="A303" s="1">
        <f>HYPERLINK("http://www.twitter.com/NathanBLawrence/status/1001534694654205952", "1001534694654205952")</f>
        <v/>
      </c>
      <c r="B303" s="2" t="n">
        <v>43249.78070601852</v>
      </c>
      <c r="C303" t="n">
        <v>0</v>
      </c>
      <c r="D303" t="n">
        <v>1</v>
      </c>
      <c r="E303" t="s">
        <v>314</v>
      </c>
      <c r="F303" t="s"/>
      <c r="G303" t="s"/>
      <c r="H303" t="s"/>
      <c r="I303" t="s"/>
      <c r="J303" t="n">
        <v>0.5423</v>
      </c>
      <c r="K303" t="n">
        <v>0</v>
      </c>
      <c r="L303" t="n">
        <v>0.78</v>
      </c>
      <c r="M303" t="n">
        <v>0.22</v>
      </c>
    </row>
    <row r="304" spans="1:13">
      <c r="A304" s="1">
        <f>HYPERLINK("http://www.twitter.com/NathanBLawrence/status/1001524705055199232", "1001524705055199232")</f>
        <v/>
      </c>
      <c r="B304" s="2" t="n">
        <v>43249.75313657407</v>
      </c>
      <c r="C304" t="n">
        <v>0</v>
      </c>
      <c r="D304" t="n">
        <v>296</v>
      </c>
      <c r="E304" t="s">
        <v>315</v>
      </c>
      <c r="F304" t="s"/>
      <c r="G304" t="s"/>
      <c r="H304" t="s"/>
      <c r="I304" t="s"/>
      <c r="J304" t="n">
        <v>0.4767</v>
      </c>
      <c r="K304" t="n">
        <v>0</v>
      </c>
      <c r="L304" t="n">
        <v>0.871</v>
      </c>
      <c r="M304" t="n">
        <v>0.129</v>
      </c>
    </row>
    <row r="305" spans="1:13">
      <c r="A305" s="1">
        <f>HYPERLINK("http://www.twitter.com/NathanBLawrence/status/1001524663556689920", "1001524663556689920")</f>
        <v/>
      </c>
      <c r="B305" s="2" t="n">
        <v>43249.75302083333</v>
      </c>
      <c r="C305" t="n">
        <v>1</v>
      </c>
      <c r="D305" t="n">
        <v>0</v>
      </c>
      <c r="E305" t="s">
        <v>316</v>
      </c>
      <c r="F305" t="s"/>
      <c r="G305" t="s"/>
      <c r="H305" t="s"/>
      <c r="I305" t="s"/>
      <c r="J305" t="n">
        <v>0.5786</v>
      </c>
      <c r="K305" t="n">
        <v>0.027</v>
      </c>
      <c r="L305" t="n">
        <v>0.864</v>
      </c>
      <c r="M305" t="n">
        <v>0.11</v>
      </c>
    </row>
    <row r="306" spans="1:13">
      <c r="A306" s="1">
        <f>HYPERLINK("http://www.twitter.com/NathanBLawrence/status/1001523488958664704", "1001523488958664704")</f>
        <v/>
      </c>
      <c r="B306" s="2" t="n">
        <v>43249.74978009259</v>
      </c>
      <c r="C306" t="n">
        <v>0</v>
      </c>
      <c r="D306" t="n">
        <v>1</v>
      </c>
      <c r="E306" t="s">
        <v>317</v>
      </c>
      <c r="F306" t="s"/>
      <c r="G306" t="s"/>
      <c r="H306" t="s"/>
      <c r="I306" t="s"/>
      <c r="J306" t="n">
        <v>0.2263</v>
      </c>
      <c r="K306" t="n">
        <v>0.065</v>
      </c>
      <c r="L306" t="n">
        <v>0.829</v>
      </c>
      <c r="M306" t="n">
        <v>0.106</v>
      </c>
    </row>
    <row r="307" spans="1:13">
      <c r="A307" s="1">
        <f>HYPERLINK("http://www.twitter.com/NathanBLawrence/status/1001510590282682368", "1001510590282682368")</f>
        <v/>
      </c>
      <c r="B307" s="2" t="n">
        <v>43249.71418981482</v>
      </c>
      <c r="C307" t="n">
        <v>0</v>
      </c>
      <c r="D307" t="n">
        <v>85</v>
      </c>
      <c r="E307" t="s">
        <v>318</v>
      </c>
      <c r="F307">
        <f>HYPERLINK("http://pbs.twimg.com/media/DeU-735V4AElddp.jpg", "http://pbs.twimg.com/media/DeU-735V4AElddp.jpg")</f>
        <v/>
      </c>
      <c r="G307" t="s"/>
      <c r="H307" t="s"/>
      <c r="I307" t="s"/>
      <c r="J307" t="n">
        <v>0.0772</v>
      </c>
      <c r="K307" t="n">
        <v>0</v>
      </c>
      <c r="L307" t="n">
        <v>0.951</v>
      </c>
      <c r="M307" t="n">
        <v>0.049</v>
      </c>
    </row>
    <row r="308" spans="1:13">
      <c r="A308" s="1">
        <f>HYPERLINK("http://www.twitter.com/NathanBLawrence/status/1001492215783460866", "1001492215783460866")</f>
        <v/>
      </c>
      <c r="B308" s="2" t="n">
        <v>43249.6634837963</v>
      </c>
      <c r="C308" t="n">
        <v>0</v>
      </c>
      <c r="D308" t="n">
        <v>55</v>
      </c>
      <c r="E308" t="s">
        <v>319</v>
      </c>
      <c r="F308" t="s"/>
      <c r="G308" t="s"/>
      <c r="H308" t="s"/>
      <c r="I308" t="s"/>
      <c r="J308" t="n">
        <v>0.5638</v>
      </c>
      <c r="K308" t="n">
        <v>0.093</v>
      </c>
      <c r="L308" t="n">
        <v>0.677</v>
      </c>
      <c r="M308" t="n">
        <v>0.23</v>
      </c>
    </row>
    <row r="309" spans="1:13">
      <c r="A309" s="1">
        <f>HYPERLINK("http://www.twitter.com/NathanBLawrence/status/1001492149681172487", "1001492149681172487")</f>
        <v/>
      </c>
      <c r="B309" s="2" t="n">
        <v>43249.66329861111</v>
      </c>
      <c r="C309" t="n">
        <v>0</v>
      </c>
      <c r="D309" t="n">
        <v>61</v>
      </c>
      <c r="E309" t="s">
        <v>320</v>
      </c>
      <c r="F309" t="s"/>
      <c r="G309" t="s"/>
      <c r="H309" t="s"/>
      <c r="I309" t="s"/>
      <c r="J309" t="n">
        <v>-0.5023</v>
      </c>
      <c r="K309" t="n">
        <v>0.183</v>
      </c>
      <c r="L309" t="n">
        <v>0.8169999999999999</v>
      </c>
      <c r="M309" t="n">
        <v>0</v>
      </c>
    </row>
    <row r="310" spans="1:13">
      <c r="A310" s="1">
        <f>HYPERLINK("http://www.twitter.com/NathanBLawrence/status/1001492081137897472", "1001492081137897472")</f>
        <v/>
      </c>
      <c r="B310" s="2" t="n">
        <v>43249.66311342592</v>
      </c>
      <c r="C310" t="n">
        <v>0</v>
      </c>
      <c r="D310" t="n">
        <v>93</v>
      </c>
      <c r="E310" t="s">
        <v>321</v>
      </c>
      <c r="F310" t="s"/>
      <c r="G310" t="s"/>
      <c r="H310" t="s"/>
      <c r="I310" t="s"/>
      <c r="J310" t="n">
        <v>-0.601</v>
      </c>
      <c r="K310" t="n">
        <v>0.217</v>
      </c>
      <c r="L310" t="n">
        <v>0.712</v>
      </c>
      <c r="M310" t="n">
        <v>0.07099999999999999</v>
      </c>
    </row>
    <row r="311" spans="1:13">
      <c r="A311" s="1">
        <f>HYPERLINK("http://www.twitter.com/NathanBLawrence/status/1001491983641268224", "1001491983641268224")</f>
        <v/>
      </c>
      <c r="B311" s="2" t="n">
        <v>43249.66284722222</v>
      </c>
      <c r="C311" t="n">
        <v>0</v>
      </c>
      <c r="D311" t="n">
        <v>128</v>
      </c>
      <c r="E311" t="s">
        <v>322</v>
      </c>
      <c r="F311" t="s"/>
      <c r="G311" t="s"/>
      <c r="H311" t="s"/>
      <c r="I311" t="s"/>
      <c r="J311" t="n">
        <v>0.2023</v>
      </c>
      <c r="K311" t="n">
        <v>0.12</v>
      </c>
      <c r="L311" t="n">
        <v>0.721</v>
      </c>
      <c r="M311" t="n">
        <v>0.159</v>
      </c>
    </row>
    <row r="312" spans="1:13">
      <c r="A312" s="1">
        <f>HYPERLINK("http://www.twitter.com/NathanBLawrence/status/1001491721233027074", "1001491721233027074")</f>
        <v/>
      </c>
      <c r="B312" s="2" t="n">
        <v>43249.66211805555</v>
      </c>
      <c r="C312" t="n">
        <v>0</v>
      </c>
      <c r="D312" t="n">
        <v>49</v>
      </c>
      <c r="E312" t="s">
        <v>323</v>
      </c>
      <c r="F312" t="s"/>
      <c r="G312" t="s"/>
      <c r="H312" t="s"/>
      <c r="I312" t="s"/>
      <c r="J312" t="n">
        <v>0.5719</v>
      </c>
      <c r="K312" t="n">
        <v>0</v>
      </c>
      <c r="L312" t="n">
        <v>0.778</v>
      </c>
      <c r="M312" t="n">
        <v>0.222</v>
      </c>
    </row>
    <row r="313" spans="1:13">
      <c r="A313" s="1">
        <f>HYPERLINK("http://www.twitter.com/NathanBLawrence/status/1001491334925037568", "1001491334925037568")</f>
        <v/>
      </c>
      <c r="B313" s="2" t="n">
        <v>43249.66105324074</v>
      </c>
      <c r="C313" t="n">
        <v>0</v>
      </c>
      <c r="D313" t="n">
        <v>49</v>
      </c>
      <c r="E313" t="s">
        <v>324</v>
      </c>
      <c r="F313" t="s"/>
      <c r="G313" t="s"/>
      <c r="H313" t="s"/>
      <c r="I313" t="s"/>
      <c r="J313" t="n">
        <v>0</v>
      </c>
      <c r="K313" t="n">
        <v>0</v>
      </c>
      <c r="L313" t="n">
        <v>1</v>
      </c>
      <c r="M313" t="n">
        <v>0</v>
      </c>
    </row>
    <row r="314" spans="1:13">
      <c r="A314" s="1">
        <f>HYPERLINK("http://www.twitter.com/NathanBLawrence/status/1001491221846659072", "1001491221846659072")</f>
        <v/>
      </c>
      <c r="B314" s="2" t="n">
        <v>43249.66074074074</v>
      </c>
      <c r="C314" t="n">
        <v>0</v>
      </c>
      <c r="D314" t="n">
        <v>68</v>
      </c>
      <c r="E314" t="s">
        <v>325</v>
      </c>
      <c r="F314" t="s"/>
      <c r="G314" t="s"/>
      <c r="H314" t="s"/>
      <c r="I314" t="s"/>
      <c r="J314" t="n">
        <v>-0.4404</v>
      </c>
      <c r="K314" t="n">
        <v>0.162</v>
      </c>
      <c r="L314" t="n">
        <v>0.838</v>
      </c>
      <c r="M314" t="n">
        <v>0</v>
      </c>
    </row>
    <row r="315" spans="1:13">
      <c r="A315" s="1">
        <f>HYPERLINK("http://www.twitter.com/NathanBLawrence/status/1001491189516918784", "1001491189516918784")</f>
        <v/>
      </c>
      <c r="B315" s="2" t="n">
        <v>43249.66065972222</v>
      </c>
      <c r="C315" t="n">
        <v>0</v>
      </c>
      <c r="D315" t="n">
        <v>20</v>
      </c>
      <c r="E315" t="s">
        <v>326</v>
      </c>
      <c r="F315" t="s"/>
      <c r="G315" t="s"/>
      <c r="H315" t="s"/>
      <c r="I315" t="s"/>
      <c r="J315" t="n">
        <v>-0.5848</v>
      </c>
      <c r="K315" t="n">
        <v>0.159</v>
      </c>
      <c r="L315" t="n">
        <v>0.841</v>
      </c>
      <c r="M315" t="n">
        <v>0</v>
      </c>
    </row>
    <row r="316" spans="1:13">
      <c r="A316" s="1">
        <f>HYPERLINK("http://www.twitter.com/NathanBLawrence/status/1001491132793217024", "1001491132793217024")</f>
        <v/>
      </c>
      <c r="B316" s="2" t="n">
        <v>43249.66049768519</v>
      </c>
      <c r="C316" t="n">
        <v>0</v>
      </c>
      <c r="D316" t="n">
        <v>36</v>
      </c>
      <c r="E316" t="s">
        <v>327</v>
      </c>
      <c r="F316" t="s"/>
      <c r="G316" t="s"/>
      <c r="H316" t="s"/>
      <c r="I316" t="s"/>
      <c r="J316" t="n">
        <v>-0.4404</v>
      </c>
      <c r="K316" t="n">
        <v>0.17</v>
      </c>
      <c r="L316" t="n">
        <v>0.742</v>
      </c>
      <c r="M316" t="n">
        <v>0.08699999999999999</v>
      </c>
    </row>
    <row r="317" spans="1:13">
      <c r="A317" s="1">
        <f>HYPERLINK("http://www.twitter.com/NathanBLawrence/status/1001491016711573505", "1001491016711573505")</f>
        <v/>
      </c>
      <c r="B317" s="2" t="n">
        <v>43249.66017361111</v>
      </c>
      <c r="C317" t="n">
        <v>0</v>
      </c>
      <c r="D317" t="n">
        <v>3712</v>
      </c>
      <c r="E317" t="s">
        <v>328</v>
      </c>
      <c r="F317" t="s"/>
      <c r="G317" t="s"/>
      <c r="H317" t="s"/>
      <c r="I317" t="s"/>
      <c r="J317" t="n">
        <v>0.9324</v>
      </c>
      <c r="K317" t="n">
        <v>0</v>
      </c>
      <c r="L317" t="n">
        <v>0.516</v>
      </c>
      <c r="M317" t="n">
        <v>0.484</v>
      </c>
    </row>
    <row r="318" spans="1:13">
      <c r="A318" s="1">
        <f>HYPERLINK("http://www.twitter.com/NathanBLawrence/status/1001490923623247872", "1001490923623247872")</f>
        <v/>
      </c>
      <c r="B318" s="2" t="n">
        <v>43249.65991898148</v>
      </c>
      <c r="C318" t="n">
        <v>0</v>
      </c>
      <c r="D318" t="n">
        <v>2579</v>
      </c>
      <c r="E318" t="s">
        <v>329</v>
      </c>
      <c r="F318" t="s"/>
      <c r="G318" t="s"/>
      <c r="H318" t="s"/>
      <c r="I318" t="s"/>
      <c r="J318" t="n">
        <v>-0.2732</v>
      </c>
      <c r="K318" t="n">
        <v>0.08</v>
      </c>
      <c r="L318" t="n">
        <v>0.92</v>
      </c>
      <c r="M318" t="n">
        <v>0</v>
      </c>
    </row>
    <row r="319" spans="1:13">
      <c r="A319" s="1">
        <f>HYPERLINK("http://www.twitter.com/NathanBLawrence/status/1001490876567257088", "1001490876567257088")</f>
        <v/>
      </c>
      <c r="B319" s="2" t="n">
        <v>43249.65979166667</v>
      </c>
      <c r="C319" t="n">
        <v>0</v>
      </c>
      <c r="D319" t="n">
        <v>80</v>
      </c>
      <c r="E319" t="s">
        <v>330</v>
      </c>
      <c r="F319" t="s"/>
      <c r="G319" t="s"/>
      <c r="H319" t="s"/>
      <c r="I319" t="s"/>
      <c r="J319" t="n">
        <v>0.5106000000000001</v>
      </c>
      <c r="K319" t="n">
        <v>0</v>
      </c>
      <c r="L319" t="n">
        <v>0.87</v>
      </c>
      <c r="M319" t="n">
        <v>0.13</v>
      </c>
    </row>
    <row r="320" spans="1:13">
      <c r="A320" s="1">
        <f>HYPERLINK("http://www.twitter.com/NathanBLawrence/status/1001490829343682560", "1001490829343682560")</f>
        <v/>
      </c>
      <c r="B320" s="2" t="n">
        <v>43249.65966435185</v>
      </c>
      <c r="C320" t="n">
        <v>0</v>
      </c>
      <c r="D320" t="n">
        <v>713</v>
      </c>
      <c r="E320" t="s">
        <v>331</v>
      </c>
      <c r="F320" t="s"/>
      <c r="G320" t="s"/>
      <c r="H320" t="s"/>
      <c r="I320" t="s"/>
      <c r="J320" t="n">
        <v>0.6597</v>
      </c>
      <c r="K320" t="n">
        <v>0.073</v>
      </c>
      <c r="L320" t="n">
        <v>0.649</v>
      </c>
      <c r="M320" t="n">
        <v>0.279</v>
      </c>
    </row>
    <row r="321" spans="1:13">
      <c r="A321" s="1">
        <f>HYPERLINK("http://www.twitter.com/NathanBLawrence/status/1001490745705029633", "1001490745705029633")</f>
        <v/>
      </c>
      <c r="B321" s="2" t="n">
        <v>43249.65943287037</v>
      </c>
      <c r="C321" t="n">
        <v>0</v>
      </c>
      <c r="D321" t="n">
        <v>106</v>
      </c>
      <c r="E321" t="s">
        <v>332</v>
      </c>
      <c r="F321" t="s"/>
      <c r="G321" t="s"/>
      <c r="H321" t="s"/>
      <c r="I321" t="s"/>
      <c r="J321" t="n">
        <v>0.5106000000000001</v>
      </c>
      <c r="K321" t="n">
        <v>0</v>
      </c>
      <c r="L321" t="n">
        <v>0.858</v>
      </c>
      <c r="M321" t="n">
        <v>0.142</v>
      </c>
    </row>
    <row r="322" spans="1:13">
      <c r="A322" s="1">
        <f>HYPERLINK("http://www.twitter.com/NathanBLawrence/status/1001490704542126080", "1001490704542126080")</f>
        <v/>
      </c>
      <c r="B322" s="2" t="n">
        <v>43249.65931712963</v>
      </c>
      <c r="C322" t="n">
        <v>0</v>
      </c>
      <c r="D322" t="n">
        <v>106</v>
      </c>
      <c r="E322" t="s">
        <v>333</v>
      </c>
      <c r="F322" t="s"/>
      <c r="G322" t="s"/>
      <c r="H322" t="s"/>
      <c r="I322" t="s"/>
      <c r="J322" t="n">
        <v>-0.4767</v>
      </c>
      <c r="K322" t="n">
        <v>0.134</v>
      </c>
      <c r="L322" t="n">
        <v>0.866</v>
      </c>
      <c r="M322" t="n">
        <v>0</v>
      </c>
    </row>
    <row r="323" spans="1:13">
      <c r="A323" s="1">
        <f>HYPERLINK("http://www.twitter.com/NathanBLawrence/status/1001490681146302464", "1001490681146302464")</f>
        <v/>
      </c>
      <c r="B323" s="2" t="n">
        <v>43249.65924768519</v>
      </c>
      <c r="C323" t="n">
        <v>0</v>
      </c>
      <c r="D323" t="n">
        <v>0</v>
      </c>
      <c r="E323" t="s">
        <v>334</v>
      </c>
      <c r="F323" t="s"/>
      <c r="G323" t="s"/>
      <c r="H323" t="s"/>
      <c r="I323" t="s"/>
      <c r="J323" t="n">
        <v>0.8979</v>
      </c>
      <c r="K323" t="n">
        <v>0</v>
      </c>
      <c r="L323" t="n">
        <v>0.757</v>
      </c>
      <c r="M323" t="n">
        <v>0.243</v>
      </c>
    </row>
    <row r="324" spans="1:13">
      <c r="A324" s="1">
        <f>HYPERLINK("http://www.twitter.com/NathanBLawrence/status/1001490020979572737", "1001490020979572737")</f>
        <v/>
      </c>
      <c r="B324" s="2" t="n">
        <v>43249.65743055556</v>
      </c>
      <c r="C324" t="n">
        <v>0</v>
      </c>
      <c r="D324" t="n">
        <v>72</v>
      </c>
      <c r="E324" t="s">
        <v>335</v>
      </c>
      <c r="F324" t="s"/>
      <c r="G324" t="s"/>
      <c r="H324" t="s"/>
      <c r="I324" t="s"/>
      <c r="J324" t="n">
        <v>0</v>
      </c>
      <c r="K324" t="n">
        <v>0</v>
      </c>
      <c r="L324" t="n">
        <v>1</v>
      </c>
      <c r="M324" t="n">
        <v>0</v>
      </c>
    </row>
    <row r="325" spans="1:13">
      <c r="A325" s="1">
        <f>HYPERLINK("http://www.twitter.com/NathanBLawrence/status/1001489931015983104", "1001489931015983104")</f>
        <v/>
      </c>
      <c r="B325" s="2" t="n">
        <v>43249.65717592592</v>
      </c>
      <c r="C325" t="n">
        <v>0</v>
      </c>
      <c r="D325" t="n">
        <v>84</v>
      </c>
      <c r="E325" t="s">
        <v>336</v>
      </c>
      <c r="F325" t="s"/>
      <c r="G325" t="s"/>
      <c r="H325" t="s"/>
      <c r="I325" t="s"/>
      <c r="J325" t="n">
        <v>0</v>
      </c>
      <c r="K325" t="n">
        <v>0</v>
      </c>
      <c r="L325" t="n">
        <v>1</v>
      </c>
      <c r="M325" t="n">
        <v>0</v>
      </c>
    </row>
    <row r="326" spans="1:13">
      <c r="A326" s="1">
        <f>HYPERLINK("http://www.twitter.com/NathanBLawrence/status/1001489906433216512", "1001489906433216512")</f>
        <v/>
      </c>
      <c r="B326" s="2" t="n">
        <v>43249.65711805555</v>
      </c>
      <c r="C326" t="n">
        <v>0</v>
      </c>
      <c r="D326" t="n">
        <v>86</v>
      </c>
      <c r="E326" t="s">
        <v>337</v>
      </c>
      <c r="F326" t="s"/>
      <c r="G326" t="s"/>
      <c r="H326" t="s"/>
      <c r="I326" t="s"/>
      <c r="J326" t="n">
        <v>0</v>
      </c>
      <c r="K326" t="n">
        <v>0</v>
      </c>
      <c r="L326" t="n">
        <v>1</v>
      </c>
      <c r="M326" t="n">
        <v>0</v>
      </c>
    </row>
    <row r="327" spans="1:13">
      <c r="A327" s="1">
        <f>HYPERLINK("http://www.twitter.com/NathanBLawrence/status/1001489879224766464", "1001489879224766464")</f>
        <v/>
      </c>
      <c r="B327" s="2" t="n">
        <v>43249.65703703704</v>
      </c>
      <c r="C327" t="n">
        <v>0</v>
      </c>
      <c r="D327" t="n">
        <v>45</v>
      </c>
      <c r="E327" t="s">
        <v>338</v>
      </c>
      <c r="F327" t="s"/>
      <c r="G327" t="s"/>
      <c r="H327" t="s"/>
      <c r="I327" t="s"/>
      <c r="J327" t="n">
        <v>0</v>
      </c>
      <c r="K327" t="n">
        <v>0</v>
      </c>
      <c r="L327" t="n">
        <v>1</v>
      </c>
      <c r="M327" t="n">
        <v>0</v>
      </c>
    </row>
    <row r="328" spans="1:13">
      <c r="A328" s="1">
        <f>HYPERLINK("http://www.twitter.com/NathanBLawrence/status/1001489839739555840", "1001489839739555840")</f>
        <v/>
      </c>
      <c r="B328" s="2" t="n">
        <v>43249.65693287037</v>
      </c>
      <c r="C328" t="n">
        <v>0</v>
      </c>
      <c r="D328" t="n">
        <v>88</v>
      </c>
      <c r="E328" t="s">
        <v>339</v>
      </c>
      <c r="F328" t="s"/>
      <c r="G328" t="s"/>
      <c r="H328" t="s"/>
      <c r="I328" t="s"/>
      <c r="J328" t="n">
        <v>0.4215</v>
      </c>
      <c r="K328" t="n">
        <v>0</v>
      </c>
      <c r="L328" t="n">
        <v>0.877</v>
      </c>
      <c r="M328" t="n">
        <v>0.123</v>
      </c>
    </row>
    <row r="329" spans="1:13">
      <c r="A329" s="1">
        <f>HYPERLINK("http://www.twitter.com/NathanBLawrence/status/1001489811419684864", "1001489811419684864")</f>
        <v/>
      </c>
      <c r="B329" s="2" t="n">
        <v>43249.65685185185</v>
      </c>
      <c r="C329" t="n">
        <v>0</v>
      </c>
      <c r="D329" t="n">
        <v>50</v>
      </c>
      <c r="E329" t="s">
        <v>340</v>
      </c>
      <c r="F329" t="s"/>
      <c r="G329" t="s"/>
      <c r="H329" t="s"/>
      <c r="I329" t="s"/>
      <c r="J329" t="n">
        <v>0.4019</v>
      </c>
      <c r="K329" t="n">
        <v>0</v>
      </c>
      <c r="L329" t="n">
        <v>0.881</v>
      </c>
      <c r="M329" t="n">
        <v>0.119</v>
      </c>
    </row>
    <row r="330" spans="1:13">
      <c r="A330" s="1">
        <f>HYPERLINK("http://www.twitter.com/NathanBLawrence/status/1001489779299581952", "1001489779299581952")</f>
        <v/>
      </c>
      <c r="B330" s="2" t="n">
        <v>43249.65675925926</v>
      </c>
      <c r="C330" t="n">
        <v>0</v>
      </c>
      <c r="D330" t="n">
        <v>150</v>
      </c>
      <c r="E330" t="s">
        <v>341</v>
      </c>
      <c r="F330" t="s"/>
      <c r="G330" t="s"/>
      <c r="H330" t="s"/>
      <c r="I330" t="s"/>
      <c r="J330" t="n">
        <v>0</v>
      </c>
      <c r="K330" t="n">
        <v>0</v>
      </c>
      <c r="L330" t="n">
        <v>1</v>
      </c>
      <c r="M330" t="n">
        <v>0</v>
      </c>
    </row>
    <row r="331" spans="1:13">
      <c r="A331" s="1">
        <f>HYPERLINK("http://www.twitter.com/NathanBLawrence/status/1001489770084732929", "1001489770084732929")</f>
        <v/>
      </c>
      <c r="B331" s="2" t="n">
        <v>43249.65673611111</v>
      </c>
      <c r="C331" t="n">
        <v>0</v>
      </c>
      <c r="D331" t="n">
        <v>93</v>
      </c>
      <c r="E331" t="s">
        <v>342</v>
      </c>
      <c r="F331" t="s"/>
      <c r="G331" t="s"/>
      <c r="H331" t="s"/>
      <c r="I331" t="s"/>
      <c r="J331" t="n">
        <v>0</v>
      </c>
      <c r="K331" t="n">
        <v>0</v>
      </c>
      <c r="L331" t="n">
        <v>1</v>
      </c>
      <c r="M331" t="n">
        <v>0</v>
      </c>
    </row>
    <row r="332" spans="1:13">
      <c r="A332" s="1">
        <f>HYPERLINK("http://www.twitter.com/NathanBLawrence/status/1001489695161962502", "1001489695161962502")</f>
        <v/>
      </c>
      <c r="B332" s="2" t="n">
        <v>43249.65652777778</v>
      </c>
      <c r="C332" t="n">
        <v>0</v>
      </c>
      <c r="D332" t="n">
        <v>58</v>
      </c>
      <c r="E332" t="s">
        <v>343</v>
      </c>
      <c r="F332" t="s"/>
      <c r="G332" t="s"/>
      <c r="H332" t="s"/>
      <c r="I332" t="s"/>
      <c r="J332" t="n">
        <v>0.6353</v>
      </c>
      <c r="K332" t="n">
        <v>0.08</v>
      </c>
      <c r="L332" t="n">
        <v>0.657</v>
      </c>
      <c r="M332" t="n">
        <v>0.263</v>
      </c>
    </row>
    <row r="333" spans="1:13">
      <c r="A333" s="1">
        <f>HYPERLINK("http://www.twitter.com/NathanBLawrence/status/1001489661208997889", "1001489661208997889")</f>
        <v/>
      </c>
      <c r="B333" s="2" t="n">
        <v>43249.65643518518</v>
      </c>
      <c r="C333" t="n">
        <v>0</v>
      </c>
      <c r="D333" t="n">
        <v>0</v>
      </c>
      <c r="E333" t="s">
        <v>344</v>
      </c>
      <c r="F333" t="s"/>
      <c r="G333" t="s"/>
      <c r="H333" t="s"/>
      <c r="I333" t="s"/>
      <c r="J333" t="n">
        <v>-0.7591</v>
      </c>
      <c r="K333" t="n">
        <v>0.162</v>
      </c>
      <c r="L333" t="n">
        <v>0.838</v>
      </c>
      <c r="M333" t="n">
        <v>0</v>
      </c>
    </row>
    <row r="334" spans="1:13">
      <c r="A334" s="1">
        <f>HYPERLINK("http://www.twitter.com/NathanBLawrence/status/1001488516503752704", "1001488516503752704")</f>
        <v/>
      </c>
      <c r="B334" s="2" t="n">
        <v>43249.65327546297</v>
      </c>
      <c r="C334" t="n">
        <v>0</v>
      </c>
      <c r="D334" t="n">
        <v>22</v>
      </c>
      <c r="E334" t="s">
        <v>345</v>
      </c>
      <c r="F334" t="s"/>
      <c r="G334" t="s"/>
      <c r="H334" t="s"/>
      <c r="I334" t="s"/>
      <c r="J334" t="n">
        <v>-0.0258</v>
      </c>
      <c r="K334" t="n">
        <v>0.068</v>
      </c>
      <c r="L334" t="n">
        <v>0.87</v>
      </c>
      <c r="M334" t="n">
        <v>0.063</v>
      </c>
    </row>
    <row r="335" spans="1:13">
      <c r="A335" s="1">
        <f>HYPERLINK("http://www.twitter.com/NathanBLawrence/status/1001488419720253441", "1001488419720253441")</f>
        <v/>
      </c>
      <c r="B335" s="2" t="n">
        <v>43249.65300925926</v>
      </c>
      <c r="C335" t="n">
        <v>0</v>
      </c>
      <c r="D335" t="n">
        <v>4024</v>
      </c>
      <c r="E335" t="s">
        <v>346</v>
      </c>
      <c r="F335" t="s"/>
      <c r="G335" t="s"/>
      <c r="H335" t="s"/>
      <c r="I335" t="s"/>
      <c r="J335" t="n">
        <v>0</v>
      </c>
      <c r="K335" t="n">
        <v>0</v>
      </c>
      <c r="L335" t="n">
        <v>1</v>
      </c>
      <c r="M335" t="n">
        <v>0</v>
      </c>
    </row>
    <row r="336" spans="1:13">
      <c r="A336" s="1">
        <f>HYPERLINK("http://www.twitter.com/NathanBLawrence/status/1001488354385498116", "1001488354385498116")</f>
        <v/>
      </c>
      <c r="B336" s="2" t="n">
        <v>43249.65283564815</v>
      </c>
      <c r="C336" t="n">
        <v>0</v>
      </c>
      <c r="D336" t="n">
        <v>49</v>
      </c>
      <c r="E336" t="s">
        <v>347</v>
      </c>
      <c r="F336" t="s"/>
      <c r="G336" t="s"/>
      <c r="H336" t="s"/>
      <c r="I336" t="s"/>
      <c r="J336" t="n">
        <v>0</v>
      </c>
      <c r="K336" t="n">
        <v>0</v>
      </c>
      <c r="L336" t="n">
        <v>1</v>
      </c>
      <c r="M336" t="n">
        <v>0</v>
      </c>
    </row>
    <row r="337" spans="1:13">
      <c r="A337" s="1">
        <f>HYPERLINK("http://www.twitter.com/NathanBLawrence/status/1001488229449764864", "1001488229449764864")</f>
        <v/>
      </c>
      <c r="B337" s="2" t="n">
        <v>43249.65248842593</v>
      </c>
      <c r="C337" t="n">
        <v>0</v>
      </c>
      <c r="D337" t="n">
        <v>59</v>
      </c>
      <c r="E337" t="s">
        <v>348</v>
      </c>
      <c r="F337" t="s"/>
      <c r="G337" t="s"/>
      <c r="H337" t="s"/>
      <c r="I337" t="s"/>
      <c r="J337" t="n">
        <v>0.4404</v>
      </c>
      <c r="K337" t="n">
        <v>0</v>
      </c>
      <c r="L337" t="n">
        <v>0.884</v>
      </c>
      <c r="M337" t="n">
        <v>0.116</v>
      </c>
    </row>
    <row r="338" spans="1:13">
      <c r="A338" s="1">
        <f>HYPERLINK("http://www.twitter.com/NathanBLawrence/status/1001488074948399109", "1001488074948399109")</f>
        <v/>
      </c>
      <c r="B338" s="2" t="n">
        <v>43249.65206018519</v>
      </c>
      <c r="C338" t="n">
        <v>0</v>
      </c>
      <c r="D338" t="n">
        <v>115</v>
      </c>
      <c r="E338" t="s">
        <v>349</v>
      </c>
      <c r="F338" t="s"/>
      <c r="G338" t="s"/>
      <c r="H338" t="s"/>
      <c r="I338" t="s"/>
      <c r="J338" t="n">
        <v>0</v>
      </c>
      <c r="K338" t="n">
        <v>0</v>
      </c>
      <c r="L338" t="n">
        <v>1</v>
      </c>
      <c r="M338" t="n">
        <v>0</v>
      </c>
    </row>
    <row r="339" spans="1:13">
      <c r="A339" s="1">
        <f>HYPERLINK("http://www.twitter.com/NathanBLawrence/status/1001487914440654848", "1001487914440654848")</f>
        <v/>
      </c>
      <c r="B339" s="2" t="n">
        <v>43249.65162037037</v>
      </c>
      <c r="C339" t="n">
        <v>0</v>
      </c>
      <c r="D339" t="n">
        <v>67</v>
      </c>
      <c r="E339" t="s">
        <v>350</v>
      </c>
      <c r="F339" t="s"/>
      <c r="G339" t="s"/>
      <c r="H339" t="s"/>
      <c r="I339" t="s"/>
      <c r="J339" t="n">
        <v>0</v>
      </c>
      <c r="K339" t="n">
        <v>0</v>
      </c>
      <c r="L339" t="n">
        <v>1</v>
      </c>
      <c r="M339" t="n">
        <v>0</v>
      </c>
    </row>
    <row r="340" spans="1:13">
      <c r="A340" s="1">
        <f>HYPERLINK("http://www.twitter.com/NathanBLawrence/status/1001487881591025665", "1001487881591025665")</f>
        <v/>
      </c>
      <c r="B340" s="2" t="n">
        <v>43249.65152777778</v>
      </c>
      <c r="C340" t="n">
        <v>0</v>
      </c>
      <c r="D340" t="n">
        <v>80</v>
      </c>
      <c r="E340" t="s">
        <v>351</v>
      </c>
      <c r="F340" t="s"/>
      <c r="G340" t="s"/>
      <c r="H340" t="s"/>
      <c r="I340" t="s"/>
      <c r="J340" t="n">
        <v>0</v>
      </c>
      <c r="K340" t="n">
        <v>0</v>
      </c>
      <c r="L340" t="n">
        <v>1</v>
      </c>
      <c r="M340" t="n">
        <v>0</v>
      </c>
    </row>
    <row r="341" spans="1:13">
      <c r="A341" s="1">
        <f>HYPERLINK("http://www.twitter.com/NathanBLawrence/status/1001487786543845377", "1001487786543845377")</f>
        <v/>
      </c>
      <c r="B341" s="2" t="n">
        <v>43249.65126157407</v>
      </c>
      <c r="C341" t="n">
        <v>0</v>
      </c>
      <c r="D341" t="n">
        <v>96</v>
      </c>
      <c r="E341" t="s">
        <v>352</v>
      </c>
      <c r="F341" t="s"/>
      <c r="G341" t="s"/>
      <c r="H341" t="s"/>
      <c r="I341" t="s"/>
      <c r="J341" t="n">
        <v>0.3182</v>
      </c>
      <c r="K341" t="n">
        <v>0</v>
      </c>
      <c r="L341" t="n">
        <v>0.867</v>
      </c>
      <c r="M341" t="n">
        <v>0.133</v>
      </c>
    </row>
    <row r="342" spans="1:13">
      <c r="A342" s="1">
        <f>HYPERLINK("http://www.twitter.com/NathanBLawrence/status/1001487712883535872", "1001487712883535872")</f>
        <v/>
      </c>
      <c r="B342" s="2" t="n">
        <v>43249.65106481482</v>
      </c>
      <c r="C342" t="n">
        <v>0</v>
      </c>
      <c r="D342" t="n">
        <v>61</v>
      </c>
      <c r="E342" t="s">
        <v>353</v>
      </c>
      <c r="F342" t="s"/>
      <c r="G342" t="s"/>
      <c r="H342" t="s"/>
      <c r="I342" t="s"/>
      <c r="J342" t="n">
        <v>-0.5994</v>
      </c>
      <c r="K342" t="n">
        <v>0.151</v>
      </c>
      <c r="L342" t="n">
        <v>0.849</v>
      </c>
      <c r="M342" t="n">
        <v>0</v>
      </c>
    </row>
    <row r="343" spans="1:13">
      <c r="A343" s="1">
        <f>HYPERLINK("http://www.twitter.com/NathanBLawrence/status/1001487662413418499", "1001487662413418499")</f>
        <v/>
      </c>
      <c r="B343" s="2" t="n">
        <v>43249.65092592593</v>
      </c>
      <c r="C343" t="n">
        <v>0</v>
      </c>
      <c r="D343" t="n">
        <v>217</v>
      </c>
      <c r="E343" t="s">
        <v>354</v>
      </c>
      <c r="F343" t="s"/>
      <c r="G343" t="s"/>
      <c r="H343" t="s"/>
      <c r="I343" t="s"/>
      <c r="J343" t="n">
        <v>-0.3265</v>
      </c>
      <c r="K343" t="n">
        <v>0.126</v>
      </c>
      <c r="L343" t="n">
        <v>0.8</v>
      </c>
      <c r="M343" t="n">
        <v>0.075</v>
      </c>
    </row>
    <row r="344" spans="1:13">
      <c r="A344" s="1">
        <f>HYPERLINK("http://www.twitter.com/NathanBLawrence/status/1001487072895602693", "1001487072895602693")</f>
        <v/>
      </c>
      <c r="B344" s="2" t="n">
        <v>43249.64929398148</v>
      </c>
      <c r="C344" t="n">
        <v>0</v>
      </c>
      <c r="D344" t="n">
        <v>647</v>
      </c>
      <c r="E344" t="s">
        <v>355</v>
      </c>
      <c r="F344" t="s"/>
      <c r="G344" t="s"/>
      <c r="H344" t="s"/>
      <c r="I344" t="s"/>
      <c r="J344" t="n">
        <v>0</v>
      </c>
      <c r="K344" t="n">
        <v>0</v>
      </c>
      <c r="L344" t="n">
        <v>1</v>
      </c>
      <c r="M344" t="n">
        <v>0</v>
      </c>
    </row>
    <row r="345" spans="1:13">
      <c r="A345" s="1">
        <f>HYPERLINK("http://www.twitter.com/NathanBLawrence/status/1001486510338838528", "1001486510338838528")</f>
        <v/>
      </c>
      <c r="B345" s="2" t="n">
        <v>43249.64774305555</v>
      </c>
      <c r="C345" t="n">
        <v>1</v>
      </c>
      <c r="D345" t="n">
        <v>0</v>
      </c>
      <c r="E345" t="s">
        <v>356</v>
      </c>
      <c r="F345" t="s"/>
      <c r="G345" t="s"/>
      <c r="H345" t="s"/>
      <c r="I345" t="s"/>
      <c r="J345" t="n">
        <v>-0.3765</v>
      </c>
      <c r="K345" t="n">
        <v>0.125</v>
      </c>
      <c r="L345" t="n">
        <v>0.875</v>
      </c>
      <c r="M345" t="n">
        <v>0</v>
      </c>
    </row>
    <row r="346" spans="1:13">
      <c r="A346" s="1">
        <f>HYPERLINK("http://www.twitter.com/NathanBLawrence/status/1001485732362555392", "1001485732362555392")</f>
        <v/>
      </c>
      <c r="B346" s="2" t="n">
        <v>43249.64559027777</v>
      </c>
      <c r="C346" t="n">
        <v>0</v>
      </c>
      <c r="D346" t="n">
        <v>6</v>
      </c>
      <c r="E346" t="s">
        <v>357</v>
      </c>
      <c r="F346" t="s"/>
      <c r="G346" t="s"/>
      <c r="H346" t="s"/>
      <c r="I346" t="s"/>
      <c r="J346" t="n">
        <v>-0.5859</v>
      </c>
      <c r="K346" t="n">
        <v>0.194</v>
      </c>
      <c r="L346" t="n">
        <v>0.806</v>
      </c>
      <c r="M346" t="n">
        <v>0</v>
      </c>
    </row>
    <row r="347" spans="1:13">
      <c r="A347" s="1">
        <f>HYPERLINK("http://www.twitter.com/NathanBLawrence/status/1001485664305676290", "1001485664305676290")</f>
        <v/>
      </c>
      <c r="B347" s="2" t="n">
        <v>43249.64540509259</v>
      </c>
      <c r="C347" t="n">
        <v>0</v>
      </c>
      <c r="D347" t="n">
        <v>3</v>
      </c>
      <c r="E347" t="s">
        <v>358</v>
      </c>
      <c r="F347" t="s"/>
      <c r="G347" t="s"/>
      <c r="H347" t="s"/>
      <c r="I347" t="s"/>
      <c r="J347" t="n">
        <v>0</v>
      </c>
      <c r="K347" t="n">
        <v>0</v>
      </c>
      <c r="L347" t="n">
        <v>1</v>
      </c>
      <c r="M347" t="n">
        <v>0</v>
      </c>
    </row>
    <row r="348" spans="1:13">
      <c r="A348" s="1">
        <f>HYPERLINK("http://www.twitter.com/NathanBLawrence/status/1001485486052036608", "1001485486052036608")</f>
        <v/>
      </c>
      <c r="B348" s="2" t="n">
        <v>43249.64491898148</v>
      </c>
      <c r="C348" t="n">
        <v>0</v>
      </c>
      <c r="D348" t="n">
        <v>133</v>
      </c>
      <c r="E348" t="s">
        <v>359</v>
      </c>
      <c r="F348" t="s"/>
      <c r="G348" t="s"/>
      <c r="H348" t="s"/>
      <c r="I348" t="s"/>
      <c r="J348" t="n">
        <v>0</v>
      </c>
      <c r="K348" t="n">
        <v>0</v>
      </c>
      <c r="L348" t="n">
        <v>1</v>
      </c>
      <c r="M348" t="n">
        <v>0</v>
      </c>
    </row>
    <row r="349" spans="1:13">
      <c r="A349" s="1">
        <f>HYPERLINK("http://www.twitter.com/NathanBLawrence/status/1001485320905519104", "1001485320905519104")</f>
        <v/>
      </c>
      <c r="B349" s="2" t="n">
        <v>43249.64445601852</v>
      </c>
      <c r="C349" t="n">
        <v>0</v>
      </c>
      <c r="D349" t="n">
        <v>1</v>
      </c>
      <c r="E349" t="s">
        <v>360</v>
      </c>
      <c r="F349" t="s"/>
      <c r="G349" t="s"/>
      <c r="H349" t="s"/>
      <c r="I349" t="s"/>
      <c r="J349" t="n">
        <v>0</v>
      </c>
      <c r="K349" t="n">
        <v>0</v>
      </c>
      <c r="L349" t="n">
        <v>1</v>
      </c>
      <c r="M349" t="n">
        <v>0</v>
      </c>
    </row>
    <row r="350" spans="1:13">
      <c r="A350" s="1">
        <f>HYPERLINK("http://www.twitter.com/NathanBLawrence/status/1001485188336181249", "1001485188336181249")</f>
        <v/>
      </c>
      <c r="B350" s="2" t="n">
        <v>43249.64409722222</v>
      </c>
      <c r="C350" t="n">
        <v>0</v>
      </c>
      <c r="D350" t="n">
        <v>54</v>
      </c>
      <c r="E350" t="s">
        <v>361</v>
      </c>
      <c r="F350" t="s"/>
      <c r="G350" t="s"/>
      <c r="H350" t="s"/>
      <c r="I350" t="s"/>
      <c r="J350" t="n">
        <v>0</v>
      </c>
      <c r="K350" t="n">
        <v>0</v>
      </c>
      <c r="L350" t="n">
        <v>1</v>
      </c>
      <c r="M350" t="n">
        <v>0</v>
      </c>
    </row>
    <row r="351" spans="1:13">
      <c r="A351" s="1">
        <f>HYPERLINK("http://www.twitter.com/NathanBLawrence/status/1001485153301090304", "1001485153301090304")</f>
        <v/>
      </c>
      <c r="B351" s="2" t="n">
        <v>43249.64399305556</v>
      </c>
      <c r="C351" t="n">
        <v>0</v>
      </c>
      <c r="D351" t="n">
        <v>60</v>
      </c>
      <c r="E351" t="s">
        <v>362</v>
      </c>
      <c r="F351" t="s"/>
      <c r="G351" t="s"/>
      <c r="H351" t="s"/>
      <c r="I351" t="s"/>
      <c r="J351" t="n">
        <v>0.5093</v>
      </c>
      <c r="K351" t="n">
        <v>0</v>
      </c>
      <c r="L351" t="n">
        <v>0.603</v>
      </c>
      <c r="M351" t="n">
        <v>0.397</v>
      </c>
    </row>
    <row r="352" spans="1:13">
      <c r="A352" s="1">
        <f>HYPERLINK("http://www.twitter.com/NathanBLawrence/status/1001484882915348482", "1001484882915348482")</f>
        <v/>
      </c>
      <c r="B352" s="2" t="n">
        <v>43249.64325231482</v>
      </c>
      <c r="C352" t="n">
        <v>0</v>
      </c>
      <c r="D352" t="n">
        <v>52</v>
      </c>
      <c r="E352" t="s">
        <v>363</v>
      </c>
      <c r="F352" t="s"/>
      <c r="G352" t="s"/>
      <c r="H352" t="s"/>
      <c r="I352" t="s"/>
      <c r="J352" t="n">
        <v>0</v>
      </c>
      <c r="K352" t="n">
        <v>0</v>
      </c>
      <c r="L352" t="n">
        <v>1</v>
      </c>
      <c r="M352" t="n">
        <v>0</v>
      </c>
    </row>
    <row r="353" spans="1:13">
      <c r="A353" s="1">
        <f>HYPERLINK("http://www.twitter.com/NathanBLawrence/status/1001484831807688705", "1001484831807688705")</f>
        <v/>
      </c>
      <c r="B353" s="2" t="n">
        <v>43249.64311342593</v>
      </c>
      <c r="C353" t="n">
        <v>0</v>
      </c>
      <c r="D353" t="n">
        <v>127</v>
      </c>
      <c r="E353" t="s">
        <v>364</v>
      </c>
      <c r="F353" t="s"/>
      <c r="G353" t="s"/>
      <c r="H353" t="s"/>
      <c r="I353" t="s"/>
      <c r="J353" t="n">
        <v>0</v>
      </c>
      <c r="K353" t="n">
        <v>0</v>
      </c>
      <c r="L353" t="n">
        <v>1</v>
      </c>
      <c r="M353" t="n">
        <v>0</v>
      </c>
    </row>
    <row r="354" spans="1:13">
      <c r="A354" s="1">
        <f>HYPERLINK("http://www.twitter.com/NathanBLawrence/status/1001484561799409664", "1001484561799409664")</f>
        <v/>
      </c>
      <c r="B354" s="2" t="n">
        <v>43249.64236111111</v>
      </c>
      <c r="C354" t="n">
        <v>0</v>
      </c>
      <c r="D354" t="n">
        <v>1474</v>
      </c>
      <c r="E354" t="s">
        <v>365</v>
      </c>
      <c r="F354" t="s"/>
      <c r="G354" t="s"/>
      <c r="H354" t="s"/>
      <c r="I354" t="s"/>
      <c r="J354" t="n">
        <v>0.2023</v>
      </c>
      <c r="K354" t="n">
        <v>0.239</v>
      </c>
      <c r="L354" t="n">
        <v>0.435</v>
      </c>
      <c r="M354" t="n">
        <v>0.326</v>
      </c>
    </row>
    <row r="355" spans="1:13">
      <c r="A355" s="1">
        <f>HYPERLINK("http://www.twitter.com/NathanBLawrence/status/1001484331515371520", "1001484331515371520")</f>
        <v/>
      </c>
      <c r="B355" s="2" t="n">
        <v>43249.64172453704</v>
      </c>
      <c r="C355" t="n">
        <v>0</v>
      </c>
      <c r="D355" t="n">
        <v>32138</v>
      </c>
      <c r="E355" t="s">
        <v>366</v>
      </c>
      <c r="F355" t="s"/>
      <c r="G355" t="s"/>
      <c r="H355" t="s"/>
      <c r="I355" t="s"/>
      <c r="J355" t="n">
        <v>-0.4767</v>
      </c>
      <c r="K355" t="n">
        <v>0.14</v>
      </c>
      <c r="L355" t="n">
        <v>0.86</v>
      </c>
      <c r="M355" t="n">
        <v>0</v>
      </c>
    </row>
    <row r="356" spans="1:13">
      <c r="A356" s="1">
        <f>HYPERLINK("http://www.twitter.com/NathanBLawrence/status/1001484272916684800", "1001484272916684800")</f>
        <v/>
      </c>
      <c r="B356" s="2" t="n">
        <v>43249.6415625</v>
      </c>
      <c r="C356" t="n">
        <v>0</v>
      </c>
      <c r="D356" t="n">
        <v>6484</v>
      </c>
      <c r="E356" t="s">
        <v>367</v>
      </c>
      <c r="F356" t="s"/>
      <c r="G356" t="s"/>
      <c r="H356" t="s"/>
      <c r="I356" t="s"/>
      <c r="J356" t="n">
        <v>0.743</v>
      </c>
      <c r="K356" t="n">
        <v>0</v>
      </c>
      <c r="L356" t="n">
        <v>0.751</v>
      </c>
      <c r="M356" t="n">
        <v>0.249</v>
      </c>
    </row>
    <row r="357" spans="1:13">
      <c r="A357" s="1">
        <f>HYPERLINK("http://www.twitter.com/NathanBLawrence/status/1001483908070952960", "1001483908070952960")</f>
        <v/>
      </c>
      <c r="B357" s="2" t="n">
        <v>43249.64056712963</v>
      </c>
      <c r="C357" t="n">
        <v>0</v>
      </c>
      <c r="D357" t="n">
        <v>888</v>
      </c>
      <c r="E357" t="s">
        <v>368</v>
      </c>
      <c r="F357">
        <f>HYPERLINK("http://pbs.twimg.com/media/Dd-GT4uV0AEYRk2.jpg", "http://pbs.twimg.com/media/Dd-GT4uV0AEYRk2.jpg")</f>
        <v/>
      </c>
      <c r="G357" t="s"/>
      <c r="H357" t="s"/>
      <c r="I357" t="s"/>
      <c r="J357" t="n">
        <v>0</v>
      </c>
      <c r="K357" t="n">
        <v>0</v>
      </c>
      <c r="L357" t="n">
        <v>1</v>
      </c>
      <c r="M357" t="n">
        <v>0</v>
      </c>
    </row>
    <row r="358" spans="1:13">
      <c r="A358" s="1">
        <f>HYPERLINK("http://www.twitter.com/NathanBLawrence/status/1001483882590621702", "1001483882590621702")</f>
        <v/>
      </c>
      <c r="B358" s="2" t="n">
        <v>43249.64048611111</v>
      </c>
      <c r="C358" t="n">
        <v>0</v>
      </c>
      <c r="D358" t="n">
        <v>26552</v>
      </c>
      <c r="E358" t="s">
        <v>369</v>
      </c>
      <c r="F358" t="s"/>
      <c r="G358" t="s"/>
      <c r="H358" t="s"/>
      <c r="I358" t="s"/>
      <c r="J358" t="n">
        <v>-0.4019</v>
      </c>
      <c r="K358" t="n">
        <v>0.185</v>
      </c>
      <c r="L358" t="n">
        <v>0.734</v>
      </c>
      <c r="M358" t="n">
        <v>0.081</v>
      </c>
    </row>
    <row r="359" spans="1:13">
      <c r="A359" s="1">
        <f>HYPERLINK("http://www.twitter.com/NathanBLawrence/status/1001483688369061893", "1001483688369061893")</f>
        <v/>
      </c>
      <c r="B359" s="2" t="n">
        <v>43249.63995370371</v>
      </c>
      <c r="C359" t="n">
        <v>0</v>
      </c>
      <c r="D359" t="n">
        <v>793</v>
      </c>
      <c r="E359" t="s">
        <v>370</v>
      </c>
      <c r="F359" t="s"/>
      <c r="G359" t="s"/>
      <c r="H359" t="s"/>
      <c r="I359" t="s"/>
      <c r="J359" t="n">
        <v>-0.5423</v>
      </c>
      <c r="K359" t="n">
        <v>0.123</v>
      </c>
      <c r="L359" t="n">
        <v>0.877</v>
      </c>
      <c r="M359" t="n">
        <v>0</v>
      </c>
    </row>
    <row r="360" spans="1:13">
      <c r="A360" s="1">
        <f>HYPERLINK("http://www.twitter.com/NathanBLawrence/status/1001482140163461120", "1001482140163461120")</f>
        <v/>
      </c>
      <c r="B360" s="2" t="n">
        <v>43249.63568287037</v>
      </c>
      <c r="C360" t="n">
        <v>0</v>
      </c>
      <c r="D360" t="n">
        <v>305</v>
      </c>
      <c r="E360" t="s">
        <v>371</v>
      </c>
      <c r="F360" t="s"/>
      <c r="G360" t="s"/>
      <c r="H360" t="s"/>
      <c r="I360" t="s"/>
      <c r="J360" t="n">
        <v>0.0772</v>
      </c>
      <c r="K360" t="n">
        <v>0.097</v>
      </c>
      <c r="L360" t="n">
        <v>0.793</v>
      </c>
      <c r="M360" t="n">
        <v>0.11</v>
      </c>
    </row>
    <row r="361" spans="1:13">
      <c r="A361" s="1">
        <f>HYPERLINK("http://www.twitter.com/NathanBLawrence/status/1001482054364729344", "1001482054364729344")</f>
        <v/>
      </c>
      <c r="B361" s="2" t="n">
        <v>43249.63545138889</v>
      </c>
      <c r="C361" t="n">
        <v>0</v>
      </c>
      <c r="D361" t="n">
        <v>290</v>
      </c>
      <c r="E361" t="s">
        <v>372</v>
      </c>
      <c r="F361" t="s"/>
      <c r="G361" t="s"/>
      <c r="H361" t="s"/>
      <c r="I361" t="s"/>
      <c r="J361" t="n">
        <v>-0.1027</v>
      </c>
      <c r="K361" t="n">
        <v>0.158</v>
      </c>
      <c r="L361" t="n">
        <v>0.707</v>
      </c>
      <c r="M361" t="n">
        <v>0.136</v>
      </c>
    </row>
    <row r="362" spans="1:13">
      <c r="A362" s="1">
        <f>HYPERLINK("http://www.twitter.com/NathanBLawrence/status/1001482003697586176", "1001482003697586176")</f>
        <v/>
      </c>
      <c r="B362" s="2" t="n">
        <v>43249.63530092593</v>
      </c>
      <c r="C362" t="n">
        <v>0</v>
      </c>
      <c r="D362" t="n">
        <v>48</v>
      </c>
      <c r="E362" t="s">
        <v>373</v>
      </c>
      <c r="F362" t="s"/>
      <c r="G362" t="s"/>
      <c r="H362" t="s"/>
      <c r="I362" t="s"/>
      <c r="J362" t="n">
        <v>-0.1921</v>
      </c>
      <c r="K362" t="n">
        <v>0.248</v>
      </c>
      <c r="L362" t="n">
        <v>0.496</v>
      </c>
      <c r="M362" t="n">
        <v>0.256</v>
      </c>
    </row>
    <row r="363" spans="1:13">
      <c r="A363" s="1">
        <f>HYPERLINK("http://www.twitter.com/NathanBLawrence/status/1001481985439731717", "1001481985439731717")</f>
        <v/>
      </c>
      <c r="B363" s="2" t="n">
        <v>43249.63525462963</v>
      </c>
      <c r="C363" t="n">
        <v>0</v>
      </c>
      <c r="D363" t="n">
        <v>54</v>
      </c>
      <c r="E363" t="s">
        <v>374</v>
      </c>
      <c r="F363" t="s"/>
      <c r="G363" t="s"/>
      <c r="H363" t="s"/>
      <c r="I363" t="s"/>
      <c r="J363" t="n">
        <v>0.3071</v>
      </c>
      <c r="K363" t="n">
        <v>0</v>
      </c>
      <c r="L363" t="n">
        <v>0.854</v>
      </c>
      <c r="M363" t="n">
        <v>0.146</v>
      </c>
    </row>
    <row r="364" spans="1:13">
      <c r="A364" s="1">
        <f>HYPERLINK("http://www.twitter.com/NathanBLawrence/status/1001481966322102274", "1001481966322102274")</f>
        <v/>
      </c>
      <c r="B364" s="2" t="n">
        <v>43249.63520833333</v>
      </c>
      <c r="C364" t="n">
        <v>0</v>
      </c>
      <c r="D364" t="n">
        <v>235</v>
      </c>
      <c r="E364" t="s">
        <v>375</v>
      </c>
      <c r="F364" t="s"/>
      <c r="G364" t="s"/>
      <c r="H364" t="s"/>
      <c r="I364" t="s"/>
      <c r="J364" t="n">
        <v>0</v>
      </c>
      <c r="K364" t="n">
        <v>0</v>
      </c>
      <c r="L364" t="n">
        <v>1</v>
      </c>
      <c r="M364" t="n">
        <v>0</v>
      </c>
    </row>
    <row r="365" spans="1:13">
      <c r="A365" s="1">
        <f>HYPERLINK("http://www.twitter.com/NathanBLawrence/status/1001481434249465857", "1001481434249465857")</f>
        <v/>
      </c>
      <c r="B365" s="2" t="n">
        <v>43249.63373842592</v>
      </c>
      <c r="C365" t="n">
        <v>0</v>
      </c>
      <c r="D365" t="n">
        <v>343</v>
      </c>
      <c r="E365" t="s">
        <v>376</v>
      </c>
      <c r="F365" t="s"/>
      <c r="G365" t="s"/>
      <c r="H365" t="s"/>
      <c r="I365" t="s"/>
      <c r="J365" t="n">
        <v>0</v>
      </c>
      <c r="K365" t="n">
        <v>0</v>
      </c>
      <c r="L365" t="n">
        <v>1</v>
      </c>
      <c r="M365" t="n">
        <v>0</v>
      </c>
    </row>
    <row r="366" spans="1:13">
      <c r="A366" s="1">
        <f>HYPERLINK("http://www.twitter.com/NathanBLawrence/status/1001480511691329536", "1001480511691329536")</f>
        <v/>
      </c>
      <c r="B366" s="2" t="n">
        <v>43249.63119212963</v>
      </c>
      <c r="C366" t="n">
        <v>0</v>
      </c>
      <c r="D366" t="n">
        <v>686</v>
      </c>
      <c r="E366" t="s">
        <v>377</v>
      </c>
      <c r="F366" t="s"/>
      <c r="G366" t="s"/>
      <c r="H366" t="s"/>
      <c r="I366" t="s"/>
      <c r="J366" t="n">
        <v>-0.6486</v>
      </c>
      <c r="K366" t="n">
        <v>0.209</v>
      </c>
      <c r="L366" t="n">
        <v>0.791</v>
      </c>
      <c r="M366" t="n">
        <v>0</v>
      </c>
    </row>
    <row r="367" spans="1:13">
      <c r="A367" s="1">
        <f>HYPERLINK("http://www.twitter.com/NathanBLawrence/status/1001480439649972224", "1001480439649972224")</f>
        <v/>
      </c>
      <c r="B367" s="2" t="n">
        <v>43249.63099537037</v>
      </c>
      <c r="C367" t="n">
        <v>0</v>
      </c>
      <c r="D367" t="n">
        <v>4081</v>
      </c>
      <c r="E367" t="s">
        <v>378</v>
      </c>
      <c r="F367" t="s"/>
      <c r="G367" t="s"/>
      <c r="H367" t="s"/>
      <c r="I367" t="s"/>
      <c r="J367" t="n">
        <v>-0.6908</v>
      </c>
      <c r="K367" t="n">
        <v>0.199</v>
      </c>
      <c r="L367" t="n">
        <v>0.801</v>
      </c>
      <c r="M367" t="n">
        <v>0</v>
      </c>
    </row>
    <row r="368" spans="1:13">
      <c r="A368" s="1">
        <f>HYPERLINK("http://www.twitter.com/NathanBLawrence/status/1001480289477189637", "1001480289477189637")</f>
        <v/>
      </c>
      <c r="B368" s="2" t="n">
        <v>43249.63057870371</v>
      </c>
      <c r="C368" t="n">
        <v>0</v>
      </c>
      <c r="D368" t="n">
        <v>223</v>
      </c>
      <c r="E368" t="s">
        <v>379</v>
      </c>
      <c r="F368">
        <f>HYPERLINK("http://pbs.twimg.com/media/DeV4LZNVAAAS3V4.jpg", "http://pbs.twimg.com/media/DeV4LZNVAAAS3V4.jpg")</f>
        <v/>
      </c>
      <c r="G368">
        <f>HYPERLINK("http://pbs.twimg.com/media/DeV4LZSVMAA5Y3a.jpg", "http://pbs.twimg.com/media/DeV4LZSVMAA5Y3a.jpg")</f>
        <v/>
      </c>
      <c r="H368" t="s"/>
      <c r="I368" t="s"/>
      <c r="J368" t="n">
        <v>0</v>
      </c>
      <c r="K368" t="n">
        <v>0</v>
      </c>
      <c r="L368" t="n">
        <v>1</v>
      </c>
      <c r="M368" t="n">
        <v>0</v>
      </c>
    </row>
    <row r="369" spans="1:13">
      <c r="A369" s="1">
        <f>HYPERLINK("http://www.twitter.com/NathanBLawrence/status/1001480225803395072", "1001480225803395072")</f>
        <v/>
      </c>
      <c r="B369" s="2" t="n">
        <v>43249.63040509259</v>
      </c>
      <c r="C369" t="n">
        <v>0</v>
      </c>
      <c r="D369" t="n">
        <v>828</v>
      </c>
      <c r="E369" t="s">
        <v>380</v>
      </c>
      <c r="F369">
        <f>HYPERLINK("http://pbs.twimg.com/media/DeVw3YRUQAERe1j.jpg", "http://pbs.twimg.com/media/DeVw3YRUQAERe1j.jpg")</f>
        <v/>
      </c>
      <c r="G369" t="s"/>
      <c r="H369" t="s"/>
      <c r="I369" t="s"/>
      <c r="J369" t="n">
        <v>0</v>
      </c>
      <c r="K369" t="n">
        <v>0</v>
      </c>
      <c r="L369" t="n">
        <v>1</v>
      </c>
      <c r="M369" t="n">
        <v>0</v>
      </c>
    </row>
    <row r="370" spans="1:13">
      <c r="A370" s="1">
        <f>HYPERLINK("http://www.twitter.com/NathanBLawrence/status/1001480182589509632", "1001480182589509632")</f>
        <v/>
      </c>
      <c r="B370" s="2" t="n">
        <v>43249.63027777777</v>
      </c>
      <c r="C370" t="n">
        <v>0</v>
      </c>
      <c r="D370" t="n">
        <v>122</v>
      </c>
      <c r="E370" t="s">
        <v>381</v>
      </c>
      <c r="F370" t="s"/>
      <c r="G370" t="s"/>
      <c r="H370" t="s"/>
      <c r="I370" t="s"/>
      <c r="J370" t="n">
        <v>0.2732</v>
      </c>
      <c r="K370" t="n">
        <v>0</v>
      </c>
      <c r="L370" t="n">
        <v>0.913</v>
      </c>
      <c r="M370" t="n">
        <v>0.08699999999999999</v>
      </c>
    </row>
    <row r="371" spans="1:13">
      <c r="A371" s="1">
        <f>HYPERLINK("http://www.twitter.com/NathanBLawrence/status/1001479874236870656", "1001479874236870656")</f>
        <v/>
      </c>
      <c r="B371" s="2" t="n">
        <v>43249.62943287037</v>
      </c>
      <c r="C371" t="n">
        <v>1</v>
      </c>
      <c r="D371" t="n">
        <v>0</v>
      </c>
      <c r="E371" t="s">
        <v>382</v>
      </c>
      <c r="F371" t="s"/>
      <c r="G371" t="s"/>
      <c r="H371" t="s"/>
      <c r="I371" t="s"/>
      <c r="J371" t="n">
        <v>0.3612</v>
      </c>
      <c r="K371" t="n">
        <v>0</v>
      </c>
      <c r="L371" t="n">
        <v>0.839</v>
      </c>
      <c r="M371" t="n">
        <v>0.161</v>
      </c>
    </row>
    <row r="372" spans="1:13">
      <c r="A372" s="1">
        <f>HYPERLINK("http://www.twitter.com/NathanBLawrence/status/1001479394068697090", "1001479394068697090")</f>
        <v/>
      </c>
      <c r="B372" s="2" t="n">
        <v>43249.62810185185</v>
      </c>
      <c r="C372" t="n">
        <v>0</v>
      </c>
      <c r="D372" t="n">
        <v>1</v>
      </c>
      <c r="E372" t="s">
        <v>383</v>
      </c>
      <c r="F372" t="s"/>
      <c r="G372" t="s"/>
      <c r="H372" t="s"/>
      <c r="I372" t="s"/>
      <c r="J372" t="n">
        <v>0.4588</v>
      </c>
      <c r="K372" t="n">
        <v>0</v>
      </c>
      <c r="L372" t="n">
        <v>0.857</v>
      </c>
      <c r="M372" t="n">
        <v>0.143</v>
      </c>
    </row>
    <row r="373" spans="1:13">
      <c r="A373" s="1">
        <f>HYPERLINK("http://www.twitter.com/NathanBLawrence/status/1001472259528253440", "1001472259528253440")</f>
        <v/>
      </c>
      <c r="B373" s="2" t="n">
        <v>43249.60841435185</v>
      </c>
      <c r="C373" t="n">
        <v>0</v>
      </c>
      <c r="D373" t="n">
        <v>49</v>
      </c>
      <c r="E373" t="s">
        <v>384</v>
      </c>
      <c r="F373">
        <f>HYPERLINK("http://pbs.twimg.com/media/DeXpoTZU0AAZizw.jpg", "http://pbs.twimg.com/media/DeXpoTZU0AAZizw.jpg")</f>
        <v/>
      </c>
      <c r="G373" t="s"/>
      <c r="H373" t="s"/>
      <c r="I373" t="s"/>
      <c r="J373" t="n">
        <v>0</v>
      </c>
      <c r="K373" t="n">
        <v>0</v>
      </c>
      <c r="L373" t="n">
        <v>1</v>
      </c>
      <c r="M373" t="n">
        <v>0</v>
      </c>
    </row>
    <row r="374" spans="1:13">
      <c r="A374" s="1">
        <f>HYPERLINK("http://www.twitter.com/NathanBLawrence/status/1001469069089009664", "1001469069089009664")</f>
        <v/>
      </c>
      <c r="B374" s="2" t="n">
        <v>43249.59961805555</v>
      </c>
      <c r="C374" t="n">
        <v>0</v>
      </c>
      <c r="D374" t="n">
        <v>0</v>
      </c>
      <c r="E374" t="s">
        <v>385</v>
      </c>
      <c r="F374" t="s"/>
      <c r="G374" t="s"/>
      <c r="H374" t="s"/>
      <c r="I374" t="s"/>
      <c r="J374" t="n">
        <v>0</v>
      </c>
      <c r="K374" t="n">
        <v>0</v>
      </c>
      <c r="L374" t="n">
        <v>1</v>
      </c>
      <c r="M374" t="n">
        <v>0</v>
      </c>
    </row>
    <row r="375" spans="1:13">
      <c r="A375" s="1">
        <f>HYPERLINK("http://www.twitter.com/NathanBLawrence/status/1001468322314182657", "1001468322314182657")</f>
        <v/>
      </c>
      <c r="B375" s="2" t="n">
        <v>43249.59755787037</v>
      </c>
      <c r="C375" t="n">
        <v>4</v>
      </c>
      <c r="D375" t="n">
        <v>3</v>
      </c>
      <c r="E375" t="s">
        <v>386</v>
      </c>
      <c r="F375" t="s"/>
      <c r="G375" t="s"/>
      <c r="H375" t="s"/>
      <c r="I375" t="s"/>
      <c r="J375" t="n">
        <v>-0.6971000000000001</v>
      </c>
      <c r="K375" t="n">
        <v>0.157</v>
      </c>
      <c r="L375" t="n">
        <v>0.843</v>
      </c>
      <c r="M375" t="n">
        <v>0</v>
      </c>
    </row>
    <row r="376" spans="1:13">
      <c r="A376" s="1">
        <f>HYPERLINK("http://www.twitter.com/NathanBLawrence/status/1001457218099777536", "1001457218099777536")</f>
        <v/>
      </c>
      <c r="B376" s="2" t="n">
        <v>43249.56690972222</v>
      </c>
      <c r="C376" t="n">
        <v>0</v>
      </c>
      <c r="D376" t="n">
        <v>222</v>
      </c>
      <c r="E376" t="s">
        <v>387</v>
      </c>
      <c r="F376" t="s"/>
      <c r="G376" t="s"/>
      <c r="H376" t="s"/>
      <c r="I376" t="s"/>
      <c r="J376" t="n">
        <v>0.0772</v>
      </c>
      <c r="K376" t="n">
        <v>0.061</v>
      </c>
      <c r="L376" t="n">
        <v>0.866</v>
      </c>
      <c r="M376" t="n">
        <v>0.073</v>
      </c>
    </row>
    <row r="377" spans="1:13">
      <c r="A377" s="1">
        <f>HYPERLINK("http://www.twitter.com/NathanBLawrence/status/1001457186135003137", "1001457186135003137")</f>
        <v/>
      </c>
      <c r="B377" s="2" t="n">
        <v>43249.5668287037</v>
      </c>
      <c r="C377" t="n">
        <v>0</v>
      </c>
      <c r="D377" t="n">
        <v>235</v>
      </c>
      <c r="E377" t="s">
        <v>388</v>
      </c>
      <c r="F377">
        <f>HYPERLINK("http://pbs.twimg.com/media/DeVicskVwAA8mCS.jpg", "http://pbs.twimg.com/media/DeVicskVwAA8mCS.jpg")</f>
        <v/>
      </c>
      <c r="G377">
        <f>HYPERLINK("http://pbs.twimg.com/media/DeVicskUQAA6y8s.jpg", "http://pbs.twimg.com/media/DeVicskUQAA6y8s.jpg")</f>
        <v/>
      </c>
      <c r="H377" t="s"/>
      <c r="I377" t="s"/>
      <c r="J377" t="n">
        <v>0.7096</v>
      </c>
      <c r="K377" t="n">
        <v>0.062</v>
      </c>
      <c r="L377" t="n">
        <v>0.717</v>
      </c>
      <c r="M377" t="n">
        <v>0.221</v>
      </c>
    </row>
    <row r="378" spans="1:13">
      <c r="A378" s="1">
        <f>HYPERLINK("http://www.twitter.com/NathanBLawrence/status/1001457046695313408", "1001457046695313408")</f>
        <v/>
      </c>
      <c r="B378" s="2" t="n">
        <v>43249.56643518519</v>
      </c>
      <c r="C378" t="n">
        <v>0</v>
      </c>
      <c r="D378" t="n">
        <v>160</v>
      </c>
      <c r="E378" t="s">
        <v>389</v>
      </c>
      <c r="F378">
        <f>HYPERLINK("http://pbs.twimg.com/media/DeVhhI7U0AAzHIl.jpg", "http://pbs.twimg.com/media/DeVhhI7U0AAzHIl.jpg")</f>
        <v/>
      </c>
      <c r="G378">
        <f>HYPERLINK("http://pbs.twimg.com/media/DeVhhI7VMAAUfOW.jpg", "http://pbs.twimg.com/media/DeVhhI7VMAAUfOW.jpg")</f>
        <v/>
      </c>
      <c r="H378" t="s"/>
      <c r="I378" t="s"/>
      <c r="J378" t="n">
        <v>0</v>
      </c>
      <c r="K378" t="n">
        <v>0</v>
      </c>
      <c r="L378" t="n">
        <v>1</v>
      </c>
      <c r="M378" t="n">
        <v>0</v>
      </c>
    </row>
    <row r="379" spans="1:13">
      <c r="A379" s="1">
        <f>HYPERLINK("http://www.twitter.com/NathanBLawrence/status/1001457016450289664", "1001457016450289664")</f>
        <v/>
      </c>
      <c r="B379" s="2" t="n">
        <v>43249.56635416667</v>
      </c>
      <c r="C379" t="n">
        <v>0</v>
      </c>
      <c r="D379" t="n">
        <v>214</v>
      </c>
      <c r="E379" t="s">
        <v>390</v>
      </c>
      <c r="F379">
        <f>HYPERLINK("http://pbs.twimg.com/media/DeVgSiBVAAIVPQi.jpg", "http://pbs.twimg.com/media/DeVgSiBVAAIVPQi.jpg")</f>
        <v/>
      </c>
      <c r="G379">
        <f>HYPERLINK("http://pbs.twimg.com/media/DeVgSiFVAAAt4gR.jpg", "http://pbs.twimg.com/media/DeVgSiFVAAAt4gR.jpg")</f>
        <v/>
      </c>
      <c r="H379" t="s"/>
      <c r="I379" t="s"/>
      <c r="J379" t="n">
        <v>0.1027</v>
      </c>
      <c r="K379" t="n">
        <v>0</v>
      </c>
      <c r="L379" t="n">
        <v>0.928</v>
      </c>
      <c r="M379" t="n">
        <v>0.07199999999999999</v>
      </c>
    </row>
    <row r="380" spans="1:13">
      <c r="A380" s="1">
        <f>HYPERLINK("http://www.twitter.com/NathanBLawrence/status/1001456963744657410", "1001456963744657410")</f>
        <v/>
      </c>
      <c r="B380" s="2" t="n">
        <v>43249.5662037037</v>
      </c>
      <c r="C380" t="n">
        <v>0</v>
      </c>
      <c r="D380" t="n">
        <v>755</v>
      </c>
      <c r="E380" t="s">
        <v>391</v>
      </c>
      <c r="F380">
        <f>HYPERLINK("http://pbs.twimg.com/media/DeVfMRIU8AAUABY.jpg", "http://pbs.twimg.com/media/DeVfMRIU8AAUABY.jpg")</f>
        <v/>
      </c>
      <c r="G380" t="s"/>
      <c r="H380" t="s"/>
      <c r="I380" t="s"/>
      <c r="J380" t="n">
        <v>-0.5266999999999999</v>
      </c>
      <c r="K380" t="n">
        <v>0.254</v>
      </c>
      <c r="L380" t="n">
        <v>0.625</v>
      </c>
      <c r="M380" t="n">
        <v>0.121</v>
      </c>
    </row>
    <row r="381" spans="1:13">
      <c r="A381" s="1">
        <f>HYPERLINK("http://www.twitter.com/NathanBLawrence/status/1001442714980900865", "1001442714980900865")</f>
        <v/>
      </c>
      <c r="B381" s="2" t="n">
        <v>43249.52688657407</v>
      </c>
      <c r="C381" t="n">
        <v>0</v>
      </c>
      <c r="D381" t="n">
        <v>0</v>
      </c>
      <c r="E381" t="s">
        <v>392</v>
      </c>
      <c r="F381" t="s"/>
      <c r="G381" t="s"/>
      <c r="H381" t="s"/>
      <c r="I381" t="s"/>
      <c r="J381" t="n">
        <v>-0.1867</v>
      </c>
      <c r="K381" t="n">
        <v>0.07000000000000001</v>
      </c>
      <c r="L381" t="n">
        <v>0.93</v>
      </c>
      <c r="M381" t="n">
        <v>0</v>
      </c>
    </row>
    <row r="382" spans="1:13">
      <c r="A382" s="1">
        <f>HYPERLINK("http://www.twitter.com/NathanBLawrence/status/1001442712791461888", "1001442712791461888")</f>
        <v/>
      </c>
      <c r="B382" s="2" t="n">
        <v>43249.52688657407</v>
      </c>
      <c r="C382" t="n">
        <v>0</v>
      </c>
      <c r="D382" t="n">
        <v>0</v>
      </c>
      <c r="E382" t="s">
        <v>393</v>
      </c>
      <c r="F382" t="s"/>
      <c r="G382" t="s"/>
      <c r="H382" t="s"/>
      <c r="I382" t="s"/>
      <c r="J382" t="n">
        <v>-0.8126</v>
      </c>
      <c r="K382" t="n">
        <v>0.219</v>
      </c>
      <c r="L382" t="n">
        <v>0.712</v>
      </c>
      <c r="M382" t="n">
        <v>0.06900000000000001</v>
      </c>
    </row>
    <row r="383" spans="1:13">
      <c r="A383" s="1">
        <f>HYPERLINK("http://www.twitter.com/NathanBLawrence/status/1001326012318306304", "1001326012318306304")</f>
        <v/>
      </c>
      <c r="B383" s="2" t="n">
        <v>43249.20484953704</v>
      </c>
      <c r="C383" t="n">
        <v>0</v>
      </c>
      <c r="D383" t="n">
        <v>24</v>
      </c>
      <c r="E383" t="s">
        <v>394</v>
      </c>
      <c r="F383" t="s"/>
      <c r="G383" t="s"/>
      <c r="H383" t="s"/>
      <c r="I383" t="s"/>
      <c r="J383" t="n">
        <v>-0.1759</v>
      </c>
      <c r="K383" t="n">
        <v>0.163</v>
      </c>
      <c r="L383" t="n">
        <v>0.701</v>
      </c>
      <c r="M383" t="n">
        <v>0.136</v>
      </c>
    </row>
    <row r="384" spans="1:13">
      <c r="A384" s="1">
        <f>HYPERLINK("http://www.twitter.com/NathanBLawrence/status/1001325712769454081", "1001325712769454081")</f>
        <v/>
      </c>
      <c r="B384" s="2" t="n">
        <v>43249.20402777778</v>
      </c>
      <c r="C384" t="n">
        <v>0</v>
      </c>
      <c r="D384" t="n">
        <v>229</v>
      </c>
      <c r="E384" t="s">
        <v>395</v>
      </c>
      <c r="F384">
        <f>HYPERLINK("http://pbs.twimg.com/media/DeVfDabU0AAoFBp.jpg", "http://pbs.twimg.com/media/DeVfDabU0AAoFBp.jpg")</f>
        <v/>
      </c>
      <c r="G384" t="s"/>
      <c r="H384" t="s"/>
      <c r="I384" t="s"/>
      <c r="J384" t="n">
        <v>0.9265</v>
      </c>
      <c r="K384" t="n">
        <v>0</v>
      </c>
      <c r="L384" t="n">
        <v>0.596</v>
      </c>
      <c r="M384" t="n">
        <v>0.404</v>
      </c>
    </row>
    <row r="385" spans="1:13">
      <c r="A385" s="1">
        <f>HYPERLINK("http://www.twitter.com/NathanBLawrence/status/1001325023334944769", "1001325023334944769")</f>
        <v/>
      </c>
      <c r="B385" s="2" t="n">
        <v>43249.20211805555</v>
      </c>
      <c r="C385" t="n">
        <v>0</v>
      </c>
      <c r="D385" t="n">
        <v>23</v>
      </c>
      <c r="E385" t="s">
        <v>396</v>
      </c>
      <c r="F385">
        <f>HYPERLINK("http://pbs.twimg.com/media/DeTmBNrUwAAWwt3.jpg", "http://pbs.twimg.com/media/DeTmBNrUwAAWwt3.jpg")</f>
        <v/>
      </c>
      <c r="G385" t="s"/>
      <c r="H385" t="s"/>
      <c r="I385" t="s"/>
      <c r="J385" t="n">
        <v>0</v>
      </c>
      <c r="K385" t="n">
        <v>0</v>
      </c>
      <c r="L385" t="n">
        <v>1</v>
      </c>
      <c r="M385" t="n">
        <v>0</v>
      </c>
    </row>
    <row r="386" spans="1:13">
      <c r="A386" s="1">
        <f>HYPERLINK("http://www.twitter.com/NathanBLawrence/status/1001324997535784960", "1001324997535784960")</f>
        <v/>
      </c>
      <c r="B386" s="2" t="n">
        <v>43249.20204861111</v>
      </c>
      <c r="C386" t="n">
        <v>0</v>
      </c>
      <c r="D386" t="n">
        <v>2</v>
      </c>
      <c r="E386" t="s">
        <v>397</v>
      </c>
      <c r="F386">
        <f>HYPERLINK("http://pbs.twimg.com/media/DeS4IuYV0AAG1Iu.jpg", "http://pbs.twimg.com/media/DeS4IuYV0AAG1Iu.jpg")</f>
        <v/>
      </c>
      <c r="G386" t="s"/>
      <c r="H386" t="s"/>
      <c r="I386" t="s"/>
      <c r="J386" t="n">
        <v>0.1531</v>
      </c>
      <c r="K386" t="n">
        <v>0</v>
      </c>
      <c r="L386" t="n">
        <v>0.862</v>
      </c>
      <c r="M386" t="n">
        <v>0.138</v>
      </c>
    </row>
    <row r="387" spans="1:13">
      <c r="A387" s="1">
        <f>HYPERLINK("http://www.twitter.com/NathanBLawrence/status/1001324979718361088", "1001324979718361088")</f>
        <v/>
      </c>
      <c r="B387" s="2" t="n">
        <v>43249.20200231481</v>
      </c>
      <c r="C387" t="n">
        <v>0</v>
      </c>
      <c r="D387" t="n">
        <v>255</v>
      </c>
      <c r="E387" t="s">
        <v>398</v>
      </c>
      <c r="F387">
        <f>HYPERLINK("http://pbs.twimg.com/media/DeTkwExU0AEsydA.jpg", "http://pbs.twimg.com/media/DeTkwExU0AEsydA.jpg")</f>
        <v/>
      </c>
      <c r="G387" t="s"/>
      <c r="H387" t="s"/>
      <c r="I387" t="s"/>
      <c r="J387" t="n">
        <v>0</v>
      </c>
      <c r="K387" t="n">
        <v>0</v>
      </c>
      <c r="L387" t="n">
        <v>1</v>
      </c>
      <c r="M387" t="n">
        <v>0</v>
      </c>
    </row>
    <row r="388" spans="1:13">
      <c r="A388" s="1">
        <f>HYPERLINK("http://www.twitter.com/NathanBLawrence/status/1001324943081132032", "1001324943081132032")</f>
        <v/>
      </c>
      <c r="B388" s="2" t="n">
        <v>43249.20189814815</v>
      </c>
      <c r="C388" t="n">
        <v>0</v>
      </c>
      <c r="D388" t="n">
        <v>7121</v>
      </c>
      <c r="E388" t="s">
        <v>399</v>
      </c>
      <c r="F388" t="s"/>
      <c r="G388" t="s"/>
      <c r="H388" t="s"/>
      <c r="I388" t="s"/>
      <c r="J388" t="n">
        <v>0</v>
      </c>
      <c r="K388" t="n">
        <v>0</v>
      </c>
      <c r="L388" t="n">
        <v>1</v>
      </c>
      <c r="M388" t="n">
        <v>0</v>
      </c>
    </row>
    <row r="389" spans="1:13">
      <c r="A389" s="1">
        <f>HYPERLINK("http://www.twitter.com/NathanBLawrence/status/1001324892762132481", "1001324892762132481")</f>
        <v/>
      </c>
      <c r="B389" s="2" t="n">
        <v>43249.20175925926</v>
      </c>
      <c r="C389" t="n">
        <v>0</v>
      </c>
      <c r="D389" t="n">
        <v>904</v>
      </c>
      <c r="E389" t="s">
        <v>400</v>
      </c>
      <c r="F389" t="s"/>
      <c r="G389" t="s"/>
      <c r="H389" t="s"/>
      <c r="I389" t="s"/>
      <c r="J389" t="n">
        <v>-0.3182</v>
      </c>
      <c r="K389" t="n">
        <v>0.08699999999999999</v>
      </c>
      <c r="L389" t="n">
        <v>0.913</v>
      </c>
      <c r="M389" t="n">
        <v>0</v>
      </c>
    </row>
    <row r="390" spans="1:13">
      <c r="A390" s="1">
        <f>HYPERLINK("http://www.twitter.com/NathanBLawrence/status/1001324815691677696", "1001324815691677696")</f>
        <v/>
      </c>
      <c r="B390" s="2" t="n">
        <v>43249.20155092593</v>
      </c>
      <c r="C390" t="n">
        <v>0</v>
      </c>
      <c r="D390" t="n">
        <v>449</v>
      </c>
      <c r="E390" t="s">
        <v>401</v>
      </c>
      <c r="F390">
        <f>HYPERLINK("http://pbs.twimg.com/media/DeUpja4U0AALzmf.jpg", "http://pbs.twimg.com/media/DeUpja4U0AALzmf.jpg")</f>
        <v/>
      </c>
      <c r="G390">
        <f>HYPERLINK("http://pbs.twimg.com/media/DeUpjlwVwAEOy0N.jpg", "http://pbs.twimg.com/media/DeUpjlwVwAEOy0N.jpg")</f>
        <v/>
      </c>
      <c r="H390" t="s"/>
      <c r="I390" t="s"/>
      <c r="J390" t="n">
        <v>-0.874</v>
      </c>
      <c r="K390" t="n">
        <v>0.29</v>
      </c>
      <c r="L390" t="n">
        <v>0.71</v>
      </c>
      <c r="M390" t="n">
        <v>0</v>
      </c>
    </row>
    <row r="391" spans="1:13">
      <c r="A391" s="1">
        <f>HYPERLINK("http://www.twitter.com/NathanBLawrence/status/1001324625471647750", "1001324625471647750")</f>
        <v/>
      </c>
      <c r="B391" s="2" t="n">
        <v>43249.20103009259</v>
      </c>
      <c r="C391" t="n">
        <v>0</v>
      </c>
      <c r="D391" t="n">
        <v>11</v>
      </c>
      <c r="E391" t="s">
        <v>402</v>
      </c>
      <c r="F391" t="s"/>
      <c r="G391" t="s"/>
      <c r="H391" t="s"/>
      <c r="I391" t="s"/>
      <c r="J391" t="n">
        <v>0</v>
      </c>
      <c r="K391" t="n">
        <v>0</v>
      </c>
      <c r="L391" t="n">
        <v>1</v>
      </c>
      <c r="M391" t="n">
        <v>0</v>
      </c>
    </row>
    <row r="392" spans="1:13">
      <c r="A392" s="1">
        <f>HYPERLINK("http://www.twitter.com/NathanBLawrence/status/1001323799617433601", "1001323799617433601")</f>
        <v/>
      </c>
      <c r="B392" s="2" t="n">
        <v>43249.19875</v>
      </c>
      <c r="C392" t="n">
        <v>0</v>
      </c>
      <c r="D392" t="n">
        <v>495</v>
      </c>
      <c r="E392" t="s">
        <v>403</v>
      </c>
      <c r="F392" t="s"/>
      <c r="G392" t="s"/>
      <c r="H392" t="s"/>
      <c r="I392" t="s"/>
      <c r="J392" t="n">
        <v>0.8516</v>
      </c>
      <c r="K392" t="n">
        <v>0</v>
      </c>
      <c r="L392" t="n">
        <v>0.66</v>
      </c>
      <c r="M392" t="n">
        <v>0.34</v>
      </c>
    </row>
    <row r="393" spans="1:13">
      <c r="A393" s="1">
        <f>HYPERLINK("http://www.twitter.com/NathanBLawrence/status/1001323689030365184", "1001323689030365184")</f>
        <v/>
      </c>
      <c r="B393" s="2" t="n">
        <v>43249.1984375</v>
      </c>
      <c r="C393" t="n">
        <v>0</v>
      </c>
      <c r="D393" t="n">
        <v>7</v>
      </c>
      <c r="E393" t="s">
        <v>404</v>
      </c>
      <c r="F393" t="s"/>
      <c r="G393" t="s"/>
      <c r="H393" t="s"/>
      <c r="I393" t="s"/>
      <c r="J393" t="n">
        <v>-0.6908</v>
      </c>
      <c r="K393" t="n">
        <v>0.322</v>
      </c>
      <c r="L393" t="n">
        <v>0.678</v>
      </c>
      <c r="M393" t="n">
        <v>0</v>
      </c>
    </row>
    <row r="394" spans="1:13">
      <c r="A394" s="1">
        <f>HYPERLINK("http://www.twitter.com/NathanBLawrence/status/1001323521975443456", "1001323521975443456")</f>
        <v/>
      </c>
      <c r="B394" s="2" t="n">
        <v>43249.19797453703</v>
      </c>
      <c r="C394" t="n">
        <v>0</v>
      </c>
      <c r="D394" t="n">
        <v>2</v>
      </c>
      <c r="E394" t="s">
        <v>405</v>
      </c>
      <c r="F394" t="s"/>
      <c r="G394" t="s"/>
      <c r="H394" t="s"/>
      <c r="I394" t="s"/>
      <c r="J394" t="n">
        <v>-0.7423999999999999</v>
      </c>
      <c r="K394" t="n">
        <v>0.296</v>
      </c>
      <c r="L394" t="n">
        <v>0.704</v>
      </c>
      <c r="M394" t="n">
        <v>0</v>
      </c>
    </row>
    <row r="395" spans="1:13">
      <c r="A395" s="1">
        <f>HYPERLINK("http://www.twitter.com/NathanBLawrence/status/1001323472277164032", "1001323472277164032")</f>
        <v/>
      </c>
      <c r="B395" s="2" t="n">
        <v>43249.19784722223</v>
      </c>
      <c r="C395" t="n">
        <v>0</v>
      </c>
      <c r="D395" t="n">
        <v>2716</v>
      </c>
      <c r="E395" t="s">
        <v>406</v>
      </c>
      <c r="F395" t="s"/>
      <c r="G395" t="s"/>
      <c r="H395" t="s"/>
      <c r="I395" t="s"/>
      <c r="J395" t="n">
        <v>-0.0173</v>
      </c>
      <c r="K395" t="n">
        <v>0.108</v>
      </c>
      <c r="L395" t="n">
        <v>0.787</v>
      </c>
      <c r="M395" t="n">
        <v>0.105</v>
      </c>
    </row>
    <row r="396" spans="1:13">
      <c r="A396" s="1">
        <f>HYPERLINK("http://www.twitter.com/NathanBLawrence/status/1001323440438239232", "1001323440438239232")</f>
        <v/>
      </c>
      <c r="B396" s="2" t="n">
        <v>43249.19775462963</v>
      </c>
      <c r="C396" t="n">
        <v>0</v>
      </c>
      <c r="D396" t="n">
        <v>6</v>
      </c>
      <c r="E396" t="s">
        <v>407</v>
      </c>
      <c r="F396" t="s"/>
      <c r="G396" t="s"/>
      <c r="H396" t="s"/>
      <c r="I396" t="s"/>
      <c r="J396" t="n">
        <v>0.3034</v>
      </c>
      <c r="K396" t="n">
        <v>0</v>
      </c>
      <c r="L396" t="n">
        <v>0.862</v>
      </c>
      <c r="M396" t="n">
        <v>0.138</v>
      </c>
    </row>
    <row r="397" spans="1:13">
      <c r="A397" s="1">
        <f>HYPERLINK("http://www.twitter.com/NathanBLawrence/status/1001323340890558464", "1001323340890558464")</f>
        <v/>
      </c>
      <c r="B397" s="2" t="n">
        <v>43249.19747685185</v>
      </c>
      <c r="C397" t="n">
        <v>0</v>
      </c>
      <c r="D397" t="n">
        <v>115</v>
      </c>
      <c r="E397" t="s">
        <v>408</v>
      </c>
      <c r="F397" t="s"/>
      <c r="G397" t="s"/>
      <c r="H397" t="s"/>
      <c r="I397" t="s"/>
      <c r="J397" t="n">
        <v>-0.5574</v>
      </c>
      <c r="K397" t="n">
        <v>0.194</v>
      </c>
      <c r="L397" t="n">
        <v>0.806</v>
      </c>
      <c r="M397" t="n">
        <v>0</v>
      </c>
    </row>
    <row r="398" spans="1:13">
      <c r="A398" s="1">
        <f>HYPERLINK("http://www.twitter.com/NathanBLawrence/status/1001323183625170944", "1001323183625170944")</f>
        <v/>
      </c>
      <c r="B398" s="2" t="n">
        <v>43249.19704861111</v>
      </c>
      <c r="C398" t="n">
        <v>0</v>
      </c>
      <c r="D398" t="n">
        <v>3</v>
      </c>
      <c r="E398" t="s">
        <v>409</v>
      </c>
      <c r="F398" t="s"/>
      <c r="G398" t="s"/>
      <c r="H398" t="s"/>
      <c r="I398" t="s"/>
      <c r="J398" t="n">
        <v>0.4404</v>
      </c>
      <c r="K398" t="n">
        <v>0</v>
      </c>
      <c r="L398" t="n">
        <v>0.854</v>
      </c>
      <c r="M398" t="n">
        <v>0.146</v>
      </c>
    </row>
    <row r="399" spans="1:13">
      <c r="A399" s="1">
        <f>HYPERLINK("http://www.twitter.com/NathanBLawrence/status/1001320370136408065", "1001320370136408065")</f>
        <v/>
      </c>
      <c r="B399" s="2" t="n">
        <v>43249.18928240741</v>
      </c>
      <c r="C399" t="n">
        <v>0</v>
      </c>
      <c r="D399" t="n">
        <v>4156</v>
      </c>
      <c r="E399" t="s">
        <v>410</v>
      </c>
      <c r="F399" t="s"/>
      <c r="G399" t="s"/>
      <c r="H399" t="s"/>
      <c r="I399" t="s"/>
      <c r="J399" t="n">
        <v>-0.5266999999999999</v>
      </c>
      <c r="K399" t="n">
        <v>0.18</v>
      </c>
      <c r="L399" t="n">
        <v>0.82</v>
      </c>
      <c r="M399" t="n">
        <v>0</v>
      </c>
    </row>
    <row r="400" spans="1:13">
      <c r="A400" s="1">
        <f>HYPERLINK("http://www.twitter.com/NathanBLawrence/status/1001320259398328320", "1001320259398328320")</f>
        <v/>
      </c>
      <c r="B400" s="2" t="n">
        <v>43249.18898148148</v>
      </c>
      <c r="C400" t="n">
        <v>0</v>
      </c>
      <c r="D400" t="n">
        <v>703</v>
      </c>
      <c r="E400" t="s">
        <v>411</v>
      </c>
      <c r="F400" t="s"/>
      <c r="G400" t="s"/>
      <c r="H400" t="s"/>
      <c r="I400" t="s"/>
      <c r="J400" t="n">
        <v>-0.7506</v>
      </c>
      <c r="K400" t="n">
        <v>0.252</v>
      </c>
      <c r="L400" t="n">
        <v>0.748</v>
      </c>
      <c r="M400" t="n">
        <v>0</v>
      </c>
    </row>
    <row r="401" spans="1:13">
      <c r="A401" s="1">
        <f>HYPERLINK("http://www.twitter.com/NathanBLawrence/status/1001319838608916480", "1001319838608916480")</f>
        <v/>
      </c>
      <c r="B401" s="2" t="n">
        <v>43249.1878125</v>
      </c>
      <c r="C401" t="n">
        <v>0</v>
      </c>
      <c r="D401" t="n">
        <v>268</v>
      </c>
      <c r="E401" t="s">
        <v>412</v>
      </c>
      <c r="F401" t="s"/>
      <c r="G401" t="s"/>
      <c r="H401" t="s"/>
      <c r="I401" t="s"/>
      <c r="J401" t="n">
        <v>-0.5574</v>
      </c>
      <c r="K401" t="n">
        <v>0.135</v>
      </c>
      <c r="L401" t="n">
        <v>0.865</v>
      </c>
      <c r="M401" t="n">
        <v>0</v>
      </c>
    </row>
    <row r="402" spans="1:13">
      <c r="A402" s="1">
        <f>HYPERLINK("http://www.twitter.com/NathanBLawrence/status/1001319626188435457", "1001319626188435457")</f>
        <v/>
      </c>
      <c r="B402" s="2" t="n">
        <v>43249.1872337963</v>
      </c>
      <c r="C402" t="n">
        <v>0</v>
      </c>
      <c r="D402" t="n">
        <v>282</v>
      </c>
      <c r="E402" t="s">
        <v>413</v>
      </c>
      <c r="F402" t="s"/>
      <c r="G402" t="s"/>
      <c r="H402" t="s"/>
      <c r="I402" t="s"/>
      <c r="J402" t="n">
        <v>-0.5574</v>
      </c>
      <c r="K402" t="n">
        <v>0.153</v>
      </c>
      <c r="L402" t="n">
        <v>0.847</v>
      </c>
      <c r="M402" t="n">
        <v>0</v>
      </c>
    </row>
    <row r="403" spans="1:13">
      <c r="A403" s="1">
        <f>HYPERLINK("http://www.twitter.com/NathanBLawrence/status/1001319535406977024", "1001319535406977024")</f>
        <v/>
      </c>
      <c r="B403" s="2" t="n">
        <v>43249.18697916667</v>
      </c>
      <c r="C403" t="n">
        <v>0</v>
      </c>
      <c r="D403" t="n">
        <v>437</v>
      </c>
      <c r="E403" t="s">
        <v>414</v>
      </c>
      <c r="F403" t="s"/>
      <c r="G403" t="s"/>
      <c r="H403" t="s"/>
      <c r="I403" t="s"/>
      <c r="J403" t="n">
        <v>-0.4767</v>
      </c>
      <c r="K403" t="n">
        <v>0.129</v>
      </c>
      <c r="L403" t="n">
        <v>0.871</v>
      </c>
      <c r="M403" t="n">
        <v>0</v>
      </c>
    </row>
    <row r="404" spans="1:13">
      <c r="A404" s="1">
        <f>HYPERLINK("http://www.twitter.com/NathanBLawrence/status/1001319458709917697", "1001319458709917697")</f>
        <v/>
      </c>
      <c r="B404" s="2" t="n">
        <v>43249.18677083333</v>
      </c>
      <c r="C404" t="n">
        <v>0</v>
      </c>
      <c r="D404" t="n">
        <v>2469</v>
      </c>
      <c r="E404" t="s">
        <v>415</v>
      </c>
      <c r="F404" t="s"/>
      <c r="G404" t="s"/>
      <c r="H404" t="s"/>
      <c r="I404" t="s"/>
      <c r="J404" t="n">
        <v>-0.6249</v>
      </c>
      <c r="K404" t="n">
        <v>0.212</v>
      </c>
      <c r="L404" t="n">
        <v>0.788</v>
      </c>
      <c r="M404" t="n">
        <v>0</v>
      </c>
    </row>
    <row r="405" spans="1:13">
      <c r="A405" s="1">
        <f>HYPERLINK("http://www.twitter.com/NathanBLawrence/status/1001319395011031040", "1001319395011031040")</f>
        <v/>
      </c>
      <c r="B405" s="2" t="n">
        <v>43249.18659722222</v>
      </c>
      <c r="C405" t="n">
        <v>0</v>
      </c>
      <c r="D405" t="n">
        <v>733</v>
      </c>
      <c r="E405" t="s">
        <v>416</v>
      </c>
      <c r="F405" t="s"/>
      <c r="G405" t="s"/>
      <c r="H405" t="s"/>
      <c r="I405" t="s"/>
      <c r="J405" t="n">
        <v>0</v>
      </c>
      <c r="K405" t="n">
        <v>0</v>
      </c>
      <c r="L405" t="n">
        <v>1</v>
      </c>
      <c r="M405" t="n">
        <v>0</v>
      </c>
    </row>
    <row r="406" spans="1:13">
      <c r="A406" s="1">
        <f>HYPERLINK("http://www.twitter.com/NathanBLawrence/status/1001319249288269824", "1001319249288269824")</f>
        <v/>
      </c>
      <c r="B406" s="2" t="n">
        <v>43249.18619212963</v>
      </c>
      <c r="C406" t="n">
        <v>0</v>
      </c>
      <c r="D406" t="n">
        <v>116</v>
      </c>
      <c r="E406" t="s">
        <v>417</v>
      </c>
      <c r="F406" t="s"/>
      <c r="G406" t="s"/>
      <c r="H406" t="s"/>
      <c r="I406" t="s"/>
      <c r="J406" t="n">
        <v>-0.5719</v>
      </c>
      <c r="K406" t="n">
        <v>0.222</v>
      </c>
      <c r="L406" t="n">
        <v>0.778</v>
      </c>
      <c r="M406" t="n">
        <v>0</v>
      </c>
    </row>
    <row r="407" spans="1:13">
      <c r="A407" s="1">
        <f>HYPERLINK("http://www.twitter.com/NathanBLawrence/status/1001318057413922821", "1001318057413922821")</f>
        <v/>
      </c>
      <c r="B407" s="2" t="n">
        <v>43249.1829050926</v>
      </c>
      <c r="C407" t="n">
        <v>0</v>
      </c>
      <c r="D407" t="n">
        <v>185</v>
      </c>
      <c r="E407" t="s">
        <v>418</v>
      </c>
      <c r="F407" t="s"/>
      <c r="G407" t="s"/>
      <c r="H407" t="s"/>
      <c r="I407" t="s"/>
      <c r="J407" t="n">
        <v>0.5266999999999999</v>
      </c>
      <c r="K407" t="n">
        <v>0</v>
      </c>
      <c r="L407" t="n">
        <v>0.469</v>
      </c>
      <c r="M407" t="n">
        <v>0.531</v>
      </c>
    </row>
    <row r="408" spans="1:13">
      <c r="A408" s="1">
        <f>HYPERLINK("http://www.twitter.com/NathanBLawrence/status/1001317980872105984", "1001317980872105984")</f>
        <v/>
      </c>
      <c r="B408" s="2" t="n">
        <v>43249.18268518519</v>
      </c>
      <c r="C408" t="n">
        <v>0</v>
      </c>
      <c r="D408" t="n">
        <v>1043</v>
      </c>
      <c r="E408" t="s">
        <v>419</v>
      </c>
      <c r="F408">
        <f>HYPERLINK("http://pbs.twimg.com/media/DeOzCC9XcAUWAfS.jpg", "http://pbs.twimg.com/media/DeOzCC9XcAUWAfS.jpg")</f>
        <v/>
      </c>
      <c r="G408" t="s"/>
      <c r="H408" t="s"/>
      <c r="I408" t="s"/>
      <c r="J408" t="n">
        <v>0.128</v>
      </c>
      <c r="K408" t="n">
        <v>0.091</v>
      </c>
      <c r="L408" t="n">
        <v>0.798</v>
      </c>
      <c r="M408" t="n">
        <v>0.11</v>
      </c>
    </row>
    <row r="409" spans="1:13">
      <c r="A409" s="1">
        <f>HYPERLINK("http://www.twitter.com/NathanBLawrence/status/1001317281949999104", "1001317281949999104")</f>
        <v/>
      </c>
      <c r="B409" s="2" t="n">
        <v>43249.18076388889</v>
      </c>
      <c r="C409" t="n">
        <v>0</v>
      </c>
      <c r="D409" t="n">
        <v>2137</v>
      </c>
      <c r="E409" t="s">
        <v>420</v>
      </c>
      <c r="F409" t="s"/>
      <c r="G409" t="s"/>
      <c r="H409" t="s"/>
      <c r="I409" t="s"/>
      <c r="J409" t="n">
        <v>0</v>
      </c>
      <c r="K409" t="n">
        <v>0</v>
      </c>
      <c r="L409" t="n">
        <v>1</v>
      </c>
      <c r="M409" t="n">
        <v>0</v>
      </c>
    </row>
    <row r="410" spans="1:13">
      <c r="A410" s="1">
        <f>HYPERLINK("http://www.twitter.com/NathanBLawrence/status/1001317200567984130", "1001317200567984130")</f>
        <v/>
      </c>
      <c r="B410" s="2" t="n">
        <v>43249.18053240741</v>
      </c>
      <c r="C410" t="n">
        <v>0</v>
      </c>
      <c r="D410" t="n">
        <v>285</v>
      </c>
      <c r="E410" t="s">
        <v>421</v>
      </c>
      <c r="F410" t="s"/>
      <c r="G410" t="s"/>
      <c r="H410" t="s"/>
      <c r="I410" t="s"/>
      <c r="J410" t="n">
        <v>0.4215</v>
      </c>
      <c r="K410" t="n">
        <v>0</v>
      </c>
      <c r="L410" t="n">
        <v>0.588</v>
      </c>
      <c r="M410" t="n">
        <v>0.412</v>
      </c>
    </row>
    <row r="411" spans="1:13">
      <c r="A411" s="1">
        <f>HYPERLINK("http://www.twitter.com/NathanBLawrence/status/1001317153071665152", "1001317153071665152")</f>
        <v/>
      </c>
      <c r="B411" s="2" t="n">
        <v>43249.18040509259</v>
      </c>
      <c r="C411" t="n">
        <v>0</v>
      </c>
      <c r="D411" t="n">
        <v>48</v>
      </c>
      <c r="E411" t="s">
        <v>422</v>
      </c>
      <c r="F411" t="s"/>
      <c r="G411" t="s"/>
      <c r="H411" t="s"/>
      <c r="I411" t="s"/>
      <c r="J411" t="n">
        <v>0.0534</v>
      </c>
      <c r="K411" t="n">
        <v>0.173</v>
      </c>
      <c r="L411" t="n">
        <v>0.617</v>
      </c>
      <c r="M411" t="n">
        <v>0.21</v>
      </c>
    </row>
    <row r="412" spans="1:13">
      <c r="A412" s="1">
        <f>HYPERLINK("http://www.twitter.com/NathanBLawrence/status/1001317031109685248", "1001317031109685248")</f>
        <v/>
      </c>
      <c r="B412" s="2" t="n">
        <v>43249.18006944445</v>
      </c>
      <c r="C412" t="n">
        <v>0</v>
      </c>
      <c r="D412" t="n">
        <v>1290</v>
      </c>
      <c r="E412" t="s">
        <v>423</v>
      </c>
      <c r="F412" t="s"/>
      <c r="G412" t="s"/>
      <c r="H412" t="s"/>
      <c r="I412" t="s"/>
      <c r="J412" t="n">
        <v>-0.6705</v>
      </c>
      <c r="K412" t="n">
        <v>0.148</v>
      </c>
      <c r="L412" t="n">
        <v>0.852</v>
      </c>
      <c r="M412" t="n">
        <v>0</v>
      </c>
    </row>
    <row r="413" spans="1:13">
      <c r="A413" s="1">
        <f>HYPERLINK("http://www.twitter.com/NathanBLawrence/status/1001316931981455362", "1001316931981455362")</f>
        <v/>
      </c>
      <c r="B413" s="2" t="n">
        <v>43249.17979166667</v>
      </c>
      <c r="C413" t="n">
        <v>0</v>
      </c>
      <c r="D413" t="n">
        <v>513</v>
      </c>
      <c r="E413" t="s">
        <v>424</v>
      </c>
      <c r="F413" t="s"/>
      <c r="G413" t="s"/>
      <c r="H413" t="s"/>
      <c r="I413" t="s"/>
      <c r="J413" t="n">
        <v>-0.2124</v>
      </c>
      <c r="K413" t="n">
        <v>0.099</v>
      </c>
      <c r="L413" t="n">
        <v>0.829</v>
      </c>
      <c r="M413" t="n">
        <v>0.07199999999999999</v>
      </c>
    </row>
    <row r="414" spans="1:13">
      <c r="A414" s="1">
        <f>HYPERLINK("http://www.twitter.com/NathanBLawrence/status/1001316863786278912", "1001316863786278912")</f>
        <v/>
      </c>
      <c r="B414" s="2" t="n">
        <v>43249.17960648148</v>
      </c>
      <c r="C414" t="n">
        <v>0</v>
      </c>
      <c r="D414" t="n">
        <v>827</v>
      </c>
      <c r="E414" t="s">
        <v>425</v>
      </c>
      <c r="F414" t="s"/>
      <c r="G414" t="s"/>
      <c r="H414" t="s"/>
      <c r="I414" t="s"/>
      <c r="J414" t="n">
        <v>-0.296</v>
      </c>
      <c r="K414" t="n">
        <v>0.08400000000000001</v>
      </c>
      <c r="L414" t="n">
        <v>0.916</v>
      </c>
      <c r="M414" t="n">
        <v>0</v>
      </c>
    </row>
    <row r="415" spans="1:13">
      <c r="A415" s="1">
        <f>HYPERLINK("http://www.twitter.com/NathanBLawrence/status/1001316776808976384", "1001316776808976384")</f>
        <v/>
      </c>
      <c r="B415" s="2" t="n">
        <v>43249.17936342592</v>
      </c>
      <c r="C415" t="n">
        <v>0</v>
      </c>
      <c r="D415" t="n">
        <v>332</v>
      </c>
      <c r="E415" t="s">
        <v>426</v>
      </c>
      <c r="F415" t="s"/>
      <c r="G415" t="s"/>
      <c r="H415" t="s"/>
      <c r="I415" t="s"/>
      <c r="J415" t="n">
        <v>-0.8481</v>
      </c>
      <c r="K415" t="n">
        <v>0.313</v>
      </c>
      <c r="L415" t="n">
        <v>0.6870000000000001</v>
      </c>
      <c r="M415" t="n">
        <v>0</v>
      </c>
    </row>
    <row r="416" spans="1:13">
      <c r="A416" s="1">
        <f>HYPERLINK("http://www.twitter.com/NathanBLawrence/status/1001316725139394560", "1001316725139394560")</f>
        <v/>
      </c>
      <c r="B416" s="2" t="n">
        <v>43249.17922453704</v>
      </c>
      <c r="C416" t="n">
        <v>0</v>
      </c>
      <c r="D416" t="n">
        <v>142</v>
      </c>
      <c r="E416" t="s">
        <v>427</v>
      </c>
      <c r="F416" t="s"/>
      <c r="G416" t="s"/>
      <c r="H416" t="s"/>
      <c r="I416" t="s"/>
      <c r="J416" t="n">
        <v>0</v>
      </c>
      <c r="K416" t="n">
        <v>0</v>
      </c>
      <c r="L416" t="n">
        <v>1</v>
      </c>
      <c r="M416" t="n">
        <v>0</v>
      </c>
    </row>
    <row r="417" spans="1:13">
      <c r="A417" s="1">
        <f>HYPERLINK("http://www.twitter.com/NathanBLawrence/status/1001315565275885569", "1001315565275885569")</f>
        <v/>
      </c>
      <c r="B417" s="2" t="n">
        <v>43249.17601851852</v>
      </c>
      <c r="C417" t="n">
        <v>0</v>
      </c>
      <c r="D417" t="n">
        <v>73</v>
      </c>
      <c r="E417" t="s">
        <v>428</v>
      </c>
      <c r="F417" t="s"/>
      <c r="G417" t="s"/>
      <c r="H417" t="s"/>
      <c r="I417" t="s"/>
      <c r="J417" t="n">
        <v>0.1779</v>
      </c>
      <c r="K417" t="n">
        <v>0.09</v>
      </c>
      <c r="L417" t="n">
        <v>0.794</v>
      </c>
      <c r="M417" t="n">
        <v>0.116</v>
      </c>
    </row>
    <row r="418" spans="1:13">
      <c r="A418" s="1">
        <f>HYPERLINK("http://www.twitter.com/NathanBLawrence/status/1001315531079725056", "1001315531079725056")</f>
        <v/>
      </c>
      <c r="B418" s="2" t="n">
        <v>43249.17592592593</v>
      </c>
      <c r="C418" t="n">
        <v>0</v>
      </c>
      <c r="D418" t="n">
        <v>93</v>
      </c>
      <c r="E418" t="s">
        <v>429</v>
      </c>
      <c r="F418" t="s"/>
      <c r="G418" t="s"/>
      <c r="H418" t="s"/>
      <c r="I418" t="s"/>
      <c r="J418" t="n">
        <v>-0.2382</v>
      </c>
      <c r="K418" t="n">
        <v>0.08500000000000001</v>
      </c>
      <c r="L418" t="n">
        <v>0.915</v>
      </c>
      <c r="M418" t="n">
        <v>0</v>
      </c>
    </row>
    <row r="419" spans="1:13">
      <c r="A419" s="1">
        <f>HYPERLINK("http://www.twitter.com/NathanBLawrence/status/1001315470199402497", "1001315470199402497")</f>
        <v/>
      </c>
      <c r="B419" s="2" t="n">
        <v>43249.17576388889</v>
      </c>
      <c r="C419" t="n">
        <v>0</v>
      </c>
      <c r="D419" t="n">
        <v>123</v>
      </c>
      <c r="E419" t="s">
        <v>430</v>
      </c>
      <c r="F419" t="s"/>
      <c r="G419" t="s"/>
      <c r="H419" t="s"/>
      <c r="I419" t="s"/>
      <c r="J419" t="n">
        <v>0</v>
      </c>
      <c r="K419" t="n">
        <v>0</v>
      </c>
      <c r="L419" t="n">
        <v>1</v>
      </c>
      <c r="M419" t="n">
        <v>0</v>
      </c>
    </row>
    <row r="420" spans="1:13">
      <c r="A420" s="1">
        <f>HYPERLINK("http://www.twitter.com/NathanBLawrence/status/1001221576552079361", "1001221576552079361")</f>
        <v/>
      </c>
      <c r="B420" s="2" t="n">
        <v>43248.91666666666</v>
      </c>
      <c r="C420" t="n">
        <v>0</v>
      </c>
      <c r="D420" t="n">
        <v>496</v>
      </c>
      <c r="E420" t="s">
        <v>431</v>
      </c>
      <c r="F420" t="s"/>
      <c r="G420" t="s"/>
      <c r="H420" t="s"/>
      <c r="I420" t="s"/>
      <c r="J420" t="n">
        <v>-0.1531</v>
      </c>
      <c r="K420" t="n">
        <v>0.113</v>
      </c>
      <c r="L420" t="n">
        <v>0.795</v>
      </c>
      <c r="M420" t="n">
        <v>0.093</v>
      </c>
    </row>
    <row r="421" spans="1:13">
      <c r="A421" s="1">
        <f>HYPERLINK("http://www.twitter.com/NathanBLawrence/status/1001221520415391745", "1001221520415391745")</f>
        <v/>
      </c>
      <c r="B421" s="2" t="n">
        <v>43248.91650462963</v>
      </c>
      <c r="C421" t="n">
        <v>0</v>
      </c>
      <c r="D421" t="n">
        <v>13</v>
      </c>
      <c r="E421" t="s">
        <v>432</v>
      </c>
      <c r="F421" t="s"/>
      <c r="G421" t="s"/>
      <c r="H421" t="s"/>
      <c r="I421" t="s"/>
      <c r="J421" t="n">
        <v>0</v>
      </c>
      <c r="K421" t="n">
        <v>0</v>
      </c>
      <c r="L421" t="n">
        <v>1</v>
      </c>
      <c r="M421" t="n">
        <v>0</v>
      </c>
    </row>
    <row r="422" spans="1:13">
      <c r="A422" s="1">
        <f>HYPERLINK("http://www.twitter.com/NathanBLawrence/status/1001221468737417216", "1001221468737417216")</f>
        <v/>
      </c>
      <c r="B422" s="2" t="n">
        <v>43248.91636574074</v>
      </c>
      <c r="C422" t="n">
        <v>0</v>
      </c>
      <c r="D422" t="n">
        <v>35</v>
      </c>
      <c r="E422" t="s">
        <v>433</v>
      </c>
      <c r="F422" t="s"/>
      <c r="G422" t="s"/>
      <c r="H422" t="s"/>
      <c r="I422" t="s"/>
      <c r="J422" t="n">
        <v>0</v>
      </c>
      <c r="K422" t="n">
        <v>0</v>
      </c>
      <c r="L422" t="n">
        <v>1</v>
      </c>
      <c r="M422" t="n">
        <v>0</v>
      </c>
    </row>
    <row r="423" spans="1:13">
      <c r="A423" s="1">
        <f>HYPERLINK("http://www.twitter.com/NathanBLawrence/status/1001221388995301376", "1001221388995301376")</f>
        <v/>
      </c>
      <c r="B423" s="2" t="n">
        <v>43248.91614583333</v>
      </c>
      <c r="C423" t="n">
        <v>0</v>
      </c>
      <c r="D423" t="n">
        <v>87</v>
      </c>
      <c r="E423" t="s">
        <v>434</v>
      </c>
      <c r="F423">
        <f>HYPERLINK("http://pbs.twimg.com/media/DeJDtcsVwAAa9cj.jpg", "http://pbs.twimg.com/media/DeJDtcsVwAAa9cj.jpg")</f>
        <v/>
      </c>
      <c r="G423" t="s"/>
      <c r="H423" t="s"/>
      <c r="I423" t="s"/>
      <c r="J423" t="n">
        <v>-0.5106000000000001</v>
      </c>
      <c r="K423" t="n">
        <v>0.148</v>
      </c>
      <c r="L423" t="n">
        <v>0.852</v>
      </c>
      <c r="M423" t="n">
        <v>0</v>
      </c>
    </row>
    <row r="424" spans="1:13">
      <c r="A424" s="1">
        <f>HYPERLINK("http://www.twitter.com/NathanBLawrence/status/1001220973377589248", "1001220973377589248")</f>
        <v/>
      </c>
      <c r="B424" s="2" t="n">
        <v>43248.915</v>
      </c>
      <c r="C424" t="n">
        <v>0</v>
      </c>
      <c r="D424" t="n">
        <v>37</v>
      </c>
      <c r="E424" t="s">
        <v>435</v>
      </c>
      <c r="F424" t="s"/>
      <c r="G424" t="s"/>
      <c r="H424" t="s"/>
      <c r="I424" t="s"/>
      <c r="J424" t="n">
        <v>0.34</v>
      </c>
      <c r="K424" t="n">
        <v>0.082</v>
      </c>
      <c r="L424" t="n">
        <v>0.784</v>
      </c>
      <c r="M424" t="n">
        <v>0.134</v>
      </c>
    </row>
    <row r="425" spans="1:13">
      <c r="A425" s="1">
        <f>HYPERLINK("http://www.twitter.com/NathanBLawrence/status/1001220857862205441", "1001220857862205441")</f>
        <v/>
      </c>
      <c r="B425" s="2" t="n">
        <v>43248.91467592592</v>
      </c>
      <c r="C425" t="n">
        <v>0</v>
      </c>
      <c r="D425" t="n">
        <v>691</v>
      </c>
      <c r="E425" t="s">
        <v>436</v>
      </c>
      <c r="F425" t="s"/>
      <c r="G425" t="s"/>
      <c r="H425" t="s"/>
      <c r="I425" t="s"/>
      <c r="J425" t="n">
        <v>0.1531</v>
      </c>
      <c r="K425" t="n">
        <v>0.096</v>
      </c>
      <c r="L425" t="n">
        <v>0.783</v>
      </c>
      <c r="M425" t="n">
        <v>0.122</v>
      </c>
    </row>
    <row r="426" spans="1:13">
      <c r="A426" s="1">
        <f>HYPERLINK("http://www.twitter.com/NathanBLawrence/status/1001220775473483776", "1001220775473483776")</f>
        <v/>
      </c>
      <c r="B426" s="2" t="n">
        <v>43248.91445601852</v>
      </c>
      <c r="C426" t="n">
        <v>0</v>
      </c>
      <c r="D426" t="n">
        <v>292</v>
      </c>
      <c r="E426" t="s">
        <v>437</v>
      </c>
      <c r="F426" t="s"/>
      <c r="G426" t="s"/>
      <c r="H426" t="s"/>
      <c r="I426" t="s"/>
      <c r="J426" t="n">
        <v>-0.6486</v>
      </c>
      <c r="K426" t="n">
        <v>0.312</v>
      </c>
      <c r="L426" t="n">
        <v>0.585</v>
      </c>
      <c r="M426" t="n">
        <v>0.102</v>
      </c>
    </row>
    <row r="427" spans="1:13">
      <c r="A427" s="1">
        <f>HYPERLINK("http://www.twitter.com/NathanBLawrence/status/1001220612742897664", "1001220612742897664")</f>
        <v/>
      </c>
      <c r="B427" s="2" t="n">
        <v>43248.91400462963</v>
      </c>
      <c r="C427" t="n">
        <v>0</v>
      </c>
      <c r="D427" t="n">
        <v>141</v>
      </c>
      <c r="E427" t="s">
        <v>438</v>
      </c>
      <c r="F427" t="s"/>
      <c r="G427" t="s"/>
      <c r="H427" t="s"/>
      <c r="I427" t="s"/>
      <c r="J427" t="n">
        <v>0.4404</v>
      </c>
      <c r="K427" t="n">
        <v>0</v>
      </c>
      <c r="L427" t="n">
        <v>0.805</v>
      </c>
      <c r="M427" t="n">
        <v>0.195</v>
      </c>
    </row>
    <row r="428" spans="1:13">
      <c r="A428" s="1">
        <f>HYPERLINK("http://www.twitter.com/NathanBLawrence/status/1001220529158868992", "1001220529158868992")</f>
        <v/>
      </c>
      <c r="B428" s="2" t="n">
        <v>43248.91377314815</v>
      </c>
      <c r="C428" t="n">
        <v>0</v>
      </c>
      <c r="D428" t="n">
        <v>99</v>
      </c>
      <c r="E428" t="s">
        <v>439</v>
      </c>
      <c r="F428" t="s"/>
      <c r="G428" t="s"/>
      <c r="H428" t="s"/>
      <c r="I428" t="s"/>
      <c r="J428" t="n">
        <v>0.5719</v>
      </c>
      <c r="K428" t="n">
        <v>0</v>
      </c>
      <c r="L428" t="n">
        <v>0.8120000000000001</v>
      </c>
      <c r="M428" t="n">
        <v>0.188</v>
      </c>
    </row>
    <row r="429" spans="1:13">
      <c r="A429" s="1">
        <f>HYPERLINK("http://www.twitter.com/NathanBLawrence/status/1001220209045360642", "1001220209045360642")</f>
        <v/>
      </c>
      <c r="B429" s="2" t="n">
        <v>43248.91289351852</v>
      </c>
      <c r="C429" t="n">
        <v>0</v>
      </c>
      <c r="D429" t="n">
        <v>56</v>
      </c>
      <c r="E429" t="s">
        <v>440</v>
      </c>
      <c r="F429" t="s"/>
      <c r="G429" t="s"/>
      <c r="H429" t="s"/>
      <c r="I429" t="s"/>
      <c r="J429" t="n">
        <v>0</v>
      </c>
      <c r="K429" t="n">
        <v>0</v>
      </c>
      <c r="L429" t="n">
        <v>1</v>
      </c>
      <c r="M429" t="n">
        <v>0</v>
      </c>
    </row>
    <row r="430" spans="1:13">
      <c r="A430" s="1">
        <f>HYPERLINK("http://www.twitter.com/NathanBLawrence/status/1001215986182311936", "1001215986182311936")</f>
        <v/>
      </c>
      <c r="B430" s="2" t="n">
        <v>43248.90123842593</v>
      </c>
      <c r="C430" t="n">
        <v>1</v>
      </c>
      <c r="D430" t="n">
        <v>0</v>
      </c>
      <c r="E430" t="s">
        <v>441</v>
      </c>
      <c r="F430" t="s"/>
      <c r="G430" t="s"/>
      <c r="H430" t="s"/>
      <c r="I430" t="s"/>
      <c r="J430" t="n">
        <v>0</v>
      </c>
      <c r="K430" t="n">
        <v>0</v>
      </c>
      <c r="L430" t="n">
        <v>1</v>
      </c>
      <c r="M430" t="n">
        <v>0</v>
      </c>
    </row>
    <row r="431" spans="1:13">
      <c r="A431" s="1">
        <f>HYPERLINK("http://www.twitter.com/NathanBLawrence/status/1001215204087205888", "1001215204087205888")</f>
        <v/>
      </c>
      <c r="B431" s="2" t="n">
        <v>43248.89907407408</v>
      </c>
      <c r="C431" t="n">
        <v>0</v>
      </c>
      <c r="D431" t="n">
        <v>0</v>
      </c>
      <c r="E431" t="s">
        <v>442</v>
      </c>
      <c r="F431" t="s"/>
      <c r="G431" t="s"/>
      <c r="H431" t="s"/>
      <c r="I431" t="s"/>
      <c r="J431" t="n">
        <v>-0.0516</v>
      </c>
      <c r="K431" t="n">
        <v>0.098</v>
      </c>
      <c r="L431" t="n">
        <v>0.8129999999999999</v>
      </c>
      <c r="M431" t="n">
        <v>0.089</v>
      </c>
    </row>
    <row r="432" spans="1:13">
      <c r="A432" s="1">
        <f>HYPERLINK("http://www.twitter.com/NathanBLawrence/status/1001214687537745920", "1001214687537745920")</f>
        <v/>
      </c>
      <c r="B432" s="2" t="n">
        <v>43248.89765046296</v>
      </c>
      <c r="C432" t="n">
        <v>0</v>
      </c>
      <c r="D432" t="n">
        <v>0</v>
      </c>
      <c r="E432" t="s">
        <v>443</v>
      </c>
      <c r="F432" t="s"/>
      <c r="G432" t="s"/>
      <c r="H432" t="s"/>
      <c r="I432" t="s"/>
      <c r="J432" t="n">
        <v>0</v>
      </c>
      <c r="K432" t="n">
        <v>0</v>
      </c>
      <c r="L432" t="n">
        <v>1</v>
      </c>
      <c r="M432" t="n">
        <v>0</v>
      </c>
    </row>
    <row r="433" spans="1:13">
      <c r="A433" s="1">
        <f>HYPERLINK("http://www.twitter.com/NathanBLawrence/status/1001196068598616064", "1001196068598616064")</f>
        <v/>
      </c>
      <c r="B433" s="2" t="n">
        <v>43248.84627314815</v>
      </c>
      <c r="C433" t="n">
        <v>0</v>
      </c>
      <c r="D433" t="n">
        <v>6590</v>
      </c>
      <c r="E433" t="s">
        <v>444</v>
      </c>
      <c r="F433" t="s"/>
      <c r="G433" t="s"/>
      <c r="H433" t="s"/>
      <c r="I433" t="s"/>
      <c r="J433" t="n">
        <v>-0.6705</v>
      </c>
      <c r="K433" t="n">
        <v>0.17</v>
      </c>
      <c r="L433" t="n">
        <v>0.83</v>
      </c>
      <c r="M433" t="n">
        <v>0</v>
      </c>
    </row>
    <row r="434" spans="1:13">
      <c r="A434" s="1">
        <f>HYPERLINK("http://www.twitter.com/NathanBLawrence/status/1001195755103817730", "1001195755103817730")</f>
        <v/>
      </c>
      <c r="B434" s="2" t="n">
        <v>43248.84540509259</v>
      </c>
      <c r="C434" t="n">
        <v>0</v>
      </c>
      <c r="D434" t="n">
        <v>251</v>
      </c>
      <c r="E434" t="s">
        <v>445</v>
      </c>
      <c r="F434">
        <f>HYPERLINK("http://pbs.twimg.com/media/DeTdjF-XcAADG3_.jpg", "http://pbs.twimg.com/media/DeTdjF-XcAADG3_.jpg")</f>
        <v/>
      </c>
      <c r="G434" t="s"/>
      <c r="H434" t="s"/>
      <c r="I434" t="s"/>
      <c r="J434" t="n">
        <v>-0.6115</v>
      </c>
      <c r="K434" t="n">
        <v>0.222</v>
      </c>
      <c r="L434" t="n">
        <v>0.695</v>
      </c>
      <c r="M434" t="n">
        <v>0.083</v>
      </c>
    </row>
    <row r="435" spans="1:13">
      <c r="A435" s="1">
        <f>HYPERLINK("http://www.twitter.com/NathanBLawrence/status/1001195074611548162", "1001195074611548162")</f>
        <v/>
      </c>
      <c r="B435" s="2" t="n">
        <v>43248.84353009259</v>
      </c>
      <c r="C435" t="n">
        <v>0</v>
      </c>
      <c r="D435" t="n">
        <v>14</v>
      </c>
      <c r="E435" t="s">
        <v>446</v>
      </c>
      <c r="F435">
        <f>HYPERLINK("http://pbs.twimg.com/media/DeTV1NMVwAAe-9c.jpg", "http://pbs.twimg.com/media/DeTV1NMVwAAe-9c.jpg")</f>
        <v/>
      </c>
      <c r="G435" t="s"/>
      <c r="H435" t="s"/>
      <c r="I435" t="s"/>
      <c r="J435" t="n">
        <v>0</v>
      </c>
      <c r="K435" t="n">
        <v>0</v>
      </c>
      <c r="L435" t="n">
        <v>1</v>
      </c>
      <c r="M435" t="n">
        <v>0</v>
      </c>
    </row>
    <row r="436" spans="1:13">
      <c r="A436" s="1">
        <f>HYPERLINK("http://www.twitter.com/NathanBLawrence/status/1001194942939746306", "1001194942939746306")</f>
        <v/>
      </c>
      <c r="B436" s="2" t="n">
        <v>43248.8431712963</v>
      </c>
      <c r="C436" t="n">
        <v>0</v>
      </c>
      <c r="D436" t="n">
        <v>61</v>
      </c>
      <c r="E436" t="s">
        <v>447</v>
      </c>
      <c r="F436" t="s"/>
      <c r="G436" t="s"/>
      <c r="H436" t="s"/>
      <c r="I436" t="s"/>
      <c r="J436" t="n">
        <v>-0.4404</v>
      </c>
      <c r="K436" t="n">
        <v>0.146</v>
      </c>
      <c r="L436" t="n">
        <v>0.854</v>
      </c>
      <c r="M436" t="n">
        <v>0</v>
      </c>
    </row>
    <row r="437" spans="1:13">
      <c r="A437" s="1">
        <f>HYPERLINK("http://www.twitter.com/NathanBLawrence/status/1001194659752939520", "1001194659752939520")</f>
        <v/>
      </c>
      <c r="B437" s="2" t="n">
        <v>43248.84238425926</v>
      </c>
      <c r="C437" t="n">
        <v>0</v>
      </c>
      <c r="D437" t="n">
        <v>391</v>
      </c>
      <c r="E437" t="s">
        <v>448</v>
      </c>
      <c r="F437" t="s"/>
      <c r="G437" t="s"/>
      <c r="H437" t="s"/>
      <c r="I437" t="s"/>
      <c r="J437" t="n">
        <v>0</v>
      </c>
      <c r="K437" t="n">
        <v>0</v>
      </c>
      <c r="L437" t="n">
        <v>1</v>
      </c>
      <c r="M437" t="n">
        <v>0</v>
      </c>
    </row>
    <row r="438" spans="1:13">
      <c r="A438" s="1">
        <f>HYPERLINK("http://www.twitter.com/NathanBLawrence/status/1001194562415669249", "1001194562415669249")</f>
        <v/>
      </c>
      <c r="B438" s="2" t="n">
        <v>43248.84211805555</v>
      </c>
      <c r="C438" t="n">
        <v>0</v>
      </c>
      <c r="D438" t="n">
        <v>58</v>
      </c>
      <c r="E438" t="s">
        <v>449</v>
      </c>
      <c r="F438">
        <f>HYPERLINK("http://pbs.twimg.com/media/DeTq_b9VAAA2KMz.jpg", "http://pbs.twimg.com/media/DeTq_b9VAAA2KMz.jpg")</f>
        <v/>
      </c>
      <c r="G438" t="s"/>
      <c r="H438" t="s"/>
      <c r="I438" t="s"/>
      <c r="J438" t="n">
        <v>0</v>
      </c>
      <c r="K438" t="n">
        <v>0</v>
      </c>
      <c r="L438" t="n">
        <v>1</v>
      </c>
      <c r="M438" t="n">
        <v>0</v>
      </c>
    </row>
    <row r="439" spans="1:13">
      <c r="A439" s="1">
        <f>HYPERLINK("http://www.twitter.com/NathanBLawrence/status/1001194525392539649", "1001194525392539649")</f>
        <v/>
      </c>
      <c r="B439" s="2" t="n">
        <v>43248.84201388889</v>
      </c>
      <c r="C439" t="n">
        <v>0</v>
      </c>
      <c r="D439" t="n">
        <v>1424</v>
      </c>
      <c r="E439" t="s">
        <v>450</v>
      </c>
      <c r="F439">
        <f>HYPERLINK("https://video.twimg.com/ext_tw_video/1001193422928007168/pu/vid/720x720/4JoEaQUka-iLonPv.mp4?tag=3", "https://video.twimg.com/ext_tw_video/1001193422928007168/pu/vid/720x720/4JoEaQUka-iLonPv.mp4?tag=3")</f>
        <v/>
      </c>
      <c r="G439" t="s"/>
      <c r="H439" t="s"/>
      <c r="I439" t="s"/>
      <c r="J439" t="n">
        <v>0.7935</v>
      </c>
      <c r="K439" t="n">
        <v>0.083</v>
      </c>
      <c r="L439" t="n">
        <v>0.615</v>
      </c>
      <c r="M439" t="n">
        <v>0.302</v>
      </c>
    </row>
    <row r="440" spans="1:13">
      <c r="A440" s="1">
        <f>HYPERLINK("http://www.twitter.com/NathanBLawrence/status/1001194419289231361", "1001194419289231361")</f>
        <v/>
      </c>
      <c r="B440" s="2" t="n">
        <v>43248.84172453704</v>
      </c>
      <c r="C440" t="n">
        <v>0</v>
      </c>
      <c r="D440" t="n">
        <v>2</v>
      </c>
      <c r="E440" t="s">
        <v>451</v>
      </c>
      <c r="F440" t="s"/>
      <c r="G440" t="s"/>
      <c r="H440" t="s"/>
      <c r="I440" t="s"/>
      <c r="J440" t="n">
        <v>0.5849</v>
      </c>
      <c r="K440" t="n">
        <v>0</v>
      </c>
      <c r="L440" t="n">
        <v>0.8080000000000001</v>
      </c>
      <c r="M440" t="n">
        <v>0.192</v>
      </c>
    </row>
    <row r="441" spans="1:13">
      <c r="A441" s="1">
        <f>HYPERLINK("http://www.twitter.com/NathanBLawrence/status/1001194283033128960", "1001194283033128960")</f>
        <v/>
      </c>
      <c r="B441" s="2" t="n">
        <v>43248.84135416667</v>
      </c>
      <c r="C441" t="n">
        <v>0</v>
      </c>
      <c r="D441" t="n">
        <v>731</v>
      </c>
      <c r="E441" t="s">
        <v>452</v>
      </c>
      <c r="F441" t="s"/>
      <c r="G441" t="s"/>
      <c r="H441" t="s"/>
      <c r="I441" t="s"/>
      <c r="J441" t="n">
        <v>-0.3818</v>
      </c>
      <c r="K441" t="n">
        <v>0.302</v>
      </c>
      <c r="L441" t="n">
        <v>0.698</v>
      </c>
      <c r="M441" t="n">
        <v>0</v>
      </c>
    </row>
    <row r="442" spans="1:13">
      <c r="A442" s="1">
        <f>HYPERLINK("http://www.twitter.com/NathanBLawrence/status/1001194109124694016", "1001194109124694016")</f>
        <v/>
      </c>
      <c r="B442" s="2" t="n">
        <v>43248.84086805556</v>
      </c>
      <c r="C442" t="n">
        <v>0</v>
      </c>
      <c r="D442" t="n">
        <v>1</v>
      </c>
      <c r="E442" t="s">
        <v>453</v>
      </c>
      <c r="F442" t="s"/>
      <c r="G442" t="s"/>
      <c r="H442" t="s"/>
      <c r="I442" t="s"/>
      <c r="J442" t="n">
        <v>-0.5256</v>
      </c>
      <c r="K442" t="n">
        <v>0.22</v>
      </c>
      <c r="L442" t="n">
        <v>0.78</v>
      </c>
      <c r="M442" t="n">
        <v>0</v>
      </c>
    </row>
    <row r="443" spans="1:13">
      <c r="A443" s="1">
        <f>HYPERLINK("http://www.twitter.com/NathanBLawrence/status/1001193984365129730", "1001193984365129730")</f>
        <v/>
      </c>
      <c r="B443" s="2" t="n">
        <v>43248.84052083334</v>
      </c>
      <c r="C443" t="n">
        <v>0</v>
      </c>
      <c r="D443" t="n">
        <v>1</v>
      </c>
      <c r="E443" t="s">
        <v>454</v>
      </c>
      <c r="F443" t="s"/>
      <c r="G443" t="s"/>
      <c r="H443" t="s"/>
      <c r="I443" t="s"/>
      <c r="J443" t="n">
        <v>-0.25</v>
      </c>
      <c r="K443" t="n">
        <v>0.231</v>
      </c>
      <c r="L443" t="n">
        <v>0.579</v>
      </c>
      <c r="M443" t="n">
        <v>0.19</v>
      </c>
    </row>
    <row r="444" spans="1:13">
      <c r="A444" s="1">
        <f>HYPERLINK("http://www.twitter.com/NathanBLawrence/status/1001193792257568768", "1001193792257568768")</f>
        <v/>
      </c>
      <c r="B444" s="2" t="n">
        <v>43248.84</v>
      </c>
      <c r="C444" t="n">
        <v>0</v>
      </c>
      <c r="D444" t="n">
        <v>14</v>
      </c>
      <c r="E444" t="s">
        <v>455</v>
      </c>
      <c r="F444" t="s"/>
      <c r="G444" t="s"/>
      <c r="H444" t="s"/>
      <c r="I444" t="s"/>
      <c r="J444" t="n">
        <v>-0.4404</v>
      </c>
      <c r="K444" t="n">
        <v>0.127</v>
      </c>
      <c r="L444" t="n">
        <v>0.873</v>
      </c>
      <c r="M444" t="n">
        <v>0</v>
      </c>
    </row>
    <row r="445" spans="1:13">
      <c r="A445" s="1">
        <f>HYPERLINK("http://www.twitter.com/NathanBLawrence/status/1001193757021212674", "1001193757021212674")</f>
        <v/>
      </c>
      <c r="B445" s="2" t="n">
        <v>43248.83989583333</v>
      </c>
      <c r="C445" t="n">
        <v>0</v>
      </c>
      <c r="D445" t="n">
        <v>648</v>
      </c>
      <c r="E445" t="s">
        <v>456</v>
      </c>
      <c r="F445">
        <f>HYPERLINK("http://pbs.twimg.com/media/DeTa_cVVMAAhAxF.jpg", "http://pbs.twimg.com/media/DeTa_cVVMAAhAxF.jpg")</f>
        <v/>
      </c>
      <c r="G445" t="s"/>
      <c r="H445" t="s"/>
      <c r="I445" t="s"/>
      <c r="J445" t="n">
        <v>-0.296</v>
      </c>
      <c r="K445" t="n">
        <v>0.095</v>
      </c>
      <c r="L445" t="n">
        <v>0.905</v>
      </c>
      <c r="M445" t="n">
        <v>0</v>
      </c>
    </row>
    <row r="446" spans="1:13">
      <c r="A446" s="1">
        <f>HYPERLINK("http://www.twitter.com/NathanBLawrence/status/1001193632152596485", "1001193632152596485")</f>
        <v/>
      </c>
      <c r="B446" s="2" t="n">
        <v>43248.83954861111</v>
      </c>
      <c r="C446" t="n">
        <v>0</v>
      </c>
      <c r="D446" t="n">
        <v>1</v>
      </c>
      <c r="E446" t="s">
        <v>457</v>
      </c>
      <c r="F446" t="s"/>
      <c r="G446" t="s"/>
      <c r="H446" t="s"/>
      <c r="I446" t="s"/>
      <c r="J446" t="n">
        <v>0.8172</v>
      </c>
      <c r="K446" t="n">
        <v>0</v>
      </c>
      <c r="L446" t="n">
        <v>0.761</v>
      </c>
      <c r="M446" t="n">
        <v>0.239</v>
      </c>
    </row>
    <row r="447" spans="1:13">
      <c r="A447" s="1">
        <f>HYPERLINK("http://www.twitter.com/NathanBLawrence/status/1001192700543152129", "1001192700543152129")</f>
        <v/>
      </c>
      <c r="B447" s="2" t="n">
        <v>43248.83697916667</v>
      </c>
      <c r="C447" t="n">
        <v>0</v>
      </c>
      <c r="D447" t="n">
        <v>69</v>
      </c>
      <c r="E447" t="s">
        <v>458</v>
      </c>
      <c r="F447">
        <f>HYPERLINK("http://pbs.twimg.com/media/DeTpMWnWkAARLJy.jpg", "http://pbs.twimg.com/media/DeTpMWnWkAARLJy.jpg")</f>
        <v/>
      </c>
      <c r="G447" t="s"/>
      <c r="H447" t="s"/>
      <c r="I447" t="s"/>
      <c r="J447" t="n">
        <v>0.34</v>
      </c>
      <c r="K447" t="n">
        <v>0.102</v>
      </c>
      <c r="L447" t="n">
        <v>0.738</v>
      </c>
      <c r="M447" t="n">
        <v>0.16</v>
      </c>
    </row>
    <row r="448" spans="1:13">
      <c r="A448" s="1">
        <f>HYPERLINK("http://www.twitter.com/NathanBLawrence/status/1001192562189795328", "1001192562189795328")</f>
        <v/>
      </c>
      <c r="B448" s="2" t="n">
        <v>43248.83659722222</v>
      </c>
      <c r="C448" t="n">
        <v>0</v>
      </c>
      <c r="D448" t="n">
        <v>514</v>
      </c>
      <c r="E448" t="s">
        <v>459</v>
      </c>
      <c r="F448" t="s"/>
      <c r="G448" t="s"/>
      <c r="H448" t="s"/>
      <c r="I448" t="s"/>
      <c r="J448" t="n">
        <v>-0.7603</v>
      </c>
      <c r="K448" t="n">
        <v>0.251</v>
      </c>
      <c r="L448" t="n">
        <v>0.677</v>
      </c>
      <c r="M448" t="n">
        <v>0.07199999999999999</v>
      </c>
    </row>
    <row r="449" spans="1:13">
      <c r="A449" s="1">
        <f>HYPERLINK("http://www.twitter.com/NathanBLawrence/status/1001192138997104646", "1001192138997104646")</f>
        <v/>
      </c>
      <c r="B449" s="2" t="n">
        <v>43248.83542824074</v>
      </c>
      <c r="C449" t="n">
        <v>0</v>
      </c>
      <c r="D449" t="n">
        <v>5415</v>
      </c>
      <c r="E449" t="s">
        <v>460</v>
      </c>
      <c r="F449" t="s"/>
      <c r="G449" t="s"/>
      <c r="H449" t="s"/>
      <c r="I449" t="s"/>
      <c r="J449" t="n">
        <v>-0.6022</v>
      </c>
      <c r="K449" t="n">
        <v>0.256</v>
      </c>
      <c r="L449" t="n">
        <v>0.608</v>
      </c>
      <c r="M449" t="n">
        <v>0.137</v>
      </c>
    </row>
    <row r="450" spans="1:13">
      <c r="A450" s="1">
        <f>HYPERLINK("http://www.twitter.com/NathanBLawrence/status/1001192072701935617", "1001192072701935617")</f>
        <v/>
      </c>
      <c r="B450" s="2" t="n">
        <v>43248.83525462963</v>
      </c>
      <c r="C450" t="n">
        <v>0</v>
      </c>
      <c r="D450" t="n">
        <v>741</v>
      </c>
      <c r="E450" t="s">
        <v>461</v>
      </c>
      <c r="F450" t="s"/>
      <c r="G450" t="s"/>
      <c r="H450" t="s"/>
      <c r="I450" t="s"/>
      <c r="J450" t="n">
        <v>-0.6808</v>
      </c>
      <c r="K450" t="n">
        <v>0.219</v>
      </c>
      <c r="L450" t="n">
        <v>0.781</v>
      </c>
      <c r="M450" t="n">
        <v>0</v>
      </c>
    </row>
    <row r="451" spans="1:13">
      <c r="A451" s="1">
        <f>HYPERLINK("http://www.twitter.com/NathanBLawrence/status/1001191993693868032", "1001191993693868032")</f>
        <v/>
      </c>
      <c r="B451" s="2" t="n">
        <v>43248.83503472222</v>
      </c>
      <c r="C451" t="n">
        <v>0</v>
      </c>
      <c r="D451" t="n">
        <v>160</v>
      </c>
      <c r="E451" t="s">
        <v>462</v>
      </c>
      <c r="F451" t="s"/>
      <c r="G451" t="s"/>
      <c r="H451" t="s"/>
      <c r="I451" t="s"/>
      <c r="J451" t="n">
        <v>0.8877</v>
      </c>
      <c r="K451" t="n">
        <v>0</v>
      </c>
      <c r="L451" t="n">
        <v>0.6870000000000001</v>
      </c>
      <c r="M451" t="n">
        <v>0.313</v>
      </c>
    </row>
    <row r="452" spans="1:13">
      <c r="A452" s="1">
        <f>HYPERLINK("http://www.twitter.com/NathanBLawrence/status/1001191922797604866", "1001191922797604866")</f>
        <v/>
      </c>
      <c r="B452" s="2" t="n">
        <v>43248.83483796296</v>
      </c>
      <c r="C452" t="n">
        <v>0</v>
      </c>
      <c r="D452" t="n">
        <v>146</v>
      </c>
      <c r="E452" t="s">
        <v>463</v>
      </c>
      <c r="F452" t="s"/>
      <c r="G452" t="s"/>
      <c r="H452" t="s"/>
      <c r="I452" t="s"/>
      <c r="J452" t="n">
        <v>-0.8126</v>
      </c>
      <c r="K452" t="n">
        <v>0.301</v>
      </c>
      <c r="L452" t="n">
        <v>0.651</v>
      </c>
      <c r="M452" t="n">
        <v>0.048</v>
      </c>
    </row>
    <row r="453" spans="1:13">
      <c r="A453" s="1">
        <f>HYPERLINK("http://www.twitter.com/NathanBLawrence/status/1001191789259304970", "1001191789259304970")</f>
        <v/>
      </c>
      <c r="B453" s="2" t="n">
        <v>43248.83446759259</v>
      </c>
      <c r="C453" t="n">
        <v>0</v>
      </c>
      <c r="D453" t="n">
        <v>130</v>
      </c>
      <c r="E453" t="s">
        <v>464</v>
      </c>
      <c r="F453" t="s"/>
      <c r="G453" t="s"/>
      <c r="H453" t="s"/>
      <c r="I453" t="s"/>
      <c r="J453" t="n">
        <v>0.743</v>
      </c>
      <c r="K453" t="n">
        <v>0</v>
      </c>
      <c r="L453" t="n">
        <v>0.769</v>
      </c>
      <c r="M453" t="n">
        <v>0.231</v>
      </c>
    </row>
    <row r="454" spans="1:13">
      <c r="A454" s="1">
        <f>HYPERLINK("http://www.twitter.com/NathanBLawrence/status/1001191640776790016", "1001191640776790016")</f>
        <v/>
      </c>
      <c r="B454" s="2" t="n">
        <v>43248.8340625</v>
      </c>
      <c r="C454" t="n">
        <v>0</v>
      </c>
      <c r="D454" t="n">
        <v>511</v>
      </c>
      <c r="E454" t="s">
        <v>465</v>
      </c>
      <c r="F454" t="s"/>
      <c r="G454" t="s"/>
      <c r="H454" t="s"/>
      <c r="I454" t="s"/>
      <c r="J454" t="n">
        <v>-0.2563</v>
      </c>
      <c r="K454" t="n">
        <v>0.198</v>
      </c>
      <c r="L454" t="n">
        <v>0.636</v>
      </c>
      <c r="M454" t="n">
        <v>0.166</v>
      </c>
    </row>
    <row r="455" spans="1:13">
      <c r="A455" s="1">
        <f>HYPERLINK("http://www.twitter.com/NathanBLawrence/status/1001191432961560576", "1001191432961560576")</f>
        <v/>
      </c>
      <c r="B455" s="2" t="n">
        <v>43248.8334837963</v>
      </c>
      <c r="C455" t="n">
        <v>0</v>
      </c>
      <c r="D455" t="n">
        <v>403</v>
      </c>
      <c r="E455" t="s">
        <v>466</v>
      </c>
      <c r="F455" t="s"/>
      <c r="G455" t="s"/>
      <c r="H455" t="s"/>
      <c r="I455" t="s"/>
      <c r="J455" t="n">
        <v>-0.2724</v>
      </c>
      <c r="K455" t="n">
        <v>0.172</v>
      </c>
      <c r="L455" t="n">
        <v>0.6899999999999999</v>
      </c>
      <c r="M455" t="n">
        <v>0.138</v>
      </c>
    </row>
    <row r="456" spans="1:13">
      <c r="A456" s="1">
        <f>HYPERLINK("http://www.twitter.com/NathanBLawrence/status/1001191318603862018", "1001191318603862018")</f>
        <v/>
      </c>
      <c r="B456" s="2" t="n">
        <v>43248.8331712963</v>
      </c>
      <c r="C456" t="n">
        <v>0</v>
      </c>
      <c r="D456" t="n">
        <v>338</v>
      </c>
      <c r="E456" t="s">
        <v>467</v>
      </c>
      <c r="F456" t="s"/>
      <c r="G456" t="s"/>
      <c r="H456" t="s"/>
      <c r="I456" t="s"/>
      <c r="J456" t="n">
        <v>-0.9231</v>
      </c>
      <c r="K456" t="n">
        <v>0.412</v>
      </c>
      <c r="L456" t="n">
        <v>0.588</v>
      </c>
      <c r="M456" t="n">
        <v>0</v>
      </c>
    </row>
    <row r="457" spans="1:13">
      <c r="A457" s="1">
        <f>HYPERLINK("http://www.twitter.com/NathanBLawrence/status/1001191272663601152", "1001191272663601152")</f>
        <v/>
      </c>
      <c r="B457" s="2" t="n">
        <v>43248.83304398148</v>
      </c>
      <c r="C457" t="n">
        <v>0</v>
      </c>
      <c r="D457" t="n">
        <v>785</v>
      </c>
      <c r="E457" t="s">
        <v>468</v>
      </c>
      <c r="F457" t="s"/>
      <c r="G457" t="s"/>
      <c r="H457" t="s"/>
      <c r="I457" t="s"/>
      <c r="J457" t="n">
        <v>-0.0572</v>
      </c>
      <c r="K457" t="n">
        <v>0.055</v>
      </c>
      <c r="L457" t="n">
        <v>0.945</v>
      </c>
      <c r="M457" t="n">
        <v>0</v>
      </c>
    </row>
    <row r="458" spans="1:13">
      <c r="A458" s="1">
        <f>HYPERLINK("http://www.twitter.com/NathanBLawrence/status/1001191239428005888", "1001191239428005888")</f>
        <v/>
      </c>
      <c r="B458" s="2" t="n">
        <v>43248.83295138889</v>
      </c>
      <c r="C458" t="n">
        <v>0</v>
      </c>
      <c r="D458" t="n">
        <v>486</v>
      </c>
      <c r="E458" t="s">
        <v>469</v>
      </c>
      <c r="F458" t="s"/>
      <c r="G458" t="s"/>
      <c r="H458" t="s"/>
      <c r="I458" t="s"/>
      <c r="J458" t="n">
        <v>0</v>
      </c>
      <c r="K458" t="n">
        <v>0</v>
      </c>
      <c r="L458" t="n">
        <v>1</v>
      </c>
      <c r="M458" t="n">
        <v>0</v>
      </c>
    </row>
    <row r="459" spans="1:13">
      <c r="A459" s="1">
        <f>HYPERLINK("http://www.twitter.com/NathanBLawrence/status/1001191177880850433", "1001191177880850433")</f>
        <v/>
      </c>
      <c r="B459" s="2" t="n">
        <v>43248.83277777778</v>
      </c>
      <c r="C459" t="n">
        <v>0</v>
      </c>
      <c r="D459" t="n">
        <v>2302</v>
      </c>
      <c r="E459" t="s">
        <v>470</v>
      </c>
      <c r="F459" t="s"/>
      <c r="G459" t="s"/>
      <c r="H459" t="s"/>
      <c r="I459" t="s"/>
      <c r="J459" t="n">
        <v>-0.4389</v>
      </c>
      <c r="K459" t="n">
        <v>0.17</v>
      </c>
      <c r="L459" t="n">
        <v>0.83</v>
      </c>
      <c r="M459" t="n">
        <v>0</v>
      </c>
    </row>
    <row r="460" spans="1:13">
      <c r="A460" s="1">
        <f>HYPERLINK("http://www.twitter.com/NathanBLawrence/status/1001191082020032512", "1001191082020032512")</f>
        <v/>
      </c>
      <c r="B460" s="2" t="n">
        <v>43248.83251157407</v>
      </c>
      <c r="C460" t="n">
        <v>0</v>
      </c>
      <c r="D460" t="n">
        <v>5125</v>
      </c>
      <c r="E460" t="s">
        <v>471</v>
      </c>
      <c r="F460" t="s"/>
      <c r="G460" t="s"/>
      <c r="H460" t="s"/>
      <c r="I460" t="s"/>
      <c r="J460" t="n">
        <v>-0.5367</v>
      </c>
      <c r="K460" t="n">
        <v>0.142</v>
      </c>
      <c r="L460" t="n">
        <v>0.858</v>
      </c>
      <c r="M460" t="n">
        <v>0</v>
      </c>
    </row>
    <row r="461" spans="1:13">
      <c r="A461" s="1">
        <f>HYPERLINK("http://www.twitter.com/NathanBLawrence/status/1001190990550568962", "1001190990550568962")</f>
        <v/>
      </c>
      <c r="B461" s="2" t="n">
        <v>43248.83226851852</v>
      </c>
      <c r="C461" t="n">
        <v>0</v>
      </c>
      <c r="D461" t="n">
        <v>194</v>
      </c>
      <c r="E461" t="s">
        <v>472</v>
      </c>
      <c r="F461" t="s"/>
      <c r="G461" t="s"/>
      <c r="H461" t="s"/>
      <c r="I461" t="s"/>
      <c r="J461" t="n">
        <v>-0.6633</v>
      </c>
      <c r="K461" t="n">
        <v>0.239</v>
      </c>
      <c r="L461" t="n">
        <v>0.707</v>
      </c>
      <c r="M461" t="n">
        <v>0.054</v>
      </c>
    </row>
    <row r="462" spans="1:13">
      <c r="A462" s="1">
        <f>HYPERLINK("http://www.twitter.com/NathanBLawrence/status/1001190828021346304", "1001190828021346304")</f>
        <v/>
      </c>
      <c r="B462" s="2" t="n">
        <v>43248.83181712963</v>
      </c>
      <c r="C462" t="n">
        <v>0</v>
      </c>
      <c r="D462" t="n">
        <v>97</v>
      </c>
      <c r="E462" t="s">
        <v>473</v>
      </c>
      <c r="F462" t="s"/>
      <c r="G462" t="s"/>
      <c r="H462" t="s"/>
      <c r="I462" t="s"/>
      <c r="J462" t="n">
        <v>-0.5411</v>
      </c>
      <c r="K462" t="n">
        <v>0.151</v>
      </c>
      <c r="L462" t="n">
        <v>0.797</v>
      </c>
      <c r="M462" t="n">
        <v>0.052</v>
      </c>
    </row>
    <row r="463" spans="1:13">
      <c r="A463" s="1">
        <f>HYPERLINK("http://www.twitter.com/NathanBLawrence/status/1001190786443239425", "1001190786443239425")</f>
        <v/>
      </c>
      <c r="B463" s="2" t="n">
        <v>43248.83170138889</v>
      </c>
      <c r="C463" t="n">
        <v>0</v>
      </c>
      <c r="D463" t="n">
        <v>327</v>
      </c>
      <c r="E463" t="s">
        <v>474</v>
      </c>
      <c r="F463">
        <f>HYPERLINK("https://video.twimg.com/amplify_video/1000864419721699328/vid/1280x720/YKQOgilcH0jW44sP.mp4?tag=2", "https://video.twimg.com/amplify_video/1000864419721699328/vid/1280x720/YKQOgilcH0jW44sP.mp4?tag=2")</f>
        <v/>
      </c>
      <c r="G463" t="s"/>
      <c r="H463" t="s"/>
      <c r="I463" t="s"/>
      <c r="J463" t="n">
        <v>0</v>
      </c>
      <c r="K463" t="n">
        <v>0</v>
      </c>
      <c r="L463" t="n">
        <v>1</v>
      </c>
      <c r="M463" t="n">
        <v>0</v>
      </c>
    </row>
    <row r="464" spans="1:13">
      <c r="A464" s="1">
        <f>HYPERLINK("http://www.twitter.com/NathanBLawrence/status/1001189942570123266", "1001189942570123266")</f>
        <v/>
      </c>
      <c r="B464" s="2" t="n">
        <v>43248.829375</v>
      </c>
      <c r="C464" t="n">
        <v>0</v>
      </c>
      <c r="D464" t="n">
        <v>48</v>
      </c>
      <c r="E464" t="s">
        <v>475</v>
      </c>
      <c r="F464" t="s"/>
      <c r="G464" t="s"/>
      <c r="H464" t="s"/>
      <c r="I464" t="s"/>
      <c r="J464" t="n">
        <v>-0.8047</v>
      </c>
      <c r="K464" t="n">
        <v>0.266</v>
      </c>
      <c r="L464" t="n">
        <v>0.734</v>
      </c>
      <c r="M464" t="n">
        <v>0</v>
      </c>
    </row>
    <row r="465" spans="1:13">
      <c r="A465" s="1">
        <f>HYPERLINK("http://www.twitter.com/NathanBLawrence/status/1001189616664367104", "1001189616664367104")</f>
        <v/>
      </c>
      <c r="B465" s="2" t="n">
        <v>43248.82847222222</v>
      </c>
      <c r="C465" t="n">
        <v>0</v>
      </c>
      <c r="D465" t="n">
        <v>45</v>
      </c>
      <c r="E465" t="s">
        <v>476</v>
      </c>
      <c r="F465">
        <f>HYPERLINK("http://pbs.twimg.com/media/DeFRe3DVwAExZmZ.jpg", "http://pbs.twimg.com/media/DeFRe3DVwAExZmZ.jpg")</f>
        <v/>
      </c>
      <c r="G465" t="s"/>
      <c r="H465" t="s"/>
      <c r="I465" t="s"/>
      <c r="J465" t="n">
        <v>0.7003</v>
      </c>
      <c r="K465" t="n">
        <v>0</v>
      </c>
      <c r="L465" t="n">
        <v>0.756</v>
      </c>
      <c r="M465" t="n">
        <v>0.244</v>
      </c>
    </row>
    <row r="466" spans="1:13">
      <c r="A466" s="1">
        <f>HYPERLINK("http://www.twitter.com/NathanBLawrence/status/1001189533239693313", "1001189533239693313")</f>
        <v/>
      </c>
      <c r="B466" s="2" t="n">
        <v>43248.82824074074</v>
      </c>
      <c r="C466" t="n">
        <v>0</v>
      </c>
      <c r="D466" t="n">
        <v>96</v>
      </c>
      <c r="E466" t="s">
        <v>477</v>
      </c>
      <c r="F466" t="s"/>
      <c r="G466" t="s"/>
      <c r="H466" t="s"/>
      <c r="I466" t="s"/>
      <c r="J466" t="n">
        <v>0.8834</v>
      </c>
      <c r="K466" t="n">
        <v>0</v>
      </c>
      <c r="L466" t="n">
        <v>0.553</v>
      </c>
      <c r="M466" t="n">
        <v>0.447</v>
      </c>
    </row>
    <row r="467" spans="1:13">
      <c r="A467" s="1">
        <f>HYPERLINK("http://www.twitter.com/NathanBLawrence/status/1001189201445040128", "1001189201445040128")</f>
        <v/>
      </c>
      <c r="B467" s="2" t="n">
        <v>43248.82732638889</v>
      </c>
      <c r="C467" t="n">
        <v>0</v>
      </c>
      <c r="D467" t="n">
        <v>282</v>
      </c>
      <c r="E467" t="s">
        <v>478</v>
      </c>
      <c r="F467" t="s"/>
      <c r="G467" t="s"/>
      <c r="H467" t="s"/>
      <c r="I467" t="s"/>
      <c r="J467" t="n">
        <v>0.2732</v>
      </c>
      <c r="K467" t="n">
        <v>0</v>
      </c>
      <c r="L467" t="n">
        <v>0.909</v>
      </c>
      <c r="M467" t="n">
        <v>0.091</v>
      </c>
    </row>
    <row r="468" spans="1:13">
      <c r="A468" s="1">
        <f>HYPERLINK("http://www.twitter.com/NathanBLawrence/status/1001187815827410945", "1001187815827410945")</f>
        <v/>
      </c>
      <c r="B468" s="2" t="n">
        <v>43248.82350694444</v>
      </c>
      <c r="C468" t="n">
        <v>0</v>
      </c>
      <c r="D468" t="n">
        <v>3</v>
      </c>
      <c r="E468" t="s">
        <v>479</v>
      </c>
      <c r="F468" t="s"/>
      <c r="G468" t="s"/>
      <c r="H468" t="s"/>
      <c r="I468" t="s"/>
      <c r="J468" t="n">
        <v>-0.91</v>
      </c>
      <c r="K468" t="n">
        <v>0.424</v>
      </c>
      <c r="L468" t="n">
        <v>0.471</v>
      </c>
      <c r="M468" t="n">
        <v>0.105</v>
      </c>
    </row>
    <row r="469" spans="1:13">
      <c r="A469" s="1">
        <f>HYPERLINK("http://www.twitter.com/NathanBLawrence/status/1001187740610908160", "1001187740610908160")</f>
        <v/>
      </c>
      <c r="B469" s="2" t="n">
        <v>43248.82329861111</v>
      </c>
      <c r="C469" t="n">
        <v>0</v>
      </c>
      <c r="D469" t="n">
        <v>1613</v>
      </c>
      <c r="E469" t="s">
        <v>480</v>
      </c>
      <c r="F469" t="s"/>
      <c r="G469" t="s"/>
      <c r="H469" t="s"/>
      <c r="I469" t="s"/>
      <c r="J469" t="n">
        <v>0.8338</v>
      </c>
      <c r="K469" t="n">
        <v>0</v>
      </c>
      <c r="L469" t="n">
        <v>0.708</v>
      </c>
      <c r="M469" t="n">
        <v>0.292</v>
      </c>
    </row>
    <row r="470" spans="1:13">
      <c r="A470" s="1">
        <f>HYPERLINK("http://www.twitter.com/NathanBLawrence/status/1001187674194087936", "1001187674194087936")</f>
        <v/>
      </c>
      <c r="B470" s="2" t="n">
        <v>43248.82311342593</v>
      </c>
      <c r="C470" t="n">
        <v>0</v>
      </c>
      <c r="D470" t="n">
        <v>736</v>
      </c>
      <c r="E470" t="s">
        <v>481</v>
      </c>
      <c r="F470">
        <f>HYPERLINK("https://video.twimg.com/amplify_video/1001146265785241600/vid/720x720/HDjOYtrzgF5SLnTe.mp4?tag=2", "https://video.twimg.com/amplify_video/1001146265785241600/vid/720x720/HDjOYtrzgF5SLnTe.mp4?tag=2")</f>
        <v/>
      </c>
      <c r="G470" t="s"/>
      <c r="H470" t="s"/>
      <c r="I470" t="s"/>
      <c r="J470" t="n">
        <v>0.3612</v>
      </c>
      <c r="K470" t="n">
        <v>0</v>
      </c>
      <c r="L470" t="n">
        <v>0.889</v>
      </c>
      <c r="M470" t="n">
        <v>0.111</v>
      </c>
    </row>
    <row r="471" spans="1:13">
      <c r="A471" s="1">
        <f>HYPERLINK("http://www.twitter.com/NathanBLawrence/status/1001187528203034624", "1001187528203034624")</f>
        <v/>
      </c>
      <c r="B471" s="2" t="n">
        <v>43248.82270833333</v>
      </c>
      <c r="C471" t="n">
        <v>0</v>
      </c>
      <c r="D471" t="n">
        <v>81</v>
      </c>
      <c r="E471" t="s">
        <v>482</v>
      </c>
      <c r="F471" t="s"/>
      <c r="G471" t="s"/>
      <c r="H471" t="s"/>
      <c r="I471" t="s"/>
      <c r="J471" t="n">
        <v>-0.296</v>
      </c>
      <c r="K471" t="n">
        <v>0.08400000000000001</v>
      </c>
      <c r="L471" t="n">
        <v>0.916</v>
      </c>
      <c r="M471" t="n">
        <v>0</v>
      </c>
    </row>
    <row r="472" spans="1:13">
      <c r="A472" s="1">
        <f>HYPERLINK("http://www.twitter.com/NathanBLawrence/status/1001187128171253765", "1001187128171253765")</f>
        <v/>
      </c>
      <c r="B472" s="2" t="n">
        <v>43248.82160879629</v>
      </c>
      <c r="C472" t="n">
        <v>0</v>
      </c>
      <c r="D472" t="n">
        <v>205</v>
      </c>
      <c r="E472" t="s">
        <v>483</v>
      </c>
      <c r="F472">
        <f>HYPERLINK("https://video.twimg.com/ext_tw_video/1000992062278324224/pu/vid/720x720/or_fDPUY4m0nGepE.mp4?tag=3", "https://video.twimg.com/ext_tw_video/1000992062278324224/pu/vid/720x720/or_fDPUY4m0nGepE.mp4?tag=3")</f>
        <v/>
      </c>
      <c r="G472" t="s"/>
      <c r="H472" t="s"/>
      <c r="I472" t="s"/>
      <c r="J472" t="n">
        <v>-0.4215</v>
      </c>
      <c r="K472" t="n">
        <v>0.188</v>
      </c>
      <c r="L472" t="n">
        <v>0.719</v>
      </c>
      <c r="M472" t="n">
        <v>0.092</v>
      </c>
    </row>
    <row r="473" spans="1:13">
      <c r="A473" s="1">
        <f>HYPERLINK("http://www.twitter.com/NathanBLawrence/status/1001187014438477824", "1001187014438477824")</f>
        <v/>
      </c>
      <c r="B473" s="2" t="n">
        <v>43248.82129629629</v>
      </c>
      <c r="C473" t="n">
        <v>0</v>
      </c>
      <c r="D473" t="n">
        <v>323</v>
      </c>
      <c r="E473" t="s">
        <v>484</v>
      </c>
      <c r="F473" t="s"/>
      <c r="G473" t="s"/>
      <c r="H473" t="s"/>
      <c r="I473" t="s"/>
      <c r="J473" t="n">
        <v>-0.9118000000000001</v>
      </c>
      <c r="K473" t="n">
        <v>0.436</v>
      </c>
      <c r="L473" t="n">
        <v>0.427</v>
      </c>
      <c r="M473" t="n">
        <v>0.137</v>
      </c>
    </row>
    <row r="474" spans="1:13">
      <c r="A474" s="1">
        <f>HYPERLINK("http://www.twitter.com/NathanBLawrence/status/1001186992477097986", "1001186992477097986")</f>
        <v/>
      </c>
      <c r="B474" s="2" t="n">
        <v>43248.82122685185</v>
      </c>
      <c r="C474" t="n">
        <v>0</v>
      </c>
      <c r="D474" t="n">
        <v>7733</v>
      </c>
      <c r="E474" t="s">
        <v>485</v>
      </c>
      <c r="F474">
        <f>HYPERLINK("https://video.twimg.com/ext_tw_video/1000414463470817280/pu/vid/352x640/JNgtAmkSQkbI-EQU.mp4?tag=3", "https://video.twimg.com/ext_tw_video/1000414463470817280/pu/vid/352x640/JNgtAmkSQkbI-EQU.mp4?tag=3")</f>
        <v/>
      </c>
      <c r="G474" t="s"/>
      <c r="H474" t="s"/>
      <c r="I474" t="s"/>
      <c r="J474" t="n">
        <v>0.6739000000000001</v>
      </c>
      <c r="K474" t="n">
        <v>0</v>
      </c>
      <c r="L474" t="n">
        <v>0.726</v>
      </c>
      <c r="M474" t="n">
        <v>0.274</v>
      </c>
    </row>
    <row r="475" spans="1:13">
      <c r="A475" s="1">
        <f>HYPERLINK("http://www.twitter.com/NathanBLawrence/status/1001186905818587136", "1001186905818587136")</f>
        <v/>
      </c>
      <c r="B475" s="2" t="n">
        <v>43248.82099537037</v>
      </c>
      <c r="C475" t="n">
        <v>0</v>
      </c>
      <c r="D475" t="n">
        <v>57</v>
      </c>
      <c r="E475" t="s">
        <v>486</v>
      </c>
      <c r="F475" t="s"/>
      <c r="G475" t="s"/>
      <c r="H475" t="s"/>
      <c r="I475" t="s"/>
      <c r="J475" t="n">
        <v>-0.4215</v>
      </c>
      <c r="K475" t="n">
        <v>0.15</v>
      </c>
      <c r="L475" t="n">
        <v>0.772</v>
      </c>
      <c r="M475" t="n">
        <v>0.077</v>
      </c>
    </row>
    <row r="476" spans="1:13">
      <c r="A476" s="1">
        <f>HYPERLINK("http://www.twitter.com/NathanBLawrence/status/1001186730102480896", "1001186730102480896")</f>
        <v/>
      </c>
      <c r="B476" s="2" t="n">
        <v>43248.82050925926</v>
      </c>
      <c r="C476" t="n">
        <v>0</v>
      </c>
      <c r="D476" t="n">
        <v>537</v>
      </c>
      <c r="E476" t="s">
        <v>487</v>
      </c>
      <c r="F476" t="s"/>
      <c r="G476" t="s"/>
      <c r="H476" t="s"/>
      <c r="I476" t="s"/>
      <c r="J476" t="n">
        <v>-0.6249</v>
      </c>
      <c r="K476" t="n">
        <v>0.242</v>
      </c>
      <c r="L476" t="n">
        <v>0.758</v>
      </c>
      <c r="M476" t="n">
        <v>0</v>
      </c>
    </row>
    <row r="477" spans="1:13">
      <c r="A477" s="1">
        <f>HYPERLINK("http://www.twitter.com/NathanBLawrence/status/1001186667380736006", "1001186667380736006")</f>
        <v/>
      </c>
      <c r="B477" s="2" t="n">
        <v>43248.82033564815</v>
      </c>
      <c r="C477" t="n">
        <v>0</v>
      </c>
      <c r="D477" t="n">
        <v>3954</v>
      </c>
      <c r="E477" t="s">
        <v>488</v>
      </c>
      <c r="F477">
        <f>HYPERLINK("http://pbs.twimg.com/media/DePs4s3XcAY5ETg.jpg", "http://pbs.twimg.com/media/DePs4s3XcAY5ETg.jpg")</f>
        <v/>
      </c>
      <c r="G477" t="s"/>
      <c r="H477" t="s"/>
      <c r="I477" t="s"/>
      <c r="J477" t="n">
        <v>-0.6908</v>
      </c>
      <c r="K477" t="n">
        <v>0.199</v>
      </c>
      <c r="L477" t="n">
        <v>0.801</v>
      </c>
      <c r="M477" t="n">
        <v>0</v>
      </c>
    </row>
    <row r="478" spans="1:13">
      <c r="A478" s="1">
        <f>HYPERLINK("http://www.twitter.com/NathanBLawrence/status/1001181625143779328", "1001181625143779328")</f>
        <v/>
      </c>
      <c r="B478" s="2" t="n">
        <v>43248.80642361111</v>
      </c>
      <c r="C478" t="n">
        <v>0</v>
      </c>
      <c r="D478" t="n">
        <v>0</v>
      </c>
      <c r="E478" t="s">
        <v>489</v>
      </c>
      <c r="F478" t="s"/>
      <c r="G478" t="s"/>
      <c r="H478" t="s"/>
      <c r="I478" t="s"/>
      <c r="J478" t="n">
        <v>0</v>
      </c>
      <c r="K478" t="n">
        <v>0</v>
      </c>
      <c r="L478" t="n">
        <v>1</v>
      </c>
      <c r="M478" t="n">
        <v>0</v>
      </c>
    </row>
    <row r="479" spans="1:13">
      <c r="A479" s="1">
        <f>HYPERLINK("http://www.twitter.com/NathanBLawrence/status/1001178833150726149", "1001178833150726149")</f>
        <v/>
      </c>
      <c r="B479" s="2" t="n">
        <v>43248.79871527778</v>
      </c>
      <c r="C479" t="n">
        <v>4</v>
      </c>
      <c r="D479" t="n">
        <v>0</v>
      </c>
      <c r="E479" t="s">
        <v>490</v>
      </c>
      <c r="F479" t="s"/>
      <c r="G479" t="s"/>
      <c r="H479" t="s"/>
      <c r="I479" t="s"/>
      <c r="J479" t="n">
        <v>0.743</v>
      </c>
      <c r="K479" t="n">
        <v>0.049</v>
      </c>
      <c r="L479" t="n">
        <v>0.761</v>
      </c>
      <c r="M479" t="n">
        <v>0.19</v>
      </c>
    </row>
    <row r="480" spans="1:13">
      <c r="A480" s="1">
        <f>HYPERLINK("http://www.twitter.com/NathanBLawrence/status/1001177705155649537", "1001177705155649537")</f>
        <v/>
      </c>
      <c r="B480" s="2" t="n">
        <v>43248.79560185185</v>
      </c>
      <c r="C480" t="n">
        <v>0</v>
      </c>
      <c r="D480" t="n">
        <v>4</v>
      </c>
      <c r="E480" t="s">
        <v>491</v>
      </c>
      <c r="F480" t="s"/>
      <c r="G480" t="s"/>
      <c r="H480" t="s"/>
      <c r="I480" t="s"/>
      <c r="J480" t="n">
        <v>-0.5983000000000001</v>
      </c>
      <c r="K480" t="n">
        <v>0.242</v>
      </c>
      <c r="L480" t="n">
        <v>0.649</v>
      </c>
      <c r="M480" t="n">
        <v>0.109</v>
      </c>
    </row>
    <row r="481" spans="1:13">
      <c r="A481" s="1">
        <f>HYPERLINK("http://www.twitter.com/NathanBLawrence/status/1001177686142799873", "1001177686142799873")</f>
        <v/>
      </c>
      <c r="B481" s="2" t="n">
        <v>43248.79555555555</v>
      </c>
      <c r="C481" t="n">
        <v>0</v>
      </c>
      <c r="D481" t="n">
        <v>11</v>
      </c>
      <c r="E481" t="s">
        <v>492</v>
      </c>
      <c r="F481" t="s"/>
      <c r="G481" t="s"/>
      <c r="H481" t="s"/>
      <c r="I481" t="s"/>
      <c r="J481" t="n">
        <v>0.3197</v>
      </c>
      <c r="K481" t="n">
        <v>0.163</v>
      </c>
      <c r="L481" t="n">
        <v>0.573</v>
      </c>
      <c r="M481" t="n">
        <v>0.264</v>
      </c>
    </row>
    <row r="482" spans="1:13">
      <c r="A482" s="1">
        <f>HYPERLINK("http://www.twitter.com/NathanBLawrence/status/1001177660565938176", "1001177660565938176")</f>
        <v/>
      </c>
      <c r="B482" s="2" t="n">
        <v>43248.79547453704</v>
      </c>
      <c r="C482" t="n">
        <v>0</v>
      </c>
      <c r="D482" t="n">
        <v>1</v>
      </c>
      <c r="E482" t="s">
        <v>493</v>
      </c>
      <c r="F482" t="s"/>
      <c r="G482" t="s"/>
      <c r="H482" t="s"/>
      <c r="I482" t="s"/>
      <c r="J482" t="n">
        <v>0</v>
      </c>
      <c r="K482" t="n">
        <v>0</v>
      </c>
      <c r="L482" t="n">
        <v>1</v>
      </c>
      <c r="M482" t="n">
        <v>0</v>
      </c>
    </row>
    <row r="483" spans="1:13">
      <c r="A483" s="1">
        <f>HYPERLINK("http://www.twitter.com/NathanBLawrence/status/1001177603271782401", "1001177603271782401")</f>
        <v/>
      </c>
      <c r="B483" s="2" t="n">
        <v>43248.79532407408</v>
      </c>
      <c r="C483" t="n">
        <v>0</v>
      </c>
      <c r="D483" t="n">
        <v>1</v>
      </c>
      <c r="E483" t="s">
        <v>494</v>
      </c>
      <c r="F483" t="s"/>
      <c r="G483" t="s"/>
      <c r="H483" t="s"/>
      <c r="I483" t="s"/>
      <c r="J483" t="n">
        <v>0.4404</v>
      </c>
      <c r="K483" t="n">
        <v>0</v>
      </c>
      <c r="L483" t="n">
        <v>0.879</v>
      </c>
      <c r="M483" t="n">
        <v>0.121</v>
      </c>
    </row>
    <row r="484" spans="1:13">
      <c r="A484" s="1">
        <f>HYPERLINK("http://www.twitter.com/NathanBLawrence/status/1001177528730517504", "1001177528730517504")</f>
        <v/>
      </c>
      <c r="B484" s="2" t="n">
        <v>43248.79511574074</v>
      </c>
      <c r="C484" t="n">
        <v>0</v>
      </c>
      <c r="D484" t="n">
        <v>1</v>
      </c>
      <c r="E484" t="s">
        <v>495</v>
      </c>
      <c r="F484" t="s"/>
      <c r="G484" t="s"/>
      <c r="H484" t="s"/>
      <c r="I484" t="s"/>
      <c r="J484" t="n">
        <v>0.6908</v>
      </c>
      <c r="K484" t="n">
        <v>0</v>
      </c>
      <c r="L484" t="n">
        <v>0.637</v>
      </c>
      <c r="M484" t="n">
        <v>0.363</v>
      </c>
    </row>
    <row r="485" spans="1:13">
      <c r="A485" s="1">
        <f>HYPERLINK("http://www.twitter.com/NathanBLawrence/status/1001177401798332416", "1001177401798332416")</f>
        <v/>
      </c>
      <c r="B485" s="2" t="n">
        <v>43248.79476851852</v>
      </c>
      <c r="C485" t="n">
        <v>0</v>
      </c>
      <c r="D485" t="n">
        <v>40</v>
      </c>
      <c r="E485" t="s">
        <v>496</v>
      </c>
      <c r="F485" t="s"/>
      <c r="G485" t="s"/>
      <c r="H485" t="s"/>
      <c r="I485" t="s"/>
      <c r="J485" t="n">
        <v>0.8091</v>
      </c>
      <c r="K485" t="n">
        <v>0.128</v>
      </c>
      <c r="L485" t="n">
        <v>0.511</v>
      </c>
      <c r="M485" t="n">
        <v>0.362</v>
      </c>
    </row>
    <row r="486" spans="1:13">
      <c r="A486" s="1">
        <f>HYPERLINK("http://www.twitter.com/NathanBLawrence/status/1001177242846756865", "1001177242846756865")</f>
        <v/>
      </c>
      <c r="B486" s="2" t="n">
        <v>43248.79432870371</v>
      </c>
      <c r="C486" t="n">
        <v>0</v>
      </c>
      <c r="D486" t="n">
        <v>1</v>
      </c>
      <c r="E486" t="s">
        <v>497</v>
      </c>
      <c r="F486" t="s"/>
      <c r="G486" t="s"/>
      <c r="H486" t="s"/>
      <c r="I486" t="s"/>
      <c r="J486" t="n">
        <v>0</v>
      </c>
      <c r="K486" t="n">
        <v>0</v>
      </c>
      <c r="L486" t="n">
        <v>1</v>
      </c>
      <c r="M486" t="n">
        <v>0</v>
      </c>
    </row>
    <row r="487" spans="1:13">
      <c r="A487" s="1">
        <f>HYPERLINK("http://www.twitter.com/NathanBLawrence/status/1001171521380012040", "1001171521380012040")</f>
        <v/>
      </c>
      <c r="B487" s="2" t="n">
        <v>43248.77854166667</v>
      </c>
      <c r="C487" t="n">
        <v>3</v>
      </c>
      <c r="D487" t="n">
        <v>0</v>
      </c>
      <c r="E487" t="s">
        <v>498</v>
      </c>
      <c r="F487" t="s"/>
      <c r="G487" t="s"/>
      <c r="H487" t="s"/>
      <c r="I487" t="s"/>
      <c r="J487" t="n">
        <v>0.2263</v>
      </c>
      <c r="K487" t="n">
        <v>0</v>
      </c>
      <c r="L487" t="n">
        <v>0.951</v>
      </c>
      <c r="M487" t="n">
        <v>0.049</v>
      </c>
    </row>
    <row r="488" spans="1:13">
      <c r="A488" s="1">
        <f>HYPERLINK("http://www.twitter.com/NathanBLawrence/status/1001170188094595072", "1001170188094595072")</f>
        <v/>
      </c>
      <c r="B488" s="2" t="n">
        <v>43248.77486111111</v>
      </c>
      <c r="C488" t="n">
        <v>1</v>
      </c>
      <c r="D488" t="n">
        <v>0</v>
      </c>
      <c r="E488" t="s">
        <v>499</v>
      </c>
      <c r="F488" t="s"/>
      <c r="G488" t="s"/>
      <c r="H488" t="s"/>
      <c r="I488" t="s"/>
      <c r="J488" t="n">
        <v>0</v>
      </c>
      <c r="K488" t="n">
        <v>0</v>
      </c>
      <c r="L488" t="n">
        <v>1</v>
      </c>
      <c r="M488" t="n">
        <v>0</v>
      </c>
    </row>
    <row r="489" spans="1:13">
      <c r="A489" s="1">
        <f>HYPERLINK("http://www.twitter.com/NathanBLawrence/status/1001169906229043201", "1001169906229043201")</f>
        <v/>
      </c>
      <c r="B489" s="2" t="n">
        <v>43248.77408564815</v>
      </c>
      <c r="C489" t="n">
        <v>0</v>
      </c>
      <c r="D489" t="n">
        <v>244</v>
      </c>
      <c r="E489" t="s">
        <v>500</v>
      </c>
      <c r="F489">
        <f>HYPERLINK("http://pbs.twimg.com/media/DeTPJRdX4AAzvnq.jpg", "http://pbs.twimg.com/media/DeTPJRdX4AAzvnq.jpg")</f>
        <v/>
      </c>
      <c r="G489" t="s"/>
      <c r="H489" t="s"/>
      <c r="I489" t="s"/>
      <c r="J489" t="n">
        <v>-0.5411</v>
      </c>
      <c r="K489" t="n">
        <v>0.162</v>
      </c>
      <c r="L489" t="n">
        <v>0.838</v>
      </c>
      <c r="M489" t="n">
        <v>0</v>
      </c>
    </row>
    <row r="490" spans="1:13">
      <c r="A490" s="1">
        <f>HYPERLINK("http://www.twitter.com/NathanBLawrence/status/1001169857172393984", "1001169857172393984")</f>
        <v/>
      </c>
      <c r="B490" s="2" t="n">
        <v>43248.77394675926</v>
      </c>
      <c r="C490" t="n">
        <v>0</v>
      </c>
      <c r="D490" t="n">
        <v>2</v>
      </c>
      <c r="E490" t="s">
        <v>501</v>
      </c>
      <c r="F490" t="s"/>
      <c r="G490" t="s"/>
      <c r="H490" t="s"/>
      <c r="I490" t="s"/>
      <c r="J490" t="n">
        <v>-0.0516</v>
      </c>
      <c r="K490" t="n">
        <v>0.074</v>
      </c>
      <c r="L490" t="n">
        <v>0.926</v>
      </c>
      <c r="M490" t="n">
        <v>0</v>
      </c>
    </row>
    <row r="491" spans="1:13">
      <c r="A491" s="1">
        <f>HYPERLINK("http://www.twitter.com/NathanBLawrence/status/1001169831557763072", "1001169831557763072")</f>
        <v/>
      </c>
      <c r="B491" s="2" t="n">
        <v>43248.77387731482</v>
      </c>
      <c r="C491" t="n">
        <v>0</v>
      </c>
      <c r="D491" t="n">
        <v>3</v>
      </c>
      <c r="E491" t="s">
        <v>502</v>
      </c>
      <c r="F491" t="s"/>
      <c r="G491" t="s"/>
      <c r="H491" t="s"/>
      <c r="I491" t="s"/>
      <c r="J491" t="n">
        <v>-0.4404</v>
      </c>
      <c r="K491" t="n">
        <v>0.146</v>
      </c>
      <c r="L491" t="n">
        <v>0.854</v>
      </c>
      <c r="M491" t="n">
        <v>0</v>
      </c>
    </row>
    <row r="492" spans="1:13">
      <c r="A492" s="1">
        <f>HYPERLINK("http://www.twitter.com/NathanBLawrence/status/1001169807369175040", "1001169807369175040")</f>
        <v/>
      </c>
      <c r="B492" s="2" t="n">
        <v>43248.77380787037</v>
      </c>
      <c r="C492" t="n">
        <v>0</v>
      </c>
      <c r="D492" t="n">
        <v>8</v>
      </c>
      <c r="E492" t="s">
        <v>503</v>
      </c>
      <c r="F492" t="s"/>
      <c r="G492" t="s"/>
      <c r="H492" t="s"/>
      <c r="I492" t="s"/>
      <c r="J492" t="n">
        <v>-0.4199</v>
      </c>
      <c r="K492" t="n">
        <v>0.16</v>
      </c>
      <c r="L492" t="n">
        <v>0.759</v>
      </c>
      <c r="M492" t="n">
        <v>0.08</v>
      </c>
    </row>
    <row r="493" spans="1:13">
      <c r="A493" s="1">
        <f>HYPERLINK("http://www.twitter.com/NathanBLawrence/status/1001169685772144640", "1001169685772144640")</f>
        <v/>
      </c>
      <c r="B493" s="2" t="n">
        <v>43248.77347222222</v>
      </c>
      <c r="C493" t="n">
        <v>0</v>
      </c>
      <c r="D493" t="n">
        <v>62</v>
      </c>
      <c r="E493" t="s">
        <v>504</v>
      </c>
      <c r="F493">
        <f>HYPERLINK("http://pbs.twimg.com/media/DeRbvCUXUAEJQoE.jpg", "http://pbs.twimg.com/media/DeRbvCUXUAEJQoE.jpg")</f>
        <v/>
      </c>
      <c r="G493" t="s"/>
      <c r="H493" t="s"/>
      <c r="I493" t="s"/>
      <c r="J493" t="n">
        <v>0.7184</v>
      </c>
      <c r="K493" t="n">
        <v>0.089</v>
      </c>
      <c r="L493" t="n">
        <v>0.571</v>
      </c>
      <c r="M493" t="n">
        <v>0.339</v>
      </c>
    </row>
    <row r="494" spans="1:13">
      <c r="A494" s="1">
        <f>HYPERLINK("http://www.twitter.com/NathanBLawrence/status/1001169638984704005", "1001169638984704005")</f>
        <v/>
      </c>
      <c r="B494" s="2" t="n">
        <v>43248.77334490741</v>
      </c>
      <c r="C494" t="n">
        <v>0</v>
      </c>
      <c r="D494" t="n">
        <v>0</v>
      </c>
      <c r="E494" t="s">
        <v>505</v>
      </c>
      <c r="F494" t="s"/>
      <c r="G494" t="s"/>
      <c r="H494" t="s"/>
      <c r="I494" t="s"/>
      <c r="J494" t="n">
        <v>-0.7034</v>
      </c>
      <c r="K494" t="n">
        <v>0.187</v>
      </c>
      <c r="L494" t="n">
        <v>0.8129999999999999</v>
      </c>
      <c r="M494" t="n">
        <v>0</v>
      </c>
    </row>
    <row r="495" spans="1:13">
      <c r="A495" s="1">
        <f>HYPERLINK("http://www.twitter.com/NathanBLawrence/status/1001167358562586624", "1001167358562586624")</f>
        <v/>
      </c>
      <c r="B495" s="2" t="n">
        <v>43248.76704861111</v>
      </c>
      <c r="C495" t="n">
        <v>1</v>
      </c>
      <c r="D495" t="n">
        <v>0</v>
      </c>
      <c r="E495" t="s">
        <v>506</v>
      </c>
      <c r="F495" t="s"/>
      <c r="G495" t="s"/>
      <c r="H495" t="s"/>
      <c r="I495" t="s"/>
      <c r="J495" t="n">
        <v>0</v>
      </c>
      <c r="K495" t="n">
        <v>0</v>
      </c>
      <c r="L495" t="n">
        <v>1</v>
      </c>
      <c r="M495" t="n">
        <v>0</v>
      </c>
    </row>
    <row r="496" spans="1:13">
      <c r="A496" s="1">
        <f>HYPERLINK("http://www.twitter.com/NathanBLawrence/status/1001164295114297345", "1001164295114297345")</f>
        <v/>
      </c>
      <c r="B496" s="2" t="n">
        <v>43248.75859953704</v>
      </c>
      <c r="C496" t="n">
        <v>0</v>
      </c>
      <c r="D496" t="n">
        <v>0</v>
      </c>
      <c r="E496" t="s">
        <v>507</v>
      </c>
      <c r="F496" t="s"/>
      <c r="G496" t="s"/>
      <c r="H496" t="s"/>
      <c r="I496" t="s"/>
      <c r="J496" t="n">
        <v>0.25</v>
      </c>
      <c r="K496" t="n">
        <v>0.118</v>
      </c>
      <c r="L496" t="n">
        <v>0.743</v>
      </c>
      <c r="M496" t="n">
        <v>0.139</v>
      </c>
    </row>
    <row r="497" spans="1:13">
      <c r="A497" s="1">
        <f>HYPERLINK("http://www.twitter.com/NathanBLawrence/status/1001157011327811584", "1001157011327811584")</f>
        <v/>
      </c>
      <c r="B497" s="2" t="n">
        <v>43248.73849537037</v>
      </c>
      <c r="C497" t="n">
        <v>0</v>
      </c>
      <c r="D497" t="n">
        <v>0</v>
      </c>
      <c r="E497" t="s">
        <v>508</v>
      </c>
      <c r="F497" t="s"/>
      <c r="G497" t="s"/>
      <c r="H497" t="s"/>
      <c r="I497" t="s"/>
      <c r="J497" t="n">
        <v>-0.09</v>
      </c>
      <c r="K497" t="n">
        <v>0.135</v>
      </c>
      <c r="L497" t="n">
        <v>0.764</v>
      </c>
      <c r="M497" t="n">
        <v>0.101</v>
      </c>
    </row>
    <row r="498" spans="1:13">
      <c r="A498" s="1">
        <f>HYPERLINK("http://www.twitter.com/NathanBLawrence/status/1001156466718453762", "1001156466718453762")</f>
        <v/>
      </c>
      <c r="B498" s="2" t="n">
        <v>43248.73699074074</v>
      </c>
      <c r="C498" t="n">
        <v>0</v>
      </c>
      <c r="D498" t="n">
        <v>0</v>
      </c>
      <c r="E498" t="s">
        <v>509</v>
      </c>
      <c r="F498" t="s"/>
      <c r="G498" t="s"/>
      <c r="H498" t="s"/>
      <c r="I498" t="s"/>
      <c r="J498" t="n">
        <v>-0.7959000000000001</v>
      </c>
      <c r="K498" t="n">
        <v>0.195</v>
      </c>
      <c r="L498" t="n">
        <v>0.765</v>
      </c>
      <c r="M498" t="n">
        <v>0.04</v>
      </c>
    </row>
    <row r="499" spans="1:13">
      <c r="A499" s="1">
        <f>HYPERLINK("http://www.twitter.com/NathanBLawrence/status/1001156163122188288", "1001156163122188288")</f>
        <v/>
      </c>
      <c r="B499" s="2" t="n">
        <v>43248.73615740741</v>
      </c>
      <c r="C499" t="n">
        <v>0</v>
      </c>
      <c r="D499" t="n">
        <v>0</v>
      </c>
      <c r="E499" t="s">
        <v>510</v>
      </c>
      <c r="F499" t="s"/>
      <c r="G499" t="s"/>
      <c r="H499" t="s"/>
      <c r="I499" t="s"/>
      <c r="J499" t="n">
        <v>0.8355</v>
      </c>
      <c r="K499" t="n">
        <v>0</v>
      </c>
      <c r="L499" t="n">
        <v>0.806</v>
      </c>
      <c r="M499" t="n">
        <v>0.194</v>
      </c>
    </row>
    <row r="500" spans="1:13">
      <c r="A500" s="1">
        <f>HYPERLINK("http://www.twitter.com/NathanBLawrence/status/1001154435425415168", "1001154435425415168")</f>
        <v/>
      </c>
      <c r="B500" s="2" t="n">
        <v>43248.73138888889</v>
      </c>
      <c r="C500" t="n">
        <v>0</v>
      </c>
      <c r="D500" t="n">
        <v>0</v>
      </c>
      <c r="E500" t="s">
        <v>511</v>
      </c>
      <c r="F500" t="s"/>
      <c r="G500" t="s"/>
      <c r="H500" t="s"/>
      <c r="I500" t="s"/>
      <c r="J500" t="n">
        <v>0.5423</v>
      </c>
      <c r="K500" t="n">
        <v>0</v>
      </c>
      <c r="L500" t="n">
        <v>0.83</v>
      </c>
      <c r="M500" t="n">
        <v>0.17</v>
      </c>
    </row>
    <row r="501" spans="1:13">
      <c r="A501" s="1">
        <f>HYPERLINK("http://www.twitter.com/NathanBLawrence/status/1001154116964552709", "1001154116964552709")</f>
        <v/>
      </c>
      <c r="B501" s="2" t="n">
        <v>43248.73050925926</v>
      </c>
      <c r="C501" t="n">
        <v>0</v>
      </c>
      <c r="D501" t="n">
        <v>0</v>
      </c>
      <c r="E501" t="s">
        <v>512</v>
      </c>
      <c r="F501" t="s"/>
      <c r="G501" t="s"/>
      <c r="H501" t="s"/>
      <c r="I501" t="s"/>
      <c r="J501" t="n">
        <v>0</v>
      </c>
      <c r="K501" t="n">
        <v>0</v>
      </c>
      <c r="L501" t="n">
        <v>1</v>
      </c>
      <c r="M501" t="n">
        <v>0</v>
      </c>
    </row>
    <row r="502" spans="1:13">
      <c r="A502" s="1">
        <f>HYPERLINK("http://www.twitter.com/NathanBLawrence/status/1001153782904971265", "1001153782904971265")</f>
        <v/>
      </c>
      <c r="B502" s="2" t="n">
        <v>43248.72959490741</v>
      </c>
      <c r="C502" t="n">
        <v>1</v>
      </c>
      <c r="D502" t="n">
        <v>0</v>
      </c>
      <c r="E502" t="s">
        <v>513</v>
      </c>
      <c r="F502" t="s"/>
      <c r="G502" t="s"/>
      <c r="H502" t="s"/>
      <c r="I502" t="s"/>
      <c r="J502" t="n">
        <v>0.4926</v>
      </c>
      <c r="K502" t="n">
        <v>0</v>
      </c>
      <c r="L502" t="n">
        <v>0.862</v>
      </c>
      <c r="M502" t="n">
        <v>0.138</v>
      </c>
    </row>
    <row r="503" spans="1:13">
      <c r="A503" s="1">
        <f>HYPERLINK("http://www.twitter.com/NathanBLawrence/status/1001153395296645125", "1001153395296645125")</f>
        <v/>
      </c>
      <c r="B503" s="2" t="n">
        <v>43248.72851851852</v>
      </c>
      <c r="C503" t="n">
        <v>0</v>
      </c>
      <c r="D503" t="n">
        <v>0</v>
      </c>
      <c r="E503" t="s">
        <v>514</v>
      </c>
      <c r="F503" t="s"/>
      <c r="G503" t="s"/>
      <c r="H503" t="s"/>
      <c r="I503" t="s"/>
      <c r="J503" t="n">
        <v>-0.6588000000000001</v>
      </c>
      <c r="K503" t="n">
        <v>0.226</v>
      </c>
      <c r="L503" t="n">
        <v>0.774</v>
      </c>
      <c r="M503" t="n">
        <v>0</v>
      </c>
    </row>
    <row r="504" spans="1:13">
      <c r="A504" s="1">
        <f>HYPERLINK("http://www.twitter.com/NathanBLawrence/status/1001144927781257217", "1001144927781257217")</f>
        <v/>
      </c>
      <c r="B504" s="2" t="n">
        <v>43248.70515046296</v>
      </c>
      <c r="C504" t="n">
        <v>5</v>
      </c>
      <c r="D504" t="n">
        <v>0</v>
      </c>
      <c r="E504" t="s">
        <v>515</v>
      </c>
      <c r="F504">
        <f>HYPERLINK("http://pbs.twimg.com/media/DeTIAHsV0AAB85j.jpg", "http://pbs.twimg.com/media/DeTIAHsV0AAB85j.jpg")</f>
        <v/>
      </c>
      <c r="G504" t="s"/>
      <c r="H504" t="s"/>
      <c r="I504" t="s"/>
      <c r="J504" t="n">
        <v>0.1759</v>
      </c>
      <c r="K504" t="n">
        <v>0</v>
      </c>
      <c r="L504" t="n">
        <v>0.922</v>
      </c>
      <c r="M504" t="n">
        <v>0.078</v>
      </c>
    </row>
    <row r="505" spans="1:13">
      <c r="A505" s="1">
        <f>HYPERLINK("http://www.twitter.com/NathanBLawrence/status/1001140092491194370", "1001140092491194370")</f>
        <v/>
      </c>
      <c r="B505" s="2" t="n">
        <v>43248.69180555556</v>
      </c>
      <c r="C505" t="n">
        <v>0</v>
      </c>
      <c r="D505" t="n">
        <v>27</v>
      </c>
      <c r="E505" t="s">
        <v>516</v>
      </c>
      <c r="F505">
        <f>HYPERLINK("http://pbs.twimg.com/media/DeSiKqXWsAIxNP4.jpg", "http://pbs.twimg.com/media/DeSiKqXWsAIxNP4.jpg")</f>
        <v/>
      </c>
      <c r="G505" t="s"/>
      <c r="H505" t="s"/>
      <c r="I505" t="s"/>
      <c r="J505" t="n">
        <v>0</v>
      </c>
      <c r="K505" t="n">
        <v>0</v>
      </c>
      <c r="L505" t="n">
        <v>1</v>
      </c>
      <c r="M505" t="n">
        <v>0</v>
      </c>
    </row>
    <row r="506" spans="1:13">
      <c r="A506" s="1">
        <f>HYPERLINK("http://www.twitter.com/NathanBLawrence/status/1001140058555109378", "1001140058555109378")</f>
        <v/>
      </c>
      <c r="B506" s="2" t="n">
        <v>43248.69171296297</v>
      </c>
      <c r="C506" t="n">
        <v>0</v>
      </c>
      <c r="D506" t="n">
        <v>162</v>
      </c>
      <c r="E506" t="s">
        <v>517</v>
      </c>
      <c r="F506" t="s"/>
      <c r="G506" t="s"/>
      <c r="H506" t="s"/>
      <c r="I506" t="s"/>
      <c r="J506" t="n">
        <v>0.34</v>
      </c>
      <c r="K506" t="n">
        <v>0</v>
      </c>
      <c r="L506" t="n">
        <v>0.893</v>
      </c>
      <c r="M506" t="n">
        <v>0.107</v>
      </c>
    </row>
    <row r="507" spans="1:13">
      <c r="A507" s="1">
        <f>HYPERLINK("http://www.twitter.com/NathanBLawrence/status/1001139969342230529", "1001139969342230529")</f>
        <v/>
      </c>
      <c r="B507" s="2" t="n">
        <v>43248.6914699074</v>
      </c>
      <c r="C507" t="n">
        <v>0</v>
      </c>
      <c r="D507" t="n">
        <v>7629</v>
      </c>
      <c r="E507" t="s">
        <v>518</v>
      </c>
      <c r="F507" t="s"/>
      <c r="G507" t="s"/>
      <c r="H507" t="s"/>
      <c r="I507" t="s"/>
      <c r="J507" t="n">
        <v>-0.2263</v>
      </c>
      <c r="K507" t="n">
        <v>0.083</v>
      </c>
      <c r="L507" t="n">
        <v>0.917</v>
      </c>
      <c r="M507" t="n">
        <v>0</v>
      </c>
    </row>
    <row r="508" spans="1:13">
      <c r="A508" s="1">
        <f>HYPERLINK("http://www.twitter.com/NathanBLawrence/status/1001139877004693504", "1001139877004693504")</f>
        <v/>
      </c>
      <c r="B508" s="2" t="n">
        <v>43248.69121527778</v>
      </c>
      <c r="C508" t="n">
        <v>0</v>
      </c>
      <c r="D508" t="n">
        <v>1478</v>
      </c>
      <c r="E508" t="s">
        <v>519</v>
      </c>
      <c r="F508">
        <f>HYPERLINK("https://video.twimg.com/ext_tw_video/1000767890197532672/pu/vid/1280x720/il_eElhxc-UgMtjc.mp4?tag=3", "https://video.twimg.com/ext_tw_video/1000767890197532672/pu/vid/1280x720/il_eElhxc-UgMtjc.mp4?tag=3")</f>
        <v/>
      </c>
      <c r="G508" t="s"/>
      <c r="H508" t="s"/>
      <c r="I508" t="s"/>
      <c r="J508" t="n">
        <v>0.9214</v>
      </c>
      <c r="K508" t="n">
        <v>0</v>
      </c>
      <c r="L508" t="n">
        <v>0.621</v>
      </c>
      <c r="M508" t="n">
        <v>0.379</v>
      </c>
    </row>
    <row r="509" spans="1:13">
      <c r="A509" s="1">
        <f>HYPERLINK("http://www.twitter.com/NathanBLawrence/status/1001139794687221760", "1001139794687221760")</f>
        <v/>
      </c>
      <c r="B509" s="2" t="n">
        <v>43248.6909837963</v>
      </c>
      <c r="C509" t="n">
        <v>0</v>
      </c>
      <c r="D509" t="n">
        <v>2178</v>
      </c>
      <c r="E509" t="s">
        <v>520</v>
      </c>
      <c r="F509" t="s"/>
      <c r="G509" t="s"/>
      <c r="H509" t="s"/>
      <c r="I509" t="s"/>
      <c r="J509" t="n">
        <v>-0.2263</v>
      </c>
      <c r="K509" t="n">
        <v>0.182</v>
      </c>
      <c r="L509" t="n">
        <v>0.632</v>
      </c>
      <c r="M509" t="n">
        <v>0.186</v>
      </c>
    </row>
    <row r="510" spans="1:13">
      <c r="A510" s="1">
        <f>HYPERLINK("http://www.twitter.com/NathanBLawrence/status/1001139733064495109", "1001139733064495109")</f>
        <v/>
      </c>
      <c r="B510" s="2" t="n">
        <v>43248.69082175926</v>
      </c>
      <c r="C510" t="n">
        <v>0</v>
      </c>
      <c r="D510" t="n">
        <v>336</v>
      </c>
      <c r="E510" t="s">
        <v>521</v>
      </c>
      <c r="F510">
        <f>HYPERLINK("https://video.twimg.com/ext_tw_video/1001060400291442689/pu/vid/1280x720/P1JcuriqLuhwro7z.mp4?tag=3", "https://video.twimg.com/ext_tw_video/1001060400291442689/pu/vid/1280x720/P1JcuriqLuhwro7z.mp4?tag=3")</f>
        <v/>
      </c>
      <c r="G510" t="s"/>
      <c r="H510" t="s"/>
      <c r="I510" t="s"/>
      <c r="J510" t="n">
        <v>0.5106000000000001</v>
      </c>
      <c r="K510" t="n">
        <v>0</v>
      </c>
      <c r="L510" t="n">
        <v>0.858</v>
      </c>
      <c r="M510" t="n">
        <v>0.142</v>
      </c>
    </row>
    <row r="511" spans="1:13">
      <c r="A511" s="1">
        <f>HYPERLINK("http://www.twitter.com/NathanBLawrence/status/1001139674490994688", "1001139674490994688")</f>
        <v/>
      </c>
      <c r="B511" s="2" t="n">
        <v>43248.69065972222</v>
      </c>
      <c r="C511" t="n">
        <v>0</v>
      </c>
      <c r="D511" t="n">
        <v>380</v>
      </c>
      <c r="E511" t="s">
        <v>522</v>
      </c>
      <c r="F511">
        <f>HYPERLINK("http://pbs.twimg.com/media/DeSdrq8WAAAlvNK.jpg", "http://pbs.twimg.com/media/DeSdrq8WAAAlvNK.jpg")</f>
        <v/>
      </c>
      <c r="G511" t="s"/>
      <c r="H511" t="s"/>
      <c r="I511" t="s"/>
      <c r="J511" t="n">
        <v>0</v>
      </c>
      <c r="K511" t="n">
        <v>0</v>
      </c>
      <c r="L511" t="n">
        <v>1</v>
      </c>
      <c r="M511" t="n">
        <v>0</v>
      </c>
    </row>
    <row r="512" spans="1:13">
      <c r="A512" s="1">
        <f>HYPERLINK("http://www.twitter.com/NathanBLawrence/status/1001132593138618368", "1001132593138618368")</f>
        <v/>
      </c>
      <c r="B512" s="2" t="n">
        <v>43248.67112268518</v>
      </c>
      <c r="C512" t="n">
        <v>0</v>
      </c>
      <c r="D512" t="n">
        <v>827</v>
      </c>
      <c r="E512" t="s">
        <v>523</v>
      </c>
      <c r="F512">
        <f>HYPERLINK("http://pbs.twimg.com/media/DeSRZNpXkAAEfNg.jpg", "http://pbs.twimg.com/media/DeSRZNpXkAAEfNg.jpg")</f>
        <v/>
      </c>
      <c r="G512" t="s"/>
      <c r="H512" t="s"/>
      <c r="I512" t="s"/>
      <c r="J512" t="n">
        <v>-0.8591</v>
      </c>
      <c r="K512" t="n">
        <v>0.288</v>
      </c>
      <c r="L512" t="n">
        <v>0.712</v>
      </c>
      <c r="M512" t="n">
        <v>0</v>
      </c>
    </row>
    <row r="513" spans="1:13">
      <c r="A513" s="1">
        <f>HYPERLINK("http://www.twitter.com/NathanBLawrence/status/1001131682915930112", "1001131682915930112")</f>
        <v/>
      </c>
      <c r="B513" s="2" t="n">
        <v>43248.66859953704</v>
      </c>
      <c r="C513" t="n">
        <v>0</v>
      </c>
      <c r="D513" t="n">
        <v>473</v>
      </c>
      <c r="E513" t="s">
        <v>524</v>
      </c>
      <c r="F513" t="s"/>
      <c r="G513" t="s"/>
      <c r="H513" t="s"/>
      <c r="I513" t="s"/>
      <c r="J513" t="n">
        <v>-0.1779</v>
      </c>
      <c r="K513" t="n">
        <v>0.078</v>
      </c>
      <c r="L513" t="n">
        <v>0.922</v>
      </c>
      <c r="M513" t="n">
        <v>0</v>
      </c>
    </row>
    <row r="514" spans="1:13">
      <c r="A514" s="1">
        <f>HYPERLINK("http://www.twitter.com/NathanBLawrence/status/1001131610408878080", "1001131610408878080")</f>
        <v/>
      </c>
      <c r="B514" s="2" t="n">
        <v>43248.66840277778</v>
      </c>
      <c r="C514" t="n">
        <v>0</v>
      </c>
      <c r="D514" t="n">
        <v>295</v>
      </c>
      <c r="E514" t="s">
        <v>525</v>
      </c>
      <c r="F514" t="s"/>
      <c r="G514" t="s"/>
      <c r="H514" t="s"/>
      <c r="I514" t="s"/>
      <c r="J514" t="n">
        <v>0.9592000000000001</v>
      </c>
      <c r="K514" t="n">
        <v>0</v>
      </c>
      <c r="L514" t="n">
        <v>0.455</v>
      </c>
      <c r="M514" t="n">
        <v>0.545</v>
      </c>
    </row>
    <row r="515" spans="1:13">
      <c r="A515" s="1">
        <f>HYPERLINK("http://www.twitter.com/NathanBLawrence/status/1001131581287927808", "1001131581287927808")</f>
        <v/>
      </c>
      <c r="B515" s="2" t="n">
        <v>43248.66832175926</v>
      </c>
      <c r="C515" t="n">
        <v>0</v>
      </c>
      <c r="D515" t="n">
        <v>19</v>
      </c>
      <c r="E515" t="s">
        <v>526</v>
      </c>
      <c r="F515">
        <f>HYPERLINK("http://pbs.twimg.com/media/DeSsTUsX4AAHrcq.jpg", "http://pbs.twimg.com/media/DeSsTUsX4AAHrcq.jpg")</f>
        <v/>
      </c>
      <c r="G515" t="s"/>
      <c r="H515" t="s"/>
      <c r="I515" t="s"/>
      <c r="J515" t="n">
        <v>0.8126</v>
      </c>
      <c r="K515" t="n">
        <v>0.147</v>
      </c>
      <c r="L515" t="n">
        <v>0.508</v>
      </c>
      <c r="M515" t="n">
        <v>0.345</v>
      </c>
    </row>
    <row r="516" spans="1:13">
      <c r="A516" s="1">
        <f>HYPERLINK("http://www.twitter.com/NathanBLawrence/status/1001131541471391745", "1001131541471391745")</f>
        <v/>
      </c>
      <c r="B516" s="2" t="n">
        <v>43248.6682175926</v>
      </c>
      <c r="C516" t="n">
        <v>0</v>
      </c>
      <c r="D516" t="n">
        <v>1928</v>
      </c>
      <c r="E516" t="s">
        <v>527</v>
      </c>
      <c r="F516" t="s"/>
      <c r="G516" t="s"/>
      <c r="H516" t="s"/>
      <c r="I516" t="s"/>
      <c r="J516" t="n">
        <v>-0.3818</v>
      </c>
      <c r="K516" t="n">
        <v>0.19</v>
      </c>
      <c r="L516" t="n">
        <v>0.6850000000000001</v>
      </c>
      <c r="M516" t="n">
        <v>0.125</v>
      </c>
    </row>
    <row r="517" spans="1:13">
      <c r="A517" s="1">
        <f>HYPERLINK("http://www.twitter.com/NathanBLawrence/status/1001131475599855617", "1001131475599855617")</f>
        <v/>
      </c>
      <c r="B517" s="2" t="n">
        <v>43248.6680324074</v>
      </c>
      <c r="C517" t="n">
        <v>0</v>
      </c>
      <c r="D517" t="n">
        <v>880</v>
      </c>
      <c r="E517" t="s">
        <v>528</v>
      </c>
      <c r="F517">
        <f>HYPERLINK("http://pbs.twimg.com/media/DeSjHLNVMAEAU69.jpg", "http://pbs.twimg.com/media/DeSjHLNVMAEAU69.jpg")</f>
        <v/>
      </c>
      <c r="G517" t="s"/>
      <c r="H517" t="s"/>
      <c r="I517" t="s"/>
      <c r="J517" t="n">
        <v>0.128</v>
      </c>
      <c r="K517" t="n">
        <v>0</v>
      </c>
      <c r="L517" t="n">
        <v>0.919</v>
      </c>
      <c r="M517" t="n">
        <v>0.081</v>
      </c>
    </row>
    <row r="518" spans="1:13">
      <c r="A518" s="1">
        <f>HYPERLINK("http://www.twitter.com/NathanBLawrence/status/1001131431706361856", "1001131431706361856")</f>
        <v/>
      </c>
      <c r="B518" s="2" t="n">
        <v>43248.66791666667</v>
      </c>
      <c r="C518" t="n">
        <v>0</v>
      </c>
      <c r="D518" t="n">
        <v>80</v>
      </c>
      <c r="E518" t="s">
        <v>529</v>
      </c>
      <c r="F518">
        <f>HYPERLINK("http://pbs.twimg.com/media/DeJeiKtVQAEZ5X3.jpg", "http://pbs.twimg.com/media/DeJeiKtVQAEZ5X3.jpg")</f>
        <v/>
      </c>
      <c r="G518" t="s"/>
      <c r="H518" t="s"/>
      <c r="I518" t="s"/>
      <c r="J518" t="n">
        <v>0</v>
      </c>
      <c r="K518" t="n">
        <v>0</v>
      </c>
      <c r="L518" t="n">
        <v>1</v>
      </c>
      <c r="M518" t="n">
        <v>0</v>
      </c>
    </row>
    <row r="519" spans="1:13">
      <c r="A519" s="1">
        <f>HYPERLINK("http://www.twitter.com/NathanBLawrence/status/1001131167775707136", "1001131167775707136")</f>
        <v/>
      </c>
      <c r="B519" s="2" t="n">
        <v>43248.6671875</v>
      </c>
      <c r="C519" t="n">
        <v>0</v>
      </c>
      <c r="D519" t="n">
        <v>4388</v>
      </c>
      <c r="E519" t="s">
        <v>530</v>
      </c>
      <c r="F519" t="s"/>
      <c r="G519" t="s"/>
      <c r="H519" t="s"/>
      <c r="I519" t="s"/>
      <c r="J519" t="n">
        <v>0</v>
      </c>
      <c r="K519" t="n">
        <v>0</v>
      </c>
      <c r="L519" t="n">
        <v>1</v>
      </c>
      <c r="M519" t="n">
        <v>0</v>
      </c>
    </row>
    <row r="520" spans="1:13">
      <c r="A520" s="1">
        <f>HYPERLINK("http://www.twitter.com/NathanBLawrence/status/1001131012460564480", "1001131012460564480")</f>
        <v/>
      </c>
      <c r="B520" s="2" t="n">
        <v>43248.66675925926</v>
      </c>
      <c r="C520" t="n">
        <v>0</v>
      </c>
      <c r="D520" t="n">
        <v>9709</v>
      </c>
      <c r="E520" t="s">
        <v>531</v>
      </c>
      <c r="F520" t="s"/>
      <c r="G520" t="s"/>
      <c r="H520" t="s"/>
      <c r="I520" t="s"/>
      <c r="J520" t="n">
        <v>-0.6124000000000001</v>
      </c>
      <c r="K520" t="n">
        <v>0.167</v>
      </c>
      <c r="L520" t="n">
        <v>0.833</v>
      </c>
      <c r="M520" t="n">
        <v>0</v>
      </c>
    </row>
    <row r="521" spans="1:13">
      <c r="A521" s="1">
        <f>HYPERLINK("http://www.twitter.com/NathanBLawrence/status/1001130901080821762", "1001130901080821762")</f>
        <v/>
      </c>
      <c r="B521" s="2" t="n">
        <v>43248.66644675926</v>
      </c>
      <c r="C521" t="n">
        <v>0</v>
      </c>
      <c r="D521" t="n">
        <v>922</v>
      </c>
      <c r="E521" t="s">
        <v>532</v>
      </c>
      <c r="F521" t="s"/>
      <c r="G521" t="s"/>
      <c r="H521" t="s"/>
      <c r="I521" t="s"/>
      <c r="J521" t="n">
        <v>0.9618</v>
      </c>
      <c r="K521" t="n">
        <v>0</v>
      </c>
      <c r="L521" t="n">
        <v>0.505</v>
      </c>
      <c r="M521" t="n">
        <v>0.495</v>
      </c>
    </row>
    <row r="522" spans="1:13">
      <c r="A522" s="1">
        <f>HYPERLINK("http://www.twitter.com/NathanBLawrence/status/1001130859871776769", "1001130859871776769")</f>
        <v/>
      </c>
      <c r="B522" s="2" t="n">
        <v>43248.66633101852</v>
      </c>
      <c r="C522" t="n">
        <v>0</v>
      </c>
      <c r="D522" t="n">
        <v>18</v>
      </c>
      <c r="E522" t="s">
        <v>533</v>
      </c>
      <c r="F522" t="s"/>
      <c r="G522" t="s"/>
      <c r="H522" t="s"/>
      <c r="I522" t="s"/>
      <c r="J522" t="n">
        <v>-0.3182</v>
      </c>
      <c r="K522" t="n">
        <v>0.144</v>
      </c>
      <c r="L522" t="n">
        <v>0.758</v>
      </c>
      <c r="M522" t="n">
        <v>0.097</v>
      </c>
    </row>
    <row r="523" spans="1:13">
      <c r="A523" s="1">
        <f>HYPERLINK("http://www.twitter.com/NathanBLawrence/status/1001130834060042240", "1001130834060042240")</f>
        <v/>
      </c>
      <c r="B523" s="2" t="n">
        <v>43248.66626157407</v>
      </c>
      <c r="C523" t="n">
        <v>0</v>
      </c>
      <c r="D523" t="n">
        <v>423</v>
      </c>
      <c r="E523" t="s">
        <v>534</v>
      </c>
      <c r="F523" t="s"/>
      <c r="G523" t="s"/>
      <c r="H523" t="s"/>
      <c r="I523" t="s"/>
      <c r="J523" t="n">
        <v>0.4199</v>
      </c>
      <c r="K523" t="n">
        <v>0</v>
      </c>
      <c r="L523" t="n">
        <v>0.851</v>
      </c>
      <c r="M523" t="n">
        <v>0.149</v>
      </c>
    </row>
    <row r="524" spans="1:13">
      <c r="A524" s="1">
        <f>HYPERLINK("http://www.twitter.com/NathanBLawrence/status/1001130749809000449", "1001130749809000449")</f>
        <v/>
      </c>
      <c r="B524" s="2" t="n">
        <v>43248.66603009259</v>
      </c>
      <c r="C524" t="n">
        <v>0</v>
      </c>
      <c r="D524" t="n">
        <v>35</v>
      </c>
      <c r="E524" t="s">
        <v>535</v>
      </c>
      <c r="F524">
        <f>HYPERLINK("https://video.twimg.com/ext_tw_video/1001117495250563072/pu/vid/360x640/H-1sATjY8tH63hRU.mp4?tag=3", "https://video.twimg.com/ext_tw_video/1001117495250563072/pu/vid/360x640/H-1sATjY8tH63hRU.mp4?tag=3")</f>
        <v/>
      </c>
      <c r="G524" t="s"/>
      <c r="H524" t="s"/>
      <c r="I524" t="s"/>
      <c r="J524" t="n">
        <v>0</v>
      </c>
      <c r="K524" t="n">
        <v>0</v>
      </c>
      <c r="L524" t="n">
        <v>1</v>
      </c>
      <c r="M524" t="n">
        <v>0</v>
      </c>
    </row>
    <row r="525" spans="1:13">
      <c r="A525" s="1">
        <f>HYPERLINK("http://www.twitter.com/NathanBLawrence/status/1001130673841803264", "1001130673841803264")</f>
        <v/>
      </c>
      <c r="B525" s="2" t="n">
        <v>43248.66582175926</v>
      </c>
      <c r="C525" t="n">
        <v>0</v>
      </c>
      <c r="D525" t="n">
        <v>9</v>
      </c>
      <c r="E525" t="s">
        <v>536</v>
      </c>
      <c r="F525" t="s"/>
      <c r="G525" t="s"/>
      <c r="H525" t="s"/>
      <c r="I525" t="s"/>
      <c r="J525" t="n">
        <v>0</v>
      </c>
      <c r="K525" t="n">
        <v>0</v>
      </c>
      <c r="L525" t="n">
        <v>1</v>
      </c>
      <c r="M525" t="n">
        <v>0</v>
      </c>
    </row>
    <row r="526" spans="1:13">
      <c r="A526" s="1">
        <f>HYPERLINK("http://www.twitter.com/NathanBLawrence/status/1001130549338169344", "1001130549338169344")</f>
        <v/>
      </c>
      <c r="B526" s="2" t="n">
        <v>43248.66547453704</v>
      </c>
      <c r="C526" t="n">
        <v>0</v>
      </c>
      <c r="D526" t="n">
        <v>254</v>
      </c>
      <c r="E526" t="s">
        <v>537</v>
      </c>
      <c r="F526" t="s"/>
      <c r="G526" t="s"/>
      <c r="H526" t="s"/>
      <c r="I526" t="s"/>
      <c r="J526" t="n">
        <v>0.68</v>
      </c>
      <c r="K526" t="n">
        <v>0</v>
      </c>
      <c r="L526" t="n">
        <v>0.773</v>
      </c>
      <c r="M526" t="n">
        <v>0.227</v>
      </c>
    </row>
    <row r="527" spans="1:13">
      <c r="A527" s="1">
        <f>HYPERLINK("http://www.twitter.com/NathanBLawrence/status/1001130516702220288", "1001130516702220288")</f>
        <v/>
      </c>
      <c r="B527" s="2" t="n">
        <v>43248.66538194445</v>
      </c>
      <c r="C527" t="n">
        <v>0</v>
      </c>
      <c r="D527" t="n">
        <v>269</v>
      </c>
      <c r="E527" t="s">
        <v>538</v>
      </c>
      <c r="F527" t="s"/>
      <c r="G527" t="s"/>
      <c r="H527" t="s"/>
      <c r="I527" t="s"/>
      <c r="J527" t="n">
        <v>0.4215</v>
      </c>
      <c r="K527" t="n">
        <v>0.09</v>
      </c>
      <c r="L527" t="n">
        <v>0.752</v>
      </c>
      <c r="M527" t="n">
        <v>0.158</v>
      </c>
    </row>
    <row r="528" spans="1:13">
      <c r="A528" s="1">
        <f>HYPERLINK("http://www.twitter.com/NathanBLawrence/status/1001130448112758784", "1001130448112758784")</f>
        <v/>
      </c>
      <c r="B528" s="2" t="n">
        <v>43248.66519675926</v>
      </c>
      <c r="C528" t="n">
        <v>0</v>
      </c>
      <c r="D528" t="n">
        <v>28</v>
      </c>
      <c r="E528" t="s">
        <v>539</v>
      </c>
      <c r="F528">
        <f>HYPERLINK("http://pbs.twimg.com/media/DeSiAiSUwAAAZUC.jpg", "http://pbs.twimg.com/media/DeSiAiSUwAAAZUC.jpg")</f>
        <v/>
      </c>
      <c r="G528" t="s"/>
      <c r="H528" t="s"/>
      <c r="I528" t="s"/>
      <c r="J528" t="n">
        <v>0</v>
      </c>
      <c r="K528" t="n">
        <v>0</v>
      </c>
      <c r="L528" t="n">
        <v>1</v>
      </c>
      <c r="M528" t="n">
        <v>0</v>
      </c>
    </row>
    <row r="529" spans="1:13">
      <c r="A529" s="1">
        <f>HYPERLINK("http://www.twitter.com/NathanBLawrence/status/1001130368148402176", "1001130368148402176")</f>
        <v/>
      </c>
      <c r="B529" s="2" t="n">
        <v>43248.66497685185</v>
      </c>
      <c r="C529" t="n">
        <v>0</v>
      </c>
      <c r="D529" t="n">
        <v>10</v>
      </c>
      <c r="E529" t="s">
        <v>540</v>
      </c>
      <c r="F529" t="s"/>
      <c r="G529" t="s"/>
      <c r="H529" t="s"/>
      <c r="I529" t="s"/>
      <c r="J529" t="n">
        <v>-0.296</v>
      </c>
      <c r="K529" t="n">
        <v>0.08400000000000001</v>
      </c>
      <c r="L529" t="n">
        <v>0.916</v>
      </c>
      <c r="M529" t="n">
        <v>0</v>
      </c>
    </row>
    <row r="530" spans="1:13">
      <c r="A530" s="1">
        <f>HYPERLINK("http://www.twitter.com/NathanBLawrence/status/1001130259314561026", "1001130259314561026")</f>
        <v/>
      </c>
      <c r="B530" s="2" t="n">
        <v>43248.66467592592</v>
      </c>
      <c r="C530" t="n">
        <v>0</v>
      </c>
      <c r="D530" t="n">
        <v>96</v>
      </c>
      <c r="E530" t="s">
        <v>541</v>
      </c>
      <c r="F530">
        <f>HYPERLINK("http://pbs.twimg.com/media/DeJegpZVQAA0cy1.jpg", "http://pbs.twimg.com/media/DeJegpZVQAA0cy1.jpg")</f>
        <v/>
      </c>
      <c r="G530">
        <f>HYPERLINK("http://pbs.twimg.com/media/DeJehAEVAAAENfa.jpg", "http://pbs.twimg.com/media/DeJehAEVAAAENfa.jpg")</f>
        <v/>
      </c>
      <c r="H530">
        <f>HYPERLINK("http://pbs.twimg.com/media/DeJehXwV4AEn40x.jpg", "http://pbs.twimg.com/media/DeJehXwV4AEn40x.jpg")</f>
        <v/>
      </c>
      <c r="I530">
        <f>HYPERLINK("http://pbs.twimg.com/media/DeJehnEVAAAJctb.jpg", "http://pbs.twimg.com/media/DeJehnEVAAAJctb.jpg")</f>
        <v/>
      </c>
      <c r="J530" t="n">
        <v>0</v>
      </c>
      <c r="K530" t="n">
        <v>0</v>
      </c>
      <c r="L530" t="n">
        <v>1</v>
      </c>
      <c r="M530" t="n">
        <v>0</v>
      </c>
    </row>
    <row r="531" spans="1:13">
      <c r="A531" s="1">
        <f>HYPERLINK("http://www.twitter.com/NathanBLawrence/status/1001130189546455040", "1001130189546455040")</f>
        <v/>
      </c>
      <c r="B531" s="2" t="n">
        <v>43248.66447916667</v>
      </c>
      <c r="C531" t="n">
        <v>0</v>
      </c>
      <c r="D531" t="n">
        <v>903</v>
      </c>
      <c r="E531" t="s">
        <v>542</v>
      </c>
      <c r="F531" t="s"/>
      <c r="G531" t="s"/>
      <c r="H531" t="s"/>
      <c r="I531" t="s"/>
      <c r="J531" t="n">
        <v>-0.8201000000000001</v>
      </c>
      <c r="K531" t="n">
        <v>0.264</v>
      </c>
      <c r="L531" t="n">
        <v>0.736</v>
      </c>
      <c r="M531" t="n">
        <v>0</v>
      </c>
    </row>
    <row r="532" spans="1:13">
      <c r="A532" s="1">
        <f>HYPERLINK("http://www.twitter.com/NathanBLawrence/status/1001118059992637447", "1001118059992637447")</f>
        <v/>
      </c>
      <c r="B532" s="2" t="n">
        <v>43248.63101851852</v>
      </c>
      <c r="C532" t="n">
        <v>0</v>
      </c>
      <c r="D532" t="n">
        <v>736</v>
      </c>
      <c r="E532" t="s">
        <v>543</v>
      </c>
      <c r="F532" t="s"/>
      <c r="G532" t="s"/>
      <c r="H532" t="s"/>
      <c r="I532" t="s"/>
      <c r="J532" t="n">
        <v>0</v>
      </c>
      <c r="K532" t="n">
        <v>0</v>
      </c>
      <c r="L532" t="n">
        <v>1</v>
      </c>
      <c r="M532" t="n">
        <v>0</v>
      </c>
    </row>
    <row r="533" spans="1:13">
      <c r="A533" s="1">
        <f>HYPERLINK("http://www.twitter.com/NathanBLawrence/status/1001117811421347840", "1001117811421347840")</f>
        <v/>
      </c>
      <c r="B533" s="2" t="n">
        <v>43248.63032407407</v>
      </c>
      <c r="C533" t="n">
        <v>0</v>
      </c>
      <c r="D533" t="n">
        <v>579</v>
      </c>
      <c r="E533" t="s">
        <v>544</v>
      </c>
      <c r="F533" t="s"/>
      <c r="G533" t="s"/>
      <c r="H533" t="s"/>
      <c r="I533" t="s"/>
      <c r="J533" t="n">
        <v>0.5859</v>
      </c>
      <c r="K533" t="n">
        <v>0</v>
      </c>
      <c r="L533" t="n">
        <v>0.8169999999999999</v>
      </c>
      <c r="M533" t="n">
        <v>0.183</v>
      </c>
    </row>
    <row r="534" spans="1:13">
      <c r="A534" s="1">
        <f>HYPERLINK("http://www.twitter.com/NathanBLawrence/status/1001112534299103234", "1001112534299103234")</f>
        <v/>
      </c>
      <c r="B534" s="2" t="n">
        <v>43248.61576388889</v>
      </c>
      <c r="C534" t="n">
        <v>0</v>
      </c>
      <c r="D534" t="n">
        <v>0</v>
      </c>
      <c r="E534" t="s">
        <v>545</v>
      </c>
      <c r="F534" t="s"/>
      <c r="G534" t="s"/>
      <c r="H534" t="s"/>
      <c r="I534" t="s"/>
      <c r="J534" t="n">
        <v>0.0516</v>
      </c>
      <c r="K534" t="n">
        <v>0.137</v>
      </c>
      <c r="L534" t="n">
        <v>0.714</v>
      </c>
      <c r="M534" t="n">
        <v>0.149</v>
      </c>
    </row>
    <row r="535" spans="1:13">
      <c r="A535" s="1">
        <f>HYPERLINK("http://www.twitter.com/NathanBLawrence/status/1001111892964859904", "1001111892964859904")</f>
        <v/>
      </c>
      <c r="B535" s="2" t="n">
        <v>43248.61399305556</v>
      </c>
      <c r="C535" t="n">
        <v>1</v>
      </c>
      <c r="D535" t="n">
        <v>0</v>
      </c>
      <c r="E535" t="s">
        <v>546</v>
      </c>
      <c r="F535" t="s"/>
      <c r="G535" t="s"/>
      <c r="H535" t="s"/>
      <c r="I535" t="s"/>
      <c r="J535" t="n">
        <v>0</v>
      </c>
      <c r="K535" t="n">
        <v>0</v>
      </c>
      <c r="L535" t="n">
        <v>1</v>
      </c>
      <c r="M535" t="n">
        <v>0</v>
      </c>
    </row>
    <row r="536" spans="1:13">
      <c r="A536" s="1">
        <f>HYPERLINK("http://www.twitter.com/NathanBLawrence/status/1001111286476886016", "1001111286476886016")</f>
        <v/>
      </c>
      <c r="B536" s="2" t="n">
        <v>43248.61232638889</v>
      </c>
      <c r="C536" t="n">
        <v>1</v>
      </c>
      <c r="D536" t="n">
        <v>0</v>
      </c>
      <c r="E536" t="s">
        <v>547</v>
      </c>
      <c r="F536" t="s"/>
      <c r="G536" t="s"/>
      <c r="H536" t="s"/>
      <c r="I536" t="s"/>
      <c r="J536" t="n">
        <v>0.3612</v>
      </c>
      <c r="K536" t="n">
        <v>0</v>
      </c>
      <c r="L536" t="n">
        <v>0.857</v>
      </c>
      <c r="M536" t="n">
        <v>0.143</v>
      </c>
    </row>
    <row r="537" spans="1:13">
      <c r="A537" s="1">
        <f>HYPERLINK("http://www.twitter.com/NathanBLawrence/status/1001084065548853248", "1001084065548853248")</f>
        <v/>
      </c>
      <c r="B537" s="2" t="n">
        <v>43248.53721064814</v>
      </c>
      <c r="C537" t="n">
        <v>0</v>
      </c>
      <c r="D537" t="n">
        <v>9</v>
      </c>
      <c r="E537" t="s">
        <v>548</v>
      </c>
      <c r="F537" t="s"/>
      <c r="G537" t="s"/>
      <c r="H537" t="s"/>
      <c r="I537" t="s"/>
      <c r="J537" t="n">
        <v>0.4871</v>
      </c>
      <c r="K537" t="n">
        <v>0</v>
      </c>
      <c r="L537" t="n">
        <v>0.771</v>
      </c>
      <c r="M537" t="n">
        <v>0.229</v>
      </c>
    </row>
    <row r="538" spans="1:13">
      <c r="A538" s="1">
        <f>HYPERLINK("http://www.twitter.com/NathanBLawrence/status/1001083893599088640", "1001083893599088640")</f>
        <v/>
      </c>
      <c r="B538" s="2" t="n">
        <v>43248.53673611111</v>
      </c>
      <c r="C538" t="n">
        <v>0</v>
      </c>
      <c r="D538" t="n">
        <v>642</v>
      </c>
      <c r="E538" t="s">
        <v>549</v>
      </c>
      <c r="F538">
        <f>HYPERLINK("http://pbs.twimg.com/media/DeN9rHGUwAA_iOb.jpg", "http://pbs.twimg.com/media/DeN9rHGUwAA_iOb.jpg")</f>
        <v/>
      </c>
      <c r="G538">
        <f>HYPERLINK("http://pbs.twimg.com/media/DeN9rHHVAAA6tf5.jpg", "http://pbs.twimg.com/media/DeN9rHHVAAA6tf5.jpg")</f>
        <v/>
      </c>
      <c r="H538" t="s"/>
      <c r="I538" t="s"/>
      <c r="J538" t="n">
        <v>-0.296</v>
      </c>
      <c r="K538" t="n">
        <v>0.128</v>
      </c>
      <c r="L538" t="n">
        <v>0.872</v>
      </c>
      <c r="M538" t="n">
        <v>0</v>
      </c>
    </row>
    <row r="539" spans="1:13">
      <c r="A539" s="1">
        <f>HYPERLINK("http://www.twitter.com/NathanBLawrence/status/1001083781137293312", "1001083781137293312")</f>
        <v/>
      </c>
      <c r="B539" s="2" t="n">
        <v>43248.53642361111</v>
      </c>
      <c r="C539" t="n">
        <v>0</v>
      </c>
      <c r="D539" t="n">
        <v>5</v>
      </c>
      <c r="E539" t="s">
        <v>550</v>
      </c>
      <c r="F539" t="s"/>
      <c r="G539" t="s"/>
      <c r="H539" t="s"/>
      <c r="I539" t="s"/>
      <c r="J539" t="n">
        <v>-0.5803</v>
      </c>
      <c r="K539" t="n">
        <v>0.181</v>
      </c>
      <c r="L539" t="n">
        <v>0.819</v>
      </c>
      <c r="M539" t="n">
        <v>0</v>
      </c>
    </row>
    <row r="540" spans="1:13">
      <c r="A540" s="1">
        <f>HYPERLINK("http://www.twitter.com/NathanBLawrence/status/1001083727953453058", "1001083727953453058")</f>
        <v/>
      </c>
      <c r="B540" s="2" t="n">
        <v>43248.53627314815</v>
      </c>
      <c r="C540" t="n">
        <v>0</v>
      </c>
      <c r="D540" t="n">
        <v>177</v>
      </c>
      <c r="E540" t="s">
        <v>551</v>
      </c>
      <c r="F540" t="s"/>
      <c r="G540" t="s"/>
      <c r="H540" t="s"/>
      <c r="I540" t="s"/>
      <c r="J540" t="n">
        <v>-0.7508</v>
      </c>
      <c r="K540" t="n">
        <v>0.35</v>
      </c>
      <c r="L540" t="n">
        <v>0.551</v>
      </c>
      <c r="M540" t="n">
        <v>0.098</v>
      </c>
    </row>
    <row r="541" spans="1:13">
      <c r="A541" s="1">
        <f>HYPERLINK("http://www.twitter.com/NathanBLawrence/status/1001083598701776897", "1001083598701776897")</f>
        <v/>
      </c>
      <c r="B541" s="2" t="n">
        <v>43248.53591435185</v>
      </c>
      <c r="C541" t="n">
        <v>0</v>
      </c>
      <c r="D541" t="n">
        <v>11</v>
      </c>
      <c r="E541" t="s">
        <v>552</v>
      </c>
      <c r="F541" t="s"/>
      <c r="G541" t="s"/>
      <c r="H541" t="s"/>
      <c r="I541" t="s"/>
      <c r="J541" t="n">
        <v>-0.1655</v>
      </c>
      <c r="K541" t="n">
        <v>0.078</v>
      </c>
      <c r="L541" t="n">
        <v>0.871</v>
      </c>
      <c r="M541" t="n">
        <v>0.05</v>
      </c>
    </row>
    <row r="542" spans="1:13">
      <c r="A542" s="1">
        <f>HYPERLINK("http://www.twitter.com/NathanBLawrence/status/1001083360066883584", "1001083360066883584")</f>
        <v/>
      </c>
      <c r="B542" s="2" t="n">
        <v>43248.53525462963</v>
      </c>
      <c r="C542" t="n">
        <v>0</v>
      </c>
      <c r="D542" t="n">
        <v>0</v>
      </c>
      <c r="E542" t="s">
        <v>553</v>
      </c>
      <c r="F542" t="s"/>
      <c r="G542" t="s"/>
      <c r="H542" t="s"/>
      <c r="I542" t="s"/>
      <c r="J542" t="n">
        <v>-0.6696</v>
      </c>
      <c r="K542" t="n">
        <v>0.6</v>
      </c>
      <c r="L542" t="n">
        <v>0.4</v>
      </c>
      <c r="M542" t="n">
        <v>0</v>
      </c>
    </row>
    <row r="543" spans="1:13">
      <c r="A543" s="1">
        <f>HYPERLINK("http://www.twitter.com/NathanBLawrence/status/1001083163140087810", "1001083163140087810")</f>
        <v/>
      </c>
      <c r="B543" s="2" t="n">
        <v>43248.53471064815</v>
      </c>
      <c r="C543" t="n">
        <v>0</v>
      </c>
      <c r="D543" t="n">
        <v>2527</v>
      </c>
      <c r="E543" t="s">
        <v>554</v>
      </c>
      <c r="F543" t="s"/>
      <c r="G543" t="s"/>
      <c r="H543" t="s"/>
      <c r="I543" t="s"/>
      <c r="J543" t="n">
        <v>0</v>
      </c>
      <c r="K543" t="n">
        <v>0</v>
      </c>
      <c r="L543" t="n">
        <v>1</v>
      </c>
      <c r="M543" t="n">
        <v>0</v>
      </c>
    </row>
    <row r="544" spans="1:13">
      <c r="A544" s="1">
        <f>HYPERLINK("http://www.twitter.com/NathanBLawrence/status/1001083098958827520", "1001083098958827520")</f>
        <v/>
      </c>
      <c r="B544" s="2" t="n">
        <v>43248.53453703703</v>
      </c>
      <c r="C544" t="n">
        <v>0</v>
      </c>
      <c r="D544" t="n">
        <v>12607</v>
      </c>
      <c r="E544" t="s">
        <v>555</v>
      </c>
      <c r="F544" t="s"/>
      <c r="G544" t="s"/>
      <c r="H544" t="s"/>
      <c r="I544" t="s"/>
      <c r="J544" t="n">
        <v>-0.8658</v>
      </c>
      <c r="K544" t="n">
        <v>0.327</v>
      </c>
      <c r="L544" t="n">
        <v>0.673</v>
      </c>
      <c r="M544" t="n">
        <v>0</v>
      </c>
    </row>
    <row r="545" spans="1:13">
      <c r="A545" s="1">
        <f>HYPERLINK("http://www.twitter.com/NathanBLawrence/status/1001082914363400192", "1001082914363400192")</f>
        <v/>
      </c>
      <c r="B545" s="2" t="n">
        <v>43248.53402777778</v>
      </c>
      <c r="C545" t="n">
        <v>0</v>
      </c>
      <c r="D545" t="n">
        <v>14678</v>
      </c>
      <c r="E545" t="s">
        <v>556</v>
      </c>
      <c r="F545" t="s"/>
      <c r="G545" t="s"/>
      <c r="H545" t="s"/>
      <c r="I545" t="s"/>
      <c r="J545" t="n">
        <v>0</v>
      </c>
      <c r="K545" t="n">
        <v>0</v>
      </c>
      <c r="L545" t="n">
        <v>1</v>
      </c>
      <c r="M545" t="n">
        <v>0</v>
      </c>
    </row>
    <row r="546" spans="1:13">
      <c r="A546" s="1">
        <f>HYPERLINK("http://www.twitter.com/NathanBLawrence/status/1001081913778548736", "1001081913778548736")</f>
        <v/>
      </c>
      <c r="B546" s="2" t="n">
        <v>43248.53127314815</v>
      </c>
      <c r="C546" t="n">
        <v>0</v>
      </c>
      <c r="D546" t="n">
        <v>10</v>
      </c>
      <c r="E546" t="s">
        <v>557</v>
      </c>
      <c r="F546" t="s"/>
      <c r="G546" t="s"/>
      <c r="H546" t="s"/>
      <c r="I546" t="s"/>
      <c r="J546" t="n">
        <v>0.3818</v>
      </c>
      <c r="K546" t="n">
        <v>0</v>
      </c>
      <c r="L546" t="n">
        <v>0.906</v>
      </c>
      <c r="M546" t="n">
        <v>0.094</v>
      </c>
    </row>
    <row r="547" spans="1:13">
      <c r="A547" s="1">
        <f>HYPERLINK("http://www.twitter.com/NathanBLawrence/status/1001081860372484096", "1001081860372484096")</f>
        <v/>
      </c>
      <c r="B547" s="2" t="n">
        <v>43248.53112268518</v>
      </c>
      <c r="C547" t="n">
        <v>0</v>
      </c>
      <c r="D547" t="n">
        <v>15</v>
      </c>
      <c r="E547" t="s">
        <v>558</v>
      </c>
      <c r="F547">
        <f>HYPERLINK("http://pbs.twimg.com/media/DeQvyY_W0AEe9q1.jpg", "http://pbs.twimg.com/media/DeQvyY_W0AEe9q1.jpg")</f>
        <v/>
      </c>
      <c r="G547" t="s"/>
      <c r="H547" t="s"/>
      <c r="I547" t="s"/>
      <c r="J547" t="n">
        <v>0.0772</v>
      </c>
      <c r="K547" t="n">
        <v>0</v>
      </c>
      <c r="L547" t="n">
        <v>0.9360000000000001</v>
      </c>
      <c r="M547" t="n">
        <v>0.064</v>
      </c>
    </row>
    <row r="548" spans="1:13">
      <c r="A548" s="1">
        <f>HYPERLINK("http://www.twitter.com/NathanBLawrence/status/1001081788335316992", "1001081788335316992")</f>
        <v/>
      </c>
      <c r="B548" s="2" t="n">
        <v>43248.53092592592</v>
      </c>
      <c r="C548" t="n">
        <v>0</v>
      </c>
      <c r="D548" t="n">
        <v>76</v>
      </c>
      <c r="E548" t="s">
        <v>559</v>
      </c>
      <c r="F548">
        <f>HYPERLINK("http://pbs.twimg.com/media/DeSIiRnV0AA12-o.jpg", "http://pbs.twimg.com/media/DeSIiRnV0AA12-o.jpg")</f>
        <v/>
      </c>
      <c r="G548" t="s"/>
      <c r="H548" t="s"/>
      <c r="I548" t="s"/>
      <c r="J548" t="n">
        <v>0</v>
      </c>
      <c r="K548" t="n">
        <v>0</v>
      </c>
      <c r="L548" t="n">
        <v>1</v>
      </c>
      <c r="M548" t="n">
        <v>0</v>
      </c>
    </row>
    <row r="549" spans="1:13">
      <c r="A549" s="1">
        <f>HYPERLINK("http://www.twitter.com/NathanBLawrence/status/1001081740138631176", "1001081740138631176")</f>
        <v/>
      </c>
      <c r="B549" s="2" t="n">
        <v>43248.53078703704</v>
      </c>
      <c r="C549" t="n">
        <v>0</v>
      </c>
      <c r="D549" t="n">
        <v>3762</v>
      </c>
      <c r="E549" t="s">
        <v>560</v>
      </c>
      <c r="F549">
        <f>HYPERLINK("https://video.twimg.com/amplify_video/1001055489038274565/vid/1280x720/wCstBPrrBZBUtbi_.mp4?tag=2", "https://video.twimg.com/amplify_video/1001055489038274565/vid/1280x720/wCstBPrrBZBUtbi_.mp4?tag=2")</f>
        <v/>
      </c>
      <c r="G549" t="s"/>
      <c r="H549" t="s"/>
      <c r="I549" t="s"/>
      <c r="J549" t="n">
        <v>-0.4019</v>
      </c>
      <c r="K549" t="n">
        <v>0.182</v>
      </c>
      <c r="L549" t="n">
        <v>0.716</v>
      </c>
      <c r="M549" t="n">
        <v>0.101</v>
      </c>
    </row>
    <row r="550" spans="1:13">
      <c r="A550" s="1">
        <f>HYPERLINK("http://www.twitter.com/NathanBLawrence/status/1001080886572482560", "1001080886572482560")</f>
        <v/>
      </c>
      <c r="B550" s="2" t="n">
        <v>43248.5284375</v>
      </c>
      <c r="C550" t="n">
        <v>0</v>
      </c>
      <c r="D550" t="n">
        <v>0</v>
      </c>
      <c r="E550" t="s">
        <v>561</v>
      </c>
      <c r="F550" t="s"/>
      <c r="G550" t="s"/>
      <c r="H550" t="s"/>
      <c r="I550" t="s"/>
      <c r="J550" t="n">
        <v>-0.6801</v>
      </c>
      <c r="K550" t="n">
        <v>0.318</v>
      </c>
      <c r="L550" t="n">
        <v>0.6820000000000001</v>
      </c>
      <c r="M550" t="n">
        <v>0</v>
      </c>
    </row>
    <row r="551" spans="1:13">
      <c r="A551" s="1">
        <f>HYPERLINK("http://www.twitter.com/NathanBLawrence/status/1000935723380494336", "1000935723380494336")</f>
        <v/>
      </c>
      <c r="B551" s="2" t="n">
        <v>43248.1278587963</v>
      </c>
      <c r="C551" t="n">
        <v>0</v>
      </c>
      <c r="D551" t="n">
        <v>5</v>
      </c>
      <c r="E551" t="s">
        <v>562</v>
      </c>
      <c r="F551" t="s"/>
      <c r="G551" t="s"/>
      <c r="H551" t="s"/>
      <c r="I551" t="s"/>
      <c r="J551" t="n">
        <v>0.6597</v>
      </c>
      <c r="K551" t="n">
        <v>0</v>
      </c>
      <c r="L551" t="n">
        <v>0.795</v>
      </c>
      <c r="M551" t="n">
        <v>0.205</v>
      </c>
    </row>
    <row r="552" spans="1:13">
      <c r="A552" s="1">
        <f>HYPERLINK("http://www.twitter.com/NathanBLawrence/status/1000926083426942978", "1000926083426942978")</f>
        <v/>
      </c>
      <c r="B552" s="2" t="n">
        <v>43248.10126157408</v>
      </c>
      <c r="C552" t="n">
        <v>0</v>
      </c>
      <c r="D552" t="n">
        <v>652</v>
      </c>
      <c r="E552" t="s">
        <v>563</v>
      </c>
      <c r="F552" t="s"/>
      <c r="G552" t="s"/>
      <c r="H552" t="s"/>
      <c r="I552" t="s"/>
      <c r="J552" t="n">
        <v>0.4767</v>
      </c>
      <c r="K552" t="n">
        <v>0.115</v>
      </c>
      <c r="L552" t="n">
        <v>0.662</v>
      </c>
      <c r="M552" t="n">
        <v>0.223</v>
      </c>
    </row>
    <row r="553" spans="1:13">
      <c r="A553" s="1">
        <f>HYPERLINK("http://www.twitter.com/NathanBLawrence/status/1000925719998976001", "1000925719998976001")</f>
        <v/>
      </c>
      <c r="B553" s="2" t="n">
        <v>43248.10025462963</v>
      </c>
      <c r="C553" t="n">
        <v>0</v>
      </c>
      <c r="D553" t="n">
        <v>3</v>
      </c>
      <c r="E553" t="s">
        <v>564</v>
      </c>
      <c r="F553" t="s"/>
      <c r="G553" t="s"/>
      <c r="H553" t="s"/>
      <c r="I553" t="s"/>
      <c r="J553" t="n">
        <v>-0.5266999999999999</v>
      </c>
      <c r="K553" t="n">
        <v>0.175</v>
      </c>
      <c r="L553" t="n">
        <v>0.825</v>
      </c>
      <c r="M553" t="n">
        <v>0</v>
      </c>
    </row>
    <row r="554" spans="1:13">
      <c r="A554" s="1">
        <f>HYPERLINK("http://www.twitter.com/NathanBLawrence/status/1000925612901654529", "1000925612901654529")</f>
        <v/>
      </c>
      <c r="B554" s="2" t="n">
        <v>43248.09996527778</v>
      </c>
      <c r="C554" t="n">
        <v>0</v>
      </c>
      <c r="D554" t="n">
        <v>133</v>
      </c>
      <c r="E554" t="s">
        <v>565</v>
      </c>
      <c r="F554" t="s"/>
      <c r="G554" t="s"/>
      <c r="H554" t="s"/>
      <c r="I554" t="s"/>
      <c r="J554" t="n">
        <v>0</v>
      </c>
      <c r="K554" t="n">
        <v>0</v>
      </c>
      <c r="L554" t="n">
        <v>1</v>
      </c>
      <c r="M554" t="n">
        <v>0</v>
      </c>
    </row>
    <row r="555" spans="1:13">
      <c r="A555" s="1">
        <f>HYPERLINK("http://www.twitter.com/NathanBLawrence/status/1000925568815288321", "1000925568815288321")</f>
        <v/>
      </c>
      <c r="B555" s="2" t="n">
        <v>43248.09983796296</v>
      </c>
      <c r="C555" t="n">
        <v>0</v>
      </c>
      <c r="D555" t="n">
        <v>949</v>
      </c>
      <c r="E555" t="s">
        <v>566</v>
      </c>
      <c r="F555" t="s"/>
      <c r="G555" t="s"/>
      <c r="H555" t="s"/>
      <c r="I555" t="s"/>
      <c r="J555" t="n">
        <v>0</v>
      </c>
      <c r="K555" t="n">
        <v>0</v>
      </c>
      <c r="L555" t="n">
        <v>1</v>
      </c>
      <c r="M555" t="n">
        <v>0</v>
      </c>
    </row>
    <row r="556" spans="1:13">
      <c r="A556" s="1">
        <f>HYPERLINK("http://www.twitter.com/NathanBLawrence/status/1000925524800229377", "1000925524800229377")</f>
        <v/>
      </c>
      <c r="B556" s="2" t="n">
        <v>43248.09972222222</v>
      </c>
      <c r="C556" t="n">
        <v>0</v>
      </c>
      <c r="D556" t="n">
        <v>166</v>
      </c>
      <c r="E556" t="s">
        <v>567</v>
      </c>
      <c r="F556" t="s"/>
      <c r="G556" t="s"/>
      <c r="H556" t="s"/>
      <c r="I556" t="s"/>
      <c r="J556" t="n">
        <v>0.4215</v>
      </c>
      <c r="K556" t="n">
        <v>0</v>
      </c>
      <c r="L556" t="n">
        <v>0.84</v>
      </c>
      <c r="M556" t="n">
        <v>0.16</v>
      </c>
    </row>
    <row r="557" spans="1:13">
      <c r="A557" s="1">
        <f>HYPERLINK("http://www.twitter.com/NathanBLawrence/status/1000925449969655809", "1000925449969655809")</f>
        <v/>
      </c>
      <c r="B557" s="2" t="n">
        <v>43248.09951388889</v>
      </c>
      <c r="C557" t="n">
        <v>0</v>
      </c>
      <c r="D557" t="n">
        <v>79</v>
      </c>
      <c r="E557" t="s">
        <v>568</v>
      </c>
      <c r="F557">
        <f>HYPERLINK("http://pbs.twimg.com/media/DeC5YikXkAAi289.jpg", "http://pbs.twimg.com/media/DeC5YikXkAAi289.jpg")</f>
        <v/>
      </c>
      <c r="G557" t="s"/>
      <c r="H557" t="s"/>
      <c r="I557" t="s"/>
      <c r="J557" t="n">
        <v>0.5413</v>
      </c>
      <c r="K557" t="n">
        <v>0.08500000000000001</v>
      </c>
      <c r="L557" t="n">
        <v>0.695</v>
      </c>
      <c r="M557" t="n">
        <v>0.22</v>
      </c>
    </row>
    <row r="558" spans="1:13">
      <c r="A558" s="1">
        <f>HYPERLINK("http://www.twitter.com/NathanBLawrence/status/1000925415643500545", "1000925415643500545")</f>
        <v/>
      </c>
      <c r="B558" s="2" t="n">
        <v>43248.0994212963</v>
      </c>
      <c r="C558" t="n">
        <v>0</v>
      </c>
      <c r="D558" t="n">
        <v>148</v>
      </c>
      <c r="E558" t="s">
        <v>569</v>
      </c>
      <c r="F558">
        <f>HYPERLINK("http://pbs.twimg.com/media/DeDAGZSW0AAZSl3.jpg", "http://pbs.twimg.com/media/DeDAGZSW0AAZSl3.jpg")</f>
        <v/>
      </c>
      <c r="G558" t="s"/>
      <c r="H558" t="s"/>
      <c r="I558" t="s"/>
      <c r="J558" t="n">
        <v>0.7568</v>
      </c>
      <c r="K558" t="n">
        <v>0</v>
      </c>
      <c r="L558" t="n">
        <v>0.667</v>
      </c>
      <c r="M558" t="n">
        <v>0.333</v>
      </c>
    </row>
    <row r="559" spans="1:13">
      <c r="A559" s="1">
        <f>HYPERLINK("http://www.twitter.com/NathanBLawrence/status/1000925243333062656", "1000925243333062656")</f>
        <v/>
      </c>
      <c r="B559" s="2" t="n">
        <v>43248.09893518518</v>
      </c>
      <c r="C559" t="n">
        <v>0</v>
      </c>
      <c r="D559" t="n">
        <v>1314</v>
      </c>
      <c r="E559" t="s">
        <v>570</v>
      </c>
      <c r="F559" t="s"/>
      <c r="G559" t="s"/>
      <c r="H559" t="s"/>
      <c r="I559" t="s"/>
      <c r="J559" t="n">
        <v>0.4404</v>
      </c>
      <c r="K559" t="n">
        <v>0</v>
      </c>
      <c r="L559" t="n">
        <v>0.896</v>
      </c>
      <c r="M559" t="n">
        <v>0.104</v>
      </c>
    </row>
    <row r="560" spans="1:13">
      <c r="A560" s="1">
        <f>HYPERLINK("http://www.twitter.com/NathanBLawrence/status/1000925107919958017", "1000925107919958017")</f>
        <v/>
      </c>
      <c r="B560" s="2" t="n">
        <v>43248.09856481481</v>
      </c>
      <c r="C560" t="n">
        <v>0</v>
      </c>
      <c r="D560" t="n">
        <v>507</v>
      </c>
      <c r="E560" t="s">
        <v>571</v>
      </c>
      <c r="F560" t="s"/>
      <c r="G560" t="s"/>
      <c r="H560" t="s"/>
      <c r="I560" t="s"/>
      <c r="J560" t="n">
        <v>0.3612</v>
      </c>
      <c r="K560" t="n">
        <v>0</v>
      </c>
      <c r="L560" t="n">
        <v>0.762</v>
      </c>
      <c r="M560" t="n">
        <v>0.238</v>
      </c>
    </row>
    <row r="561" spans="1:13">
      <c r="A561" s="1">
        <f>HYPERLINK("http://www.twitter.com/NathanBLawrence/status/1000925081449717765", "1000925081449717765")</f>
        <v/>
      </c>
      <c r="B561" s="2" t="n">
        <v>43248.09849537037</v>
      </c>
      <c r="C561" t="n">
        <v>0</v>
      </c>
      <c r="D561" t="n">
        <v>3470</v>
      </c>
      <c r="E561" t="s">
        <v>572</v>
      </c>
      <c r="F561" t="s"/>
      <c r="G561" t="s"/>
      <c r="H561" t="s"/>
      <c r="I561" t="s"/>
      <c r="J561" t="n">
        <v>0.7644</v>
      </c>
      <c r="K561" t="n">
        <v>0</v>
      </c>
      <c r="L561" t="n">
        <v>0.752</v>
      </c>
      <c r="M561" t="n">
        <v>0.248</v>
      </c>
    </row>
    <row r="562" spans="1:13">
      <c r="A562" s="1">
        <f>HYPERLINK("http://www.twitter.com/NathanBLawrence/status/1000925051389083648", "1000925051389083648")</f>
        <v/>
      </c>
      <c r="B562" s="2" t="n">
        <v>43248.09841435185</v>
      </c>
      <c r="C562" t="n">
        <v>0</v>
      </c>
      <c r="D562" t="n">
        <v>272</v>
      </c>
      <c r="E562" t="s">
        <v>573</v>
      </c>
      <c r="F562" t="s"/>
      <c r="G562" t="s"/>
      <c r="H562" t="s"/>
      <c r="I562" t="s"/>
      <c r="J562" t="n">
        <v>0.4404</v>
      </c>
      <c r="K562" t="n">
        <v>0</v>
      </c>
      <c r="L562" t="n">
        <v>0.854</v>
      </c>
      <c r="M562" t="n">
        <v>0.146</v>
      </c>
    </row>
    <row r="563" spans="1:13">
      <c r="A563" s="1">
        <f>HYPERLINK("http://www.twitter.com/NathanBLawrence/status/1000924973102522368", "1000924973102522368")</f>
        <v/>
      </c>
      <c r="B563" s="2" t="n">
        <v>43248.09819444444</v>
      </c>
      <c r="C563" t="n">
        <v>0</v>
      </c>
      <c r="D563" t="n">
        <v>1606</v>
      </c>
      <c r="E563" t="s">
        <v>574</v>
      </c>
      <c r="F563" t="s"/>
      <c r="G563" t="s"/>
      <c r="H563" t="s"/>
      <c r="I563" t="s"/>
      <c r="J563" t="n">
        <v>0</v>
      </c>
      <c r="K563" t="n">
        <v>0.08</v>
      </c>
      <c r="L563" t="n">
        <v>0.803</v>
      </c>
      <c r="M563" t="n">
        <v>0.117</v>
      </c>
    </row>
    <row r="564" spans="1:13">
      <c r="A564" s="1">
        <f>HYPERLINK("http://www.twitter.com/NathanBLawrence/status/1000924916101865472", "1000924916101865472")</f>
        <v/>
      </c>
      <c r="B564" s="2" t="n">
        <v>43248.0980324074</v>
      </c>
      <c r="C564" t="n">
        <v>0</v>
      </c>
      <c r="D564" t="n">
        <v>1505</v>
      </c>
      <c r="E564" t="s">
        <v>575</v>
      </c>
      <c r="F564" t="s"/>
      <c r="G564" t="s"/>
      <c r="H564" t="s"/>
      <c r="I564" t="s"/>
      <c r="J564" t="n">
        <v>-0.6486</v>
      </c>
      <c r="K564" t="n">
        <v>0.17</v>
      </c>
      <c r="L564" t="n">
        <v>0.83</v>
      </c>
      <c r="M564" t="n">
        <v>0</v>
      </c>
    </row>
    <row r="565" spans="1:13">
      <c r="A565" s="1">
        <f>HYPERLINK("http://www.twitter.com/NathanBLawrence/status/1000924808903905280", "1000924808903905280")</f>
        <v/>
      </c>
      <c r="B565" s="2" t="n">
        <v>43248.09774305556</v>
      </c>
      <c r="C565" t="n">
        <v>0</v>
      </c>
      <c r="D565" t="n">
        <v>1315</v>
      </c>
      <c r="E565" t="s">
        <v>576</v>
      </c>
      <c r="F565" t="s"/>
      <c r="G565" t="s"/>
      <c r="H565" t="s"/>
      <c r="I565" t="s"/>
      <c r="J565" t="n">
        <v>0.6486</v>
      </c>
      <c r="K565" t="n">
        <v>0</v>
      </c>
      <c r="L565" t="n">
        <v>0.782</v>
      </c>
      <c r="M565" t="n">
        <v>0.218</v>
      </c>
    </row>
    <row r="566" spans="1:13">
      <c r="A566" s="1">
        <f>HYPERLINK("http://www.twitter.com/NathanBLawrence/status/1000924769414537221", "1000924769414537221")</f>
        <v/>
      </c>
      <c r="B566" s="2" t="n">
        <v>43248.09762731481</v>
      </c>
      <c r="C566" t="n">
        <v>0</v>
      </c>
      <c r="D566" t="n">
        <v>1141</v>
      </c>
      <c r="E566" t="s">
        <v>577</v>
      </c>
      <c r="F566" t="s"/>
      <c r="G566" t="s"/>
      <c r="H566" t="s"/>
      <c r="I566" t="s"/>
      <c r="J566" t="n">
        <v>0.8442</v>
      </c>
      <c r="K566" t="n">
        <v>0</v>
      </c>
      <c r="L566" t="n">
        <v>0.6870000000000001</v>
      </c>
      <c r="M566" t="n">
        <v>0.313</v>
      </c>
    </row>
    <row r="567" spans="1:13">
      <c r="A567" s="1">
        <f>HYPERLINK("http://www.twitter.com/NathanBLawrence/status/1000924737521045506", "1000924737521045506")</f>
        <v/>
      </c>
      <c r="B567" s="2" t="n">
        <v>43248.0975462963</v>
      </c>
      <c r="C567" t="n">
        <v>0</v>
      </c>
      <c r="D567" t="n">
        <v>154</v>
      </c>
      <c r="E567" t="s">
        <v>578</v>
      </c>
      <c r="F567" t="s"/>
      <c r="G567" t="s"/>
      <c r="H567" t="s"/>
      <c r="I567" t="s"/>
      <c r="J567" t="n">
        <v>0</v>
      </c>
      <c r="K567" t="n">
        <v>0</v>
      </c>
      <c r="L567" t="n">
        <v>1</v>
      </c>
      <c r="M567" t="n">
        <v>0</v>
      </c>
    </row>
    <row r="568" spans="1:13">
      <c r="A568" s="1">
        <f>HYPERLINK("http://www.twitter.com/NathanBLawrence/status/1000924646135549952", "1000924646135549952")</f>
        <v/>
      </c>
      <c r="B568" s="2" t="n">
        <v>43248.09729166667</v>
      </c>
      <c r="C568" t="n">
        <v>0</v>
      </c>
      <c r="D568" t="n">
        <v>7</v>
      </c>
      <c r="E568" t="s">
        <v>579</v>
      </c>
      <c r="F568" t="s"/>
      <c r="G568" t="s"/>
      <c r="H568" t="s"/>
      <c r="I568" t="s"/>
      <c r="J568" t="n">
        <v>0</v>
      </c>
      <c r="K568" t="n">
        <v>0</v>
      </c>
      <c r="L568" t="n">
        <v>1</v>
      </c>
      <c r="M568" t="n">
        <v>0</v>
      </c>
    </row>
    <row r="569" spans="1:13">
      <c r="A569" s="1">
        <f>HYPERLINK("http://www.twitter.com/NathanBLawrence/status/1000924066386251776", "1000924066386251776")</f>
        <v/>
      </c>
      <c r="B569" s="2" t="n">
        <v>43248.09569444445</v>
      </c>
      <c r="C569" t="n">
        <v>0</v>
      </c>
      <c r="D569" t="n">
        <v>35</v>
      </c>
      <c r="E569" t="s">
        <v>580</v>
      </c>
      <c r="F569" t="s"/>
      <c r="G569" t="s"/>
      <c r="H569" t="s"/>
      <c r="I569" t="s"/>
      <c r="J569" t="n">
        <v>0.6369</v>
      </c>
      <c r="K569" t="n">
        <v>0</v>
      </c>
      <c r="L569" t="n">
        <v>0.84</v>
      </c>
      <c r="M569" t="n">
        <v>0.16</v>
      </c>
    </row>
    <row r="570" spans="1:13">
      <c r="A570" s="1">
        <f>HYPERLINK("http://www.twitter.com/NathanBLawrence/status/1000923853483372544", "1000923853483372544")</f>
        <v/>
      </c>
      <c r="B570" s="2" t="n">
        <v>43248.09510416666</v>
      </c>
      <c r="C570" t="n">
        <v>0</v>
      </c>
      <c r="D570" t="n">
        <v>12</v>
      </c>
      <c r="E570" t="s">
        <v>581</v>
      </c>
      <c r="F570" t="s"/>
      <c r="G570" t="s"/>
      <c r="H570" t="s"/>
      <c r="I570" t="s"/>
      <c r="J570" t="n">
        <v>-0.296</v>
      </c>
      <c r="K570" t="n">
        <v>0.136</v>
      </c>
      <c r="L570" t="n">
        <v>0.864</v>
      </c>
      <c r="M570" t="n">
        <v>0</v>
      </c>
    </row>
    <row r="571" spans="1:13">
      <c r="A571" s="1">
        <f>HYPERLINK("http://www.twitter.com/NathanBLawrence/status/1000923824337096704", "1000923824337096704")</f>
        <v/>
      </c>
      <c r="B571" s="2" t="n">
        <v>43248.09502314815</v>
      </c>
      <c r="C571" t="n">
        <v>0</v>
      </c>
      <c r="D571" t="n">
        <v>5192</v>
      </c>
      <c r="E571" t="s">
        <v>582</v>
      </c>
      <c r="F571" t="s"/>
      <c r="G571" t="s"/>
      <c r="H571" t="s"/>
      <c r="I571" t="s"/>
      <c r="J571" t="n">
        <v>0</v>
      </c>
      <c r="K571" t="n">
        <v>0</v>
      </c>
      <c r="L571" t="n">
        <v>1</v>
      </c>
      <c r="M571" t="n">
        <v>0</v>
      </c>
    </row>
    <row r="572" spans="1:13">
      <c r="A572" s="1">
        <f>HYPERLINK("http://www.twitter.com/NathanBLawrence/status/1000922588976242689", "1000922588976242689")</f>
        <v/>
      </c>
      <c r="B572" s="2" t="n">
        <v>43248.09162037037</v>
      </c>
      <c r="C572" t="n">
        <v>0</v>
      </c>
      <c r="D572" t="n">
        <v>0</v>
      </c>
      <c r="E572" t="s">
        <v>583</v>
      </c>
      <c r="F572" t="s"/>
      <c r="G572" t="s"/>
      <c r="H572" t="s"/>
      <c r="I572" t="s"/>
      <c r="J572" t="n">
        <v>0</v>
      </c>
      <c r="K572" t="n">
        <v>0</v>
      </c>
      <c r="L572" t="n">
        <v>1</v>
      </c>
      <c r="M572" t="n">
        <v>0</v>
      </c>
    </row>
    <row r="573" spans="1:13">
      <c r="A573" s="1">
        <f>HYPERLINK("http://www.twitter.com/NathanBLawrence/status/1000921902892929024", "1000921902892929024")</f>
        <v/>
      </c>
      <c r="B573" s="2" t="n">
        <v>43248.08972222222</v>
      </c>
      <c r="C573" t="n">
        <v>0</v>
      </c>
      <c r="D573" t="n">
        <v>0</v>
      </c>
      <c r="E573" t="s">
        <v>584</v>
      </c>
      <c r="F573" t="s"/>
      <c r="G573" t="s"/>
      <c r="H573" t="s"/>
      <c r="I573" t="s"/>
      <c r="J573" t="n">
        <v>0.1027</v>
      </c>
      <c r="K573" t="n">
        <v>0.203</v>
      </c>
      <c r="L573" t="n">
        <v>0.625</v>
      </c>
      <c r="M573" t="n">
        <v>0.172</v>
      </c>
    </row>
    <row r="574" spans="1:13">
      <c r="A574" s="1">
        <f>HYPERLINK("http://www.twitter.com/NathanBLawrence/status/1000917516133326848", "1000917516133326848")</f>
        <v/>
      </c>
      <c r="B574" s="2" t="n">
        <v>43248.07761574074</v>
      </c>
      <c r="C574" t="n">
        <v>0</v>
      </c>
      <c r="D574" t="n">
        <v>0</v>
      </c>
      <c r="E574" t="s">
        <v>585</v>
      </c>
      <c r="F574" t="s"/>
      <c r="G574" t="s"/>
      <c r="H574" t="s"/>
      <c r="I574" t="s"/>
      <c r="J574" t="n">
        <v>-0.25</v>
      </c>
      <c r="K574" t="n">
        <v>0.139</v>
      </c>
      <c r="L574" t="n">
        <v>0.778</v>
      </c>
      <c r="M574" t="n">
        <v>0.083</v>
      </c>
    </row>
    <row r="575" spans="1:13">
      <c r="A575" s="1">
        <f>HYPERLINK("http://www.twitter.com/NathanBLawrence/status/1000916241677209600", "1000916241677209600")</f>
        <v/>
      </c>
      <c r="B575" s="2" t="n">
        <v>43248.07409722222</v>
      </c>
      <c r="C575" t="n">
        <v>0</v>
      </c>
      <c r="D575" t="n">
        <v>67</v>
      </c>
      <c r="E575" t="s">
        <v>586</v>
      </c>
      <c r="F575">
        <f>HYPERLINK("http://pbs.twimg.com/media/DeNhZ14UwAAjRnr.jpg", "http://pbs.twimg.com/media/DeNhZ14UwAAjRnr.jpg")</f>
        <v/>
      </c>
      <c r="G575" t="s"/>
      <c r="H575" t="s"/>
      <c r="I575" t="s"/>
      <c r="J575" t="n">
        <v>0.0258</v>
      </c>
      <c r="K575" t="n">
        <v>0</v>
      </c>
      <c r="L575" t="n">
        <v>0.945</v>
      </c>
      <c r="M575" t="n">
        <v>0.055</v>
      </c>
    </row>
    <row r="576" spans="1:13">
      <c r="A576" s="1">
        <f>HYPERLINK("http://www.twitter.com/NathanBLawrence/status/1000916211012718592", "1000916211012718592")</f>
        <v/>
      </c>
      <c r="B576" s="2" t="n">
        <v>43248.0740162037</v>
      </c>
      <c r="C576" t="n">
        <v>0</v>
      </c>
      <c r="D576" t="n">
        <v>24</v>
      </c>
      <c r="E576" t="s">
        <v>587</v>
      </c>
      <c r="F576" t="s"/>
      <c r="G576" t="s"/>
      <c r="H576" t="s"/>
      <c r="I576" t="s"/>
      <c r="J576" t="n">
        <v>-0.34</v>
      </c>
      <c r="K576" t="n">
        <v>0.112</v>
      </c>
      <c r="L576" t="n">
        <v>0.888</v>
      </c>
      <c r="M576" t="n">
        <v>0</v>
      </c>
    </row>
    <row r="577" spans="1:13">
      <c r="A577" s="1">
        <f>HYPERLINK("http://www.twitter.com/NathanBLawrence/status/1000916164783067141", "1000916164783067141")</f>
        <v/>
      </c>
      <c r="B577" s="2" t="n">
        <v>43248.07388888889</v>
      </c>
      <c r="C577" t="n">
        <v>0</v>
      </c>
      <c r="D577" t="n">
        <v>19</v>
      </c>
      <c r="E577" t="s">
        <v>588</v>
      </c>
      <c r="F577">
        <f>HYPERLINK("http://pbs.twimg.com/media/DePYgDFVQAArOpR.jpg", "http://pbs.twimg.com/media/DePYgDFVQAArOpR.jpg")</f>
        <v/>
      </c>
      <c r="G577" t="s"/>
      <c r="H577" t="s"/>
      <c r="I577" t="s"/>
      <c r="J577" t="n">
        <v>0.296</v>
      </c>
      <c r="K577" t="n">
        <v>0</v>
      </c>
      <c r="L577" t="n">
        <v>0.905</v>
      </c>
      <c r="M577" t="n">
        <v>0.095</v>
      </c>
    </row>
    <row r="578" spans="1:13">
      <c r="A578" s="1">
        <f>HYPERLINK("http://www.twitter.com/NathanBLawrence/status/1000916105056149504", "1000916105056149504")</f>
        <v/>
      </c>
      <c r="B578" s="2" t="n">
        <v>43248.07372685185</v>
      </c>
      <c r="C578" t="n">
        <v>0</v>
      </c>
      <c r="D578" t="n">
        <v>28</v>
      </c>
      <c r="E578" t="s">
        <v>589</v>
      </c>
      <c r="F578">
        <f>HYPERLINK("http://pbs.twimg.com/media/DePSxRcVwAAxqN5.jpg", "http://pbs.twimg.com/media/DePSxRcVwAAxqN5.jpg")</f>
        <v/>
      </c>
      <c r="G578" t="s"/>
      <c r="H578" t="s"/>
      <c r="I578" t="s"/>
      <c r="J578" t="n">
        <v>-0</v>
      </c>
      <c r="K578" t="n">
        <v>0.128</v>
      </c>
      <c r="L578" t="n">
        <v>0.709</v>
      </c>
      <c r="M578" t="n">
        <v>0.163</v>
      </c>
    </row>
    <row r="579" spans="1:13">
      <c r="A579" s="1">
        <f>HYPERLINK("http://www.twitter.com/NathanBLawrence/status/1000915766840037376", "1000915766840037376")</f>
        <v/>
      </c>
      <c r="B579" s="2" t="n">
        <v>43248.07278935185</v>
      </c>
      <c r="C579" t="n">
        <v>0</v>
      </c>
      <c r="D579" t="n">
        <v>319</v>
      </c>
      <c r="E579" t="s">
        <v>590</v>
      </c>
      <c r="F579">
        <f>HYPERLINK("http://pbs.twimg.com/media/DeN_X95V4AASMHc.jpg", "http://pbs.twimg.com/media/DeN_X95V4AASMHc.jpg")</f>
        <v/>
      </c>
      <c r="G579" t="s"/>
      <c r="H579" t="s"/>
      <c r="I579" t="s"/>
      <c r="J579" t="n">
        <v>0.4881</v>
      </c>
      <c r="K579" t="n">
        <v>0</v>
      </c>
      <c r="L579" t="n">
        <v>0.783</v>
      </c>
      <c r="M579" t="n">
        <v>0.217</v>
      </c>
    </row>
    <row r="580" spans="1:13">
      <c r="A580" s="1">
        <f>HYPERLINK("http://www.twitter.com/NathanBLawrence/status/1000915739254181888", "1000915739254181888")</f>
        <v/>
      </c>
      <c r="B580" s="2" t="n">
        <v>43248.07271990741</v>
      </c>
      <c r="C580" t="n">
        <v>0</v>
      </c>
      <c r="D580" t="n">
        <v>1139</v>
      </c>
      <c r="E580" t="s">
        <v>591</v>
      </c>
      <c r="F580">
        <f>HYPERLINK("https://video.twimg.com/ext_tw_video/1000700587506257921/pu/vid/720x1280/Z0ai0LkG_LiAD5rC.mp4?tag=3", "https://video.twimg.com/ext_tw_video/1000700587506257921/pu/vid/720x1280/Z0ai0LkG_LiAD5rC.mp4?tag=3")</f>
        <v/>
      </c>
      <c r="G580" t="s"/>
      <c r="H580" t="s"/>
      <c r="I580" t="s"/>
      <c r="J580" t="n">
        <v>0.6329</v>
      </c>
      <c r="K580" t="n">
        <v>0</v>
      </c>
      <c r="L580" t="n">
        <v>0.803</v>
      </c>
      <c r="M580" t="n">
        <v>0.197</v>
      </c>
    </row>
    <row r="581" spans="1:13">
      <c r="A581" s="1">
        <f>HYPERLINK("http://www.twitter.com/NathanBLawrence/status/1000915714709049345", "1000915714709049345")</f>
        <v/>
      </c>
      <c r="B581" s="2" t="n">
        <v>43248.07265046296</v>
      </c>
      <c r="C581" t="n">
        <v>0</v>
      </c>
      <c r="D581" t="n">
        <v>2915</v>
      </c>
      <c r="E581" t="s">
        <v>592</v>
      </c>
      <c r="F581">
        <f>HYPERLINK("https://video.twimg.com/amplify_video/999991466226151425/vid/1280x720/Kimes3BNgoSY5tcZ.mp4?tag=2", "https://video.twimg.com/amplify_video/999991466226151425/vid/1280x720/Kimes3BNgoSY5tcZ.mp4?tag=2")</f>
        <v/>
      </c>
      <c r="G581" t="s"/>
      <c r="H581" t="s"/>
      <c r="I581" t="s"/>
      <c r="J581" t="n">
        <v>-0.1027</v>
      </c>
      <c r="K581" t="n">
        <v>0.154</v>
      </c>
      <c r="L581" t="n">
        <v>0.748</v>
      </c>
      <c r="M581" t="n">
        <v>0.098</v>
      </c>
    </row>
    <row r="582" spans="1:13">
      <c r="A582" s="1">
        <f>HYPERLINK("http://www.twitter.com/NathanBLawrence/status/1000915691975913472", "1000915691975913472")</f>
        <v/>
      </c>
      <c r="B582" s="2" t="n">
        <v>43248.07258101852</v>
      </c>
      <c r="C582" t="n">
        <v>0</v>
      </c>
      <c r="D582" t="n">
        <v>308</v>
      </c>
      <c r="E582" t="s">
        <v>593</v>
      </c>
      <c r="F582">
        <f>HYPERLINK("http://pbs.twimg.com/media/DeOHX1JXkAAL0ia.jpg", "http://pbs.twimg.com/media/DeOHX1JXkAAL0ia.jpg")</f>
        <v/>
      </c>
      <c r="G582" t="s"/>
      <c r="H582" t="s"/>
      <c r="I582" t="s"/>
      <c r="J582" t="n">
        <v>0.3612</v>
      </c>
      <c r="K582" t="n">
        <v>0</v>
      </c>
      <c r="L582" t="n">
        <v>0.889</v>
      </c>
      <c r="M582" t="n">
        <v>0.111</v>
      </c>
    </row>
    <row r="583" spans="1:13">
      <c r="A583" s="1">
        <f>HYPERLINK("http://www.twitter.com/NathanBLawrence/status/1000915207080808448", "1000915207080808448")</f>
        <v/>
      </c>
      <c r="B583" s="2" t="n">
        <v>43248.07125</v>
      </c>
      <c r="C583" t="n">
        <v>0</v>
      </c>
      <c r="D583" t="n">
        <v>6</v>
      </c>
      <c r="E583" t="s">
        <v>594</v>
      </c>
      <c r="F583" t="s"/>
      <c r="G583" t="s"/>
      <c r="H583" t="s"/>
      <c r="I583" t="s"/>
      <c r="J583" t="n">
        <v>0</v>
      </c>
      <c r="K583" t="n">
        <v>0</v>
      </c>
      <c r="L583" t="n">
        <v>1</v>
      </c>
      <c r="M583" t="n">
        <v>0</v>
      </c>
    </row>
    <row r="584" spans="1:13">
      <c r="A584" s="1">
        <f>HYPERLINK("http://www.twitter.com/NathanBLawrence/status/1000915160935161857", "1000915160935161857")</f>
        <v/>
      </c>
      <c r="B584" s="2" t="n">
        <v>43248.07112268519</v>
      </c>
      <c r="C584" t="n">
        <v>0</v>
      </c>
      <c r="D584" t="n">
        <v>160</v>
      </c>
      <c r="E584" t="s">
        <v>595</v>
      </c>
      <c r="F584" t="s"/>
      <c r="G584" t="s"/>
      <c r="H584" t="s"/>
      <c r="I584" t="s"/>
      <c r="J584" t="n">
        <v>0</v>
      </c>
      <c r="K584" t="n">
        <v>0</v>
      </c>
      <c r="L584" t="n">
        <v>1</v>
      </c>
      <c r="M584" t="n">
        <v>0</v>
      </c>
    </row>
    <row r="585" spans="1:13">
      <c r="A585" s="1">
        <f>HYPERLINK("http://www.twitter.com/NathanBLawrence/status/1000915130287353856", "1000915130287353856")</f>
        <v/>
      </c>
      <c r="B585" s="2" t="n">
        <v>43248.07103009259</v>
      </c>
      <c r="C585" t="n">
        <v>0</v>
      </c>
      <c r="D585" t="n">
        <v>277</v>
      </c>
      <c r="E585" t="s">
        <v>596</v>
      </c>
      <c r="F585">
        <f>HYPERLINK("https://video.twimg.com/amplify_video/1000841693392982017/vid/1280x720/8KARcTfEhPo00_8Y.mp4?tag=2", "https://video.twimg.com/amplify_video/1000841693392982017/vid/1280x720/8KARcTfEhPo00_8Y.mp4?tag=2")</f>
        <v/>
      </c>
      <c r="G585" t="s"/>
      <c r="H585" t="s"/>
      <c r="I585" t="s"/>
      <c r="J585" t="n">
        <v>0.4939</v>
      </c>
      <c r="K585" t="n">
        <v>0.068</v>
      </c>
      <c r="L585" t="n">
        <v>0.788</v>
      </c>
      <c r="M585" t="n">
        <v>0.144</v>
      </c>
    </row>
    <row r="586" spans="1:13">
      <c r="A586" s="1">
        <f>HYPERLINK("http://www.twitter.com/NathanBLawrence/status/1000914982740086784", "1000914982740086784")</f>
        <v/>
      </c>
      <c r="B586" s="2" t="n">
        <v>43248.070625</v>
      </c>
      <c r="C586" t="n">
        <v>0</v>
      </c>
      <c r="D586" t="n">
        <v>1267</v>
      </c>
      <c r="E586" t="s">
        <v>597</v>
      </c>
      <c r="F586">
        <f>HYPERLINK("http://pbs.twimg.com/media/DeNe23oW0AAL6YX.jpg", "http://pbs.twimg.com/media/DeNe23oW0AAL6YX.jpg")</f>
        <v/>
      </c>
      <c r="G586" t="s"/>
      <c r="H586" t="s"/>
      <c r="I586" t="s"/>
      <c r="J586" t="n">
        <v>0.636</v>
      </c>
      <c r="K586" t="n">
        <v>0</v>
      </c>
      <c r="L586" t="n">
        <v>0.776</v>
      </c>
      <c r="M586" t="n">
        <v>0.224</v>
      </c>
    </row>
    <row r="587" spans="1:13">
      <c r="A587" s="1">
        <f>HYPERLINK("http://www.twitter.com/NathanBLawrence/status/1000914874875174912", "1000914874875174912")</f>
        <v/>
      </c>
      <c r="B587" s="2" t="n">
        <v>43248.07032407408</v>
      </c>
      <c r="C587" t="n">
        <v>0</v>
      </c>
      <c r="D587" t="n">
        <v>57</v>
      </c>
      <c r="E587" t="s">
        <v>598</v>
      </c>
      <c r="F587">
        <f>HYPERLINK("http://pbs.twimg.com/media/DeJgMc6UwAIbEgQ.jpg", "http://pbs.twimg.com/media/DeJgMc6UwAIbEgQ.jpg")</f>
        <v/>
      </c>
      <c r="G587" t="s"/>
      <c r="H587" t="s"/>
      <c r="I587" t="s"/>
      <c r="J587" t="n">
        <v>-0.6908</v>
      </c>
      <c r="K587" t="n">
        <v>0.206</v>
      </c>
      <c r="L587" t="n">
        <v>0.794</v>
      </c>
      <c r="M587" t="n">
        <v>0</v>
      </c>
    </row>
    <row r="588" spans="1:13">
      <c r="A588" s="1">
        <f>HYPERLINK("http://www.twitter.com/NathanBLawrence/status/1000908547570401280", "1000908547570401280")</f>
        <v/>
      </c>
      <c r="B588" s="2" t="n">
        <v>43248.05287037037</v>
      </c>
      <c r="C588" t="n">
        <v>0</v>
      </c>
      <c r="D588" t="n">
        <v>0</v>
      </c>
      <c r="E588" t="s">
        <v>599</v>
      </c>
      <c r="F588" t="s"/>
      <c r="G588" t="s"/>
      <c r="H588" t="s"/>
      <c r="I588" t="s"/>
      <c r="J588" t="n">
        <v>0.4215</v>
      </c>
      <c r="K588" t="n">
        <v>0.04</v>
      </c>
      <c r="L588" t="n">
        <v>0.859</v>
      </c>
      <c r="M588" t="n">
        <v>0.101</v>
      </c>
    </row>
    <row r="589" spans="1:13">
      <c r="A589" s="1">
        <f>HYPERLINK("http://www.twitter.com/NathanBLawrence/status/1000907528585216001", "1000907528585216001")</f>
        <v/>
      </c>
      <c r="B589" s="2" t="n">
        <v>43248.05005787037</v>
      </c>
      <c r="C589" t="n">
        <v>0</v>
      </c>
      <c r="D589" t="n">
        <v>30</v>
      </c>
      <c r="E589" t="s">
        <v>600</v>
      </c>
      <c r="F589" t="s"/>
      <c r="G589" t="s"/>
      <c r="H589" t="s"/>
      <c r="I589" t="s"/>
      <c r="J589" t="n">
        <v>-0.4939</v>
      </c>
      <c r="K589" t="n">
        <v>0.154</v>
      </c>
      <c r="L589" t="n">
        <v>0.846</v>
      </c>
      <c r="M589" t="n">
        <v>0</v>
      </c>
    </row>
    <row r="590" spans="1:13">
      <c r="A590" s="1">
        <f>HYPERLINK("http://www.twitter.com/NathanBLawrence/status/1000907419432701952", "1000907419432701952")</f>
        <v/>
      </c>
      <c r="B590" s="2" t="n">
        <v>43248.04975694444</v>
      </c>
      <c r="C590" t="n">
        <v>0</v>
      </c>
      <c r="D590" t="n">
        <v>144</v>
      </c>
      <c r="E590" t="s">
        <v>601</v>
      </c>
      <c r="F590" t="s"/>
      <c r="G590" t="s"/>
      <c r="H590" t="s"/>
      <c r="I590" t="s"/>
      <c r="J590" t="n">
        <v>-0.875</v>
      </c>
      <c r="K590" t="n">
        <v>0.345</v>
      </c>
      <c r="L590" t="n">
        <v>0.655</v>
      </c>
      <c r="M590" t="n">
        <v>0</v>
      </c>
    </row>
    <row r="591" spans="1:13">
      <c r="A591" s="1">
        <f>HYPERLINK("http://www.twitter.com/NathanBLawrence/status/1000907366957756416", "1000907366957756416")</f>
        <v/>
      </c>
      <c r="B591" s="2" t="n">
        <v>43248.04960648148</v>
      </c>
      <c r="C591" t="n">
        <v>0</v>
      </c>
      <c r="D591" t="n">
        <v>1454</v>
      </c>
      <c r="E591" t="s">
        <v>602</v>
      </c>
      <c r="F591" t="s"/>
      <c r="G591" t="s"/>
      <c r="H591" t="s"/>
      <c r="I591" t="s"/>
      <c r="J591" t="n">
        <v>0.5106000000000001</v>
      </c>
      <c r="K591" t="n">
        <v>0</v>
      </c>
      <c r="L591" t="n">
        <v>0.858</v>
      </c>
      <c r="M591" t="n">
        <v>0.142</v>
      </c>
    </row>
    <row r="592" spans="1:13">
      <c r="A592" s="1">
        <f>HYPERLINK("http://www.twitter.com/NathanBLawrence/status/1000907332488966144", "1000907332488966144")</f>
        <v/>
      </c>
      <c r="B592" s="2" t="n">
        <v>43248.04951388889</v>
      </c>
      <c r="C592" t="n">
        <v>0</v>
      </c>
      <c r="D592" t="n">
        <v>4</v>
      </c>
      <c r="E592" t="s">
        <v>603</v>
      </c>
      <c r="F592" t="s"/>
      <c r="G592" t="s"/>
      <c r="H592" t="s"/>
      <c r="I592" t="s"/>
      <c r="J592" t="n">
        <v>0</v>
      </c>
      <c r="K592" t="n">
        <v>0</v>
      </c>
      <c r="L592" t="n">
        <v>1</v>
      </c>
      <c r="M592" t="n">
        <v>0</v>
      </c>
    </row>
    <row r="593" spans="1:13">
      <c r="A593" s="1">
        <f>HYPERLINK("http://www.twitter.com/NathanBLawrence/status/1000906903210418181", "1000906903210418181")</f>
        <v/>
      </c>
      <c r="B593" s="2" t="n">
        <v>43248.04833333333</v>
      </c>
      <c r="C593" t="n">
        <v>0</v>
      </c>
      <c r="D593" t="n">
        <v>9</v>
      </c>
      <c r="E593" t="s">
        <v>604</v>
      </c>
      <c r="F593" t="s"/>
      <c r="G593" t="s"/>
      <c r="H593" t="s"/>
      <c r="I593" t="s"/>
      <c r="J593" t="n">
        <v>0</v>
      </c>
      <c r="K593" t="n">
        <v>0</v>
      </c>
      <c r="L593" t="n">
        <v>1</v>
      </c>
      <c r="M593" t="n">
        <v>0</v>
      </c>
    </row>
    <row r="594" spans="1:13">
      <c r="A594" s="1">
        <f>HYPERLINK("http://www.twitter.com/NathanBLawrence/status/1000906858218090496", "1000906858218090496")</f>
        <v/>
      </c>
      <c r="B594" s="2" t="n">
        <v>43248.04820601852</v>
      </c>
      <c r="C594" t="n">
        <v>0</v>
      </c>
      <c r="D594" t="n">
        <v>72</v>
      </c>
      <c r="E594" t="s">
        <v>605</v>
      </c>
      <c r="F594" t="s"/>
      <c r="G594" t="s"/>
      <c r="H594" t="s"/>
      <c r="I594" t="s"/>
      <c r="J594" t="n">
        <v>0</v>
      </c>
      <c r="K594" t="n">
        <v>0</v>
      </c>
      <c r="L594" t="n">
        <v>1</v>
      </c>
      <c r="M594" t="n">
        <v>0</v>
      </c>
    </row>
    <row r="595" spans="1:13">
      <c r="A595" s="1">
        <f>HYPERLINK("http://www.twitter.com/NathanBLawrence/status/1000906831340982272", "1000906831340982272")</f>
        <v/>
      </c>
      <c r="B595" s="2" t="n">
        <v>43248.04813657407</v>
      </c>
      <c r="C595" t="n">
        <v>0</v>
      </c>
      <c r="D595" t="n">
        <v>39</v>
      </c>
      <c r="E595" t="s">
        <v>606</v>
      </c>
      <c r="F595" t="s"/>
      <c r="G595" t="s"/>
      <c r="H595" t="s"/>
      <c r="I595" t="s"/>
      <c r="J595" t="n">
        <v>-0.5574</v>
      </c>
      <c r="K595" t="n">
        <v>0.271</v>
      </c>
      <c r="L595" t="n">
        <v>0.519</v>
      </c>
      <c r="M595" t="n">
        <v>0.21</v>
      </c>
    </row>
    <row r="596" spans="1:13">
      <c r="A596" s="1">
        <f>HYPERLINK("http://www.twitter.com/NathanBLawrence/status/1000906622343041026", "1000906622343041026")</f>
        <v/>
      </c>
      <c r="B596" s="2" t="n">
        <v>43248.04755787037</v>
      </c>
      <c r="C596" t="n">
        <v>0</v>
      </c>
      <c r="D596" t="n">
        <v>47</v>
      </c>
      <c r="E596" t="s">
        <v>607</v>
      </c>
      <c r="F596" t="s"/>
      <c r="G596" t="s"/>
      <c r="H596" t="s"/>
      <c r="I596" t="s"/>
      <c r="J596" t="n">
        <v>0.4215</v>
      </c>
      <c r="K596" t="n">
        <v>0</v>
      </c>
      <c r="L596" t="n">
        <v>0.858</v>
      </c>
      <c r="M596" t="n">
        <v>0.142</v>
      </c>
    </row>
    <row r="597" spans="1:13">
      <c r="A597" s="1">
        <f>HYPERLINK("http://www.twitter.com/NathanBLawrence/status/1000906582316662784", "1000906582316662784")</f>
        <v/>
      </c>
      <c r="B597" s="2" t="n">
        <v>43248.04744212963</v>
      </c>
      <c r="C597" t="n">
        <v>0</v>
      </c>
      <c r="D597" t="n">
        <v>116</v>
      </c>
      <c r="E597" t="s">
        <v>608</v>
      </c>
      <c r="F597" t="s"/>
      <c r="G597" t="s"/>
      <c r="H597" t="s"/>
      <c r="I597" t="s"/>
      <c r="J597" t="n">
        <v>0.6597</v>
      </c>
      <c r="K597" t="n">
        <v>0.108</v>
      </c>
      <c r="L597" t="n">
        <v>0.635</v>
      </c>
      <c r="M597" t="n">
        <v>0.257</v>
      </c>
    </row>
    <row r="598" spans="1:13">
      <c r="A598" s="1">
        <f>HYPERLINK("http://www.twitter.com/NathanBLawrence/status/1000906507502915584", "1000906507502915584")</f>
        <v/>
      </c>
      <c r="B598" s="2" t="n">
        <v>43248.04723379629</v>
      </c>
      <c r="C598" t="n">
        <v>0</v>
      </c>
      <c r="D598" t="n">
        <v>9</v>
      </c>
      <c r="E598" t="s">
        <v>609</v>
      </c>
      <c r="F598" t="s"/>
      <c r="G598" t="s"/>
      <c r="H598" t="s"/>
      <c r="I598" t="s"/>
      <c r="J598" t="n">
        <v>0</v>
      </c>
      <c r="K598" t="n">
        <v>0</v>
      </c>
      <c r="L598" t="n">
        <v>1</v>
      </c>
      <c r="M598" t="n">
        <v>0</v>
      </c>
    </row>
    <row r="599" spans="1:13">
      <c r="A599" s="1">
        <f>HYPERLINK("http://www.twitter.com/NathanBLawrence/status/1000906231303884800", "1000906231303884800")</f>
        <v/>
      </c>
      <c r="B599" s="2" t="n">
        <v>43248.04648148148</v>
      </c>
      <c r="C599" t="n">
        <v>0</v>
      </c>
      <c r="D599" t="n">
        <v>5839</v>
      </c>
      <c r="E599" t="s">
        <v>610</v>
      </c>
      <c r="F599">
        <f>HYPERLINK("http://pbs.twimg.com/media/DePBjiUXUAArTY-.jpg", "http://pbs.twimg.com/media/DePBjiUXUAArTY-.jpg")</f>
        <v/>
      </c>
      <c r="G599" t="s"/>
      <c r="H599" t="s"/>
      <c r="I599" t="s"/>
      <c r="J599" t="n">
        <v>-0.2144</v>
      </c>
      <c r="K599" t="n">
        <v>0.08500000000000001</v>
      </c>
      <c r="L599" t="n">
        <v>0.915</v>
      </c>
      <c r="M599" t="n">
        <v>0</v>
      </c>
    </row>
    <row r="600" spans="1:13">
      <c r="A600" s="1">
        <f>HYPERLINK("http://www.twitter.com/NathanBLawrence/status/1000906133509373952", "1000906133509373952")</f>
        <v/>
      </c>
      <c r="B600" s="2" t="n">
        <v>43248.04620370371</v>
      </c>
      <c r="C600" t="n">
        <v>0</v>
      </c>
      <c r="D600" t="n">
        <v>61</v>
      </c>
      <c r="E600" t="s">
        <v>611</v>
      </c>
      <c r="F600" t="s"/>
      <c r="G600" t="s"/>
      <c r="H600" t="s"/>
      <c r="I600" t="s"/>
      <c r="J600" t="n">
        <v>-0.4039</v>
      </c>
      <c r="K600" t="n">
        <v>0.209</v>
      </c>
      <c r="L600" t="n">
        <v>0.6840000000000001</v>
      </c>
      <c r="M600" t="n">
        <v>0.106</v>
      </c>
    </row>
    <row r="601" spans="1:13">
      <c r="A601" s="1">
        <f>HYPERLINK("http://www.twitter.com/NathanBLawrence/status/1000905980375457792", "1000905980375457792")</f>
        <v/>
      </c>
      <c r="B601" s="2" t="n">
        <v>43248.04578703704</v>
      </c>
      <c r="C601" t="n">
        <v>0</v>
      </c>
      <c r="D601" t="n">
        <v>1221</v>
      </c>
      <c r="E601" t="s">
        <v>612</v>
      </c>
      <c r="F601" t="s"/>
      <c r="G601" t="s"/>
      <c r="H601" t="s"/>
      <c r="I601" t="s"/>
      <c r="J601" t="n">
        <v>0.4019</v>
      </c>
      <c r="K601" t="n">
        <v>0</v>
      </c>
      <c r="L601" t="n">
        <v>0.881</v>
      </c>
      <c r="M601" t="n">
        <v>0.119</v>
      </c>
    </row>
    <row r="602" spans="1:13">
      <c r="A602" s="1">
        <f>HYPERLINK("http://www.twitter.com/NathanBLawrence/status/1000905853023719424", "1000905853023719424")</f>
        <v/>
      </c>
      <c r="B602" s="2" t="n">
        <v>43248.04542824074</v>
      </c>
      <c r="C602" t="n">
        <v>0</v>
      </c>
      <c r="D602" t="n">
        <v>265</v>
      </c>
      <c r="E602" t="s">
        <v>613</v>
      </c>
      <c r="F602" t="s"/>
      <c r="G602" t="s"/>
      <c r="H602" t="s"/>
      <c r="I602" t="s"/>
      <c r="J602" t="n">
        <v>-0.3818</v>
      </c>
      <c r="K602" t="n">
        <v>0.115</v>
      </c>
      <c r="L602" t="n">
        <v>0.827</v>
      </c>
      <c r="M602" t="n">
        <v>0.058</v>
      </c>
    </row>
    <row r="603" spans="1:13">
      <c r="A603" s="1">
        <f>HYPERLINK("http://www.twitter.com/NathanBLawrence/status/1000905435933790215", "1000905435933790215")</f>
        <v/>
      </c>
      <c r="B603" s="2" t="n">
        <v>43248.04428240741</v>
      </c>
      <c r="C603" t="n">
        <v>0</v>
      </c>
      <c r="D603" t="n">
        <v>171</v>
      </c>
      <c r="E603" t="s">
        <v>614</v>
      </c>
      <c r="F603" t="s"/>
      <c r="G603" t="s"/>
      <c r="H603" t="s"/>
      <c r="I603" t="s"/>
      <c r="J603" t="n">
        <v>0.6369</v>
      </c>
      <c r="K603" t="n">
        <v>0</v>
      </c>
      <c r="L603" t="n">
        <v>0.833</v>
      </c>
      <c r="M603" t="n">
        <v>0.167</v>
      </c>
    </row>
    <row r="604" spans="1:13">
      <c r="A604" s="1">
        <f>HYPERLINK("http://www.twitter.com/NathanBLawrence/status/1000905361409396736", "1000905361409396736")</f>
        <v/>
      </c>
      <c r="B604" s="2" t="n">
        <v>43248.04407407407</v>
      </c>
      <c r="C604" t="n">
        <v>0</v>
      </c>
      <c r="D604" t="n">
        <v>423</v>
      </c>
      <c r="E604" t="s">
        <v>615</v>
      </c>
      <c r="F604">
        <f>HYPERLINK("http://pbs.twimg.com/media/DePLToYVwAIBBhV.jpg", "http://pbs.twimg.com/media/DePLToYVwAIBBhV.jpg")</f>
        <v/>
      </c>
      <c r="G604" t="s"/>
      <c r="H604" t="s"/>
      <c r="I604" t="s"/>
      <c r="J604" t="n">
        <v>0</v>
      </c>
      <c r="K604" t="n">
        <v>0</v>
      </c>
      <c r="L604" t="n">
        <v>1</v>
      </c>
      <c r="M604" t="n">
        <v>0</v>
      </c>
    </row>
    <row r="605" spans="1:13">
      <c r="A605" s="1">
        <f>HYPERLINK("http://www.twitter.com/NathanBLawrence/status/1000905327620055040", "1000905327620055040")</f>
        <v/>
      </c>
      <c r="B605" s="2" t="n">
        <v>43248.04398148148</v>
      </c>
      <c r="C605" t="n">
        <v>0</v>
      </c>
      <c r="D605" t="n">
        <v>938</v>
      </c>
      <c r="E605" t="s">
        <v>616</v>
      </c>
      <c r="F605" t="s"/>
      <c r="G605" t="s"/>
      <c r="H605" t="s"/>
      <c r="I605" t="s"/>
      <c r="J605" t="n">
        <v>0.1027</v>
      </c>
      <c r="K605" t="n">
        <v>0</v>
      </c>
      <c r="L605" t="n">
        <v>0.9350000000000001</v>
      </c>
      <c r="M605" t="n">
        <v>0.065</v>
      </c>
    </row>
    <row r="606" spans="1:13">
      <c r="A606" s="1">
        <f>HYPERLINK("http://www.twitter.com/NathanBLawrence/status/1000905273530376193", "1000905273530376193")</f>
        <v/>
      </c>
      <c r="B606" s="2" t="n">
        <v>43248.04383101852</v>
      </c>
      <c r="C606" t="n">
        <v>0</v>
      </c>
      <c r="D606" t="n">
        <v>174</v>
      </c>
      <c r="E606" t="s">
        <v>617</v>
      </c>
      <c r="F606" t="s"/>
      <c r="G606" t="s"/>
      <c r="H606" t="s"/>
      <c r="I606" t="s"/>
      <c r="J606" t="n">
        <v>-0.4404</v>
      </c>
      <c r="K606" t="n">
        <v>0.127</v>
      </c>
      <c r="L606" t="n">
        <v>0.873</v>
      </c>
      <c r="M606" t="n">
        <v>0</v>
      </c>
    </row>
    <row r="607" spans="1:13">
      <c r="A607" s="1">
        <f>HYPERLINK("http://www.twitter.com/NathanBLawrence/status/1000905210515148801", "1000905210515148801")</f>
        <v/>
      </c>
      <c r="B607" s="2" t="n">
        <v>43248.0436574074</v>
      </c>
      <c r="C607" t="n">
        <v>0</v>
      </c>
      <c r="D607" t="n">
        <v>974</v>
      </c>
      <c r="E607" t="s">
        <v>618</v>
      </c>
      <c r="F607">
        <f>HYPERLINK("http://pbs.twimg.com/media/DeOf2sNWsAINoY3.jpg", "http://pbs.twimg.com/media/DeOf2sNWsAINoY3.jpg")</f>
        <v/>
      </c>
      <c r="G607">
        <f>HYPERLINK("http://pbs.twimg.com/media/DeOf2sGWAAEz3xr.jpg", "http://pbs.twimg.com/media/DeOf2sGWAAEz3xr.jpg")</f>
        <v/>
      </c>
      <c r="H607">
        <f>HYPERLINK("http://pbs.twimg.com/media/DeOf2sIXcAAHMd_.jpg", "http://pbs.twimg.com/media/DeOf2sIXcAAHMd_.jpg")</f>
        <v/>
      </c>
      <c r="I607">
        <f>HYPERLINK("http://pbs.twimg.com/media/DeOf2s7W4AEuTfp.jpg", "http://pbs.twimg.com/media/DeOf2s7W4AEuTfp.jpg")</f>
        <v/>
      </c>
      <c r="J607" t="n">
        <v>0.7906</v>
      </c>
      <c r="K607" t="n">
        <v>0</v>
      </c>
      <c r="L607" t="n">
        <v>0.759</v>
      </c>
      <c r="M607" t="n">
        <v>0.241</v>
      </c>
    </row>
    <row r="608" spans="1:13">
      <c r="A608" s="1">
        <f>HYPERLINK("http://www.twitter.com/NathanBLawrence/status/1000905148334592001", "1000905148334592001")</f>
        <v/>
      </c>
      <c r="B608" s="2" t="n">
        <v>43248.0434837963</v>
      </c>
      <c r="C608" t="n">
        <v>0</v>
      </c>
      <c r="D608" t="n">
        <v>118</v>
      </c>
      <c r="E608" t="s">
        <v>619</v>
      </c>
      <c r="F608" t="s"/>
      <c r="G608" t="s"/>
      <c r="H608" t="s"/>
      <c r="I608" t="s"/>
      <c r="J608" t="n">
        <v>-0.25</v>
      </c>
      <c r="K608" t="n">
        <v>0.188</v>
      </c>
      <c r="L608" t="n">
        <v>0.8120000000000001</v>
      </c>
      <c r="M608" t="n">
        <v>0</v>
      </c>
    </row>
    <row r="609" spans="1:13">
      <c r="A609" s="1">
        <f>HYPERLINK("http://www.twitter.com/NathanBLawrence/status/1000905082366513152", "1000905082366513152")</f>
        <v/>
      </c>
      <c r="B609" s="2" t="n">
        <v>43248.04331018519</v>
      </c>
      <c r="C609" t="n">
        <v>0</v>
      </c>
      <c r="D609" t="n">
        <v>25</v>
      </c>
      <c r="E609" t="s">
        <v>620</v>
      </c>
      <c r="F609" t="s"/>
      <c r="G609" t="s"/>
      <c r="H609" t="s"/>
      <c r="I609" t="s"/>
      <c r="J609" t="n">
        <v>0</v>
      </c>
      <c r="K609" t="n">
        <v>0</v>
      </c>
      <c r="L609" t="n">
        <v>1</v>
      </c>
      <c r="M609" t="n">
        <v>0</v>
      </c>
    </row>
    <row r="610" spans="1:13">
      <c r="A610" s="1">
        <f>HYPERLINK("http://www.twitter.com/NathanBLawrence/status/1000905041090314240", "1000905041090314240")</f>
        <v/>
      </c>
      <c r="B610" s="2" t="n">
        <v>43248.04319444444</v>
      </c>
      <c r="C610" t="n">
        <v>0</v>
      </c>
      <c r="D610" t="n">
        <v>760</v>
      </c>
      <c r="E610" t="s">
        <v>621</v>
      </c>
      <c r="F610">
        <f>HYPERLINK("https://video.twimg.com/ext_tw_video/1000779894949863428/pu/vid/1280x720/kZiPZ3i-um0i5TtD.mp4?tag=3", "https://video.twimg.com/ext_tw_video/1000779894949863428/pu/vid/1280x720/kZiPZ3i-um0i5TtD.mp4?tag=3")</f>
        <v/>
      </c>
      <c r="G610" t="s"/>
      <c r="H610" t="s"/>
      <c r="I610" t="s"/>
      <c r="J610" t="n">
        <v>0.1779</v>
      </c>
      <c r="K610" t="n">
        <v>0.094</v>
      </c>
      <c r="L610" t="n">
        <v>0.784</v>
      </c>
      <c r="M610" t="n">
        <v>0.122</v>
      </c>
    </row>
    <row r="611" spans="1:13">
      <c r="A611" s="1">
        <f>HYPERLINK("http://www.twitter.com/NathanBLawrence/status/1000904948861857792", "1000904948861857792")</f>
        <v/>
      </c>
      <c r="B611" s="2" t="n">
        <v>43248.04293981481</v>
      </c>
      <c r="C611" t="n">
        <v>0</v>
      </c>
      <c r="D611" t="n">
        <v>6699</v>
      </c>
      <c r="E611" t="s">
        <v>622</v>
      </c>
      <c r="F611">
        <f>HYPERLINK("http://pbs.twimg.com/media/DeN_oEfV4AA9khO.jpg", "http://pbs.twimg.com/media/DeN_oEfV4AA9khO.jpg")</f>
        <v/>
      </c>
      <c r="G611" t="s"/>
      <c r="H611" t="s"/>
      <c r="I611" t="s"/>
      <c r="J611" t="n">
        <v>0.2732</v>
      </c>
      <c r="K611" t="n">
        <v>0.139</v>
      </c>
      <c r="L611" t="n">
        <v>0.717</v>
      </c>
      <c r="M611" t="n">
        <v>0.143</v>
      </c>
    </row>
    <row r="612" spans="1:13">
      <c r="A612" s="1">
        <f>HYPERLINK("http://www.twitter.com/NathanBLawrence/status/1000904879831961600", "1000904879831961600")</f>
        <v/>
      </c>
      <c r="B612" s="2" t="n">
        <v>43248.04274305556</v>
      </c>
      <c r="C612" t="n">
        <v>0</v>
      </c>
      <c r="D612" t="n">
        <v>181</v>
      </c>
      <c r="E612" t="s">
        <v>623</v>
      </c>
      <c r="F612">
        <f>HYPERLINK("http://pbs.twimg.com/media/DeM0Z-LWAAEbFTC.jpg", "http://pbs.twimg.com/media/DeM0Z-LWAAEbFTC.jpg")</f>
        <v/>
      </c>
      <c r="G612" t="s"/>
      <c r="H612" t="s"/>
      <c r="I612" t="s"/>
      <c r="J612" t="n">
        <v>0.4926</v>
      </c>
      <c r="K612" t="n">
        <v>0</v>
      </c>
      <c r="L612" t="n">
        <v>0.715</v>
      </c>
      <c r="M612" t="n">
        <v>0.285</v>
      </c>
    </row>
    <row r="613" spans="1:13">
      <c r="A613" s="1">
        <f>HYPERLINK("http://www.twitter.com/NathanBLawrence/status/1000904855047860225", "1000904855047860225")</f>
        <v/>
      </c>
      <c r="B613" s="2" t="n">
        <v>43248.04268518519</v>
      </c>
      <c r="C613" t="n">
        <v>0</v>
      </c>
      <c r="D613" t="n">
        <v>205</v>
      </c>
      <c r="E613" t="s">
        <v>624</v>
      </c>
      <c r="F613">
        <f>HYPERLINK("http://pbs.twimg.com/media/DeGT1vmX0AEYqlZ.jpg", "http://pbs.twimg.com/media/DeGT1vmX0AEYqlZ.jpg")</f>
        <v/>
      </c>
      <c r="G613" t="s"/>
      <c r="H613" t="s"/>
      <c r="I613" t="s"/>
      <c r="J613" t="n">
        <v>0</v>
      </c>
      <c r="K613" t="n">
        <v>0</v>
      </c>
      <c r="L613" t="n">
        <v>1</v>
      </c>
      <c r="M613" t="n">
        <v>0</v>
      </c>
    </row>
    <row r="614" spans="1:13">
      <c r="A614" s="1">
        <f>HYPERLINK("http://www.twitter.com/NathanBLawrence/status/1000904593071640577", "1000904593071640577")</f>
        <v/>
      </c>
      <c r="B614" s="2" t="n">
        <v>43248.04195601852</v>
      </c>
      <c r="C614" t="n">
        <v>0</v>
      </c>
      <c r="D614" t="n">
        <v>761</v>
      </c>
      <c r="E614" t="s">
        <v>625</v>
      </c>
      <c r="F614" t="s"/>
      <c r="G614" t="s"/>
      <c r="H614" t="s"/>
      <c r="I614" t="s"/>
      <c r="J614" t="n">
        <v>-0.6808</v>
      </c>
      <c r="K614" t="n">
        <v>0.237</v>
      </c>
      <c r="L614" t="n">
        <v>0.763</v>
      </c>
      <c r="M614" t="n">
        <v>0</v>
      </c>
    </row>
    <row r="615" spans="1:13">
      <c r="A615" s="1">
        <f>HYPERLINK("http://www.twitter.com/NathanBLawrence/status/1000904341069365254", "1000904341069365254")</f>
        <v/>
      </c>
      <c r="B615" s="2" t="n">
        <v>43248.04126157407</v>
      </c>
      <c r="C615" t="n">
        <v>0</v>
      </c>
      <c r="D615" t="n">
        <v>1</v>
      </c>
      <c r="E615" t="s">
        <v>626</v>
      </c>
      <c r="F615" t="s"/>
      <c r="G615" t="s"/>
      <c r="H615" t="s"/>
      <c r="I615" t="s"/>
      <c r="J615" t="n">
        <v>0.0258</v>
      </c>
      <c r="K615" t="n">
        <v>0.112</v>
      </c>
      <c r="L615" t="n">
        <v>0.773</v>
      </c>
      <c r="M615" t="n">
        <v>0.116</v>
      </c>
    </row>
    <row r="616" spans="1:13">
      <c r="A616" s="1">
        <f>HYPERLINK("http://www.twitter.com/NathanBLawrence/status/1000904194629472256", "1000904194629472256")</f>
        <v/>
      </c>
      <c r="B616" s="2" t="n">
        <v>43248.04085648148</v>
      </c>
      <c r="C616" t="n">
        <v>0</v>
      </c>
      <c r="D616" t="n">
        <v>10</v>
      </c>
      <c r="E616" t="s">
        <v>627</v>
      </c>
      <c r="F616" t="s"/>
      <c r="G616" t="s"/>
      <c r="H616" t="s"/>
      <c r="I616" t="s"/>
      <c r="J616" t="n">
        <v>-0.1027</v>
      </c>
      <c r="K616" t="n">
        <v>0.185</v>
      </c>
      <c r="L616" t="n">
        <v>0.655</v>
      </c>
      <c r="M616" t="n">
        <v>0.161</v>
      </c>
    </row>
    <row r="617" spans="1:13">
      <c r="A617" s="1">
        <f>HYPERLINK("http://www.twitter.com/NathanBLawrence/status/1000904089813823488", "1000904089813823488")</f>
        <v/>
      </c>
      <c r="B617" s="2" t="n">
        <v>43248.04056712963</v>
      </c>
      <c r="C617" t="n">
        <v>0</v>
      </c>
      <c r="D617" t="n">
        <v>17</v>
      </c>
      <c r="E617" t="s">
        <v>628</v>
      </c>
      <c r="F617" t="s"/>
      <c r="G617" t="s"/>
      <c r="H617" t="s"/>
      <c r="I617" t="s"/>
      <c r="J617" t="n">
        <v>0.3182</v>
      </c>
      <c r="K617" t="n">
        <v>0</v>
      </c>
      <c r="L617" t="n">
        <v>0.859</v>
      </c>
      <c r="M617" t="n">
        <v>0.141</v>
      </c>
    </row>
    <row r="618" spans="1:13">
      <c r="A618" s="1">
        <f>HYPERLINK("http://www.twitter.com/NathanBLawrence/status/1000904059467988992", "1000904059467988992")</f>
        <v/>
      </c>
      <c r="B618" s="2" t="n">
        <v>43248.04048611111</v>
      </c>
      <c r="C618" t="n">
        <v>0</v>
      </c>
      <c r="D618" t="n">
        <v>51</v>
      </c>
      <c r="E618" t="s">
        <v>629</v>
      </c>
      <c r="F618" t="s"/>
      <c r="G618" t="s"/>
      <c r="H618" t="s"/>
      <c r="I618" t="s"/>
      <c r="J618" t="n">
        <v>-0.5647</v>
      </c>
      <c r="K618" t="n">
        <v>0.189</v>
      </c>
      <c r="L618" t="n">
        <v>0.8110000000000001</v>
      </c>
      <c r="M618" t="n">
        <v>0</v>
      </c>
    </row>
    <row r="619" spans="1:13">
      <c r="A619" s="1">
        <f>HYPERLINK("http://www.twitter.com/NathanBLawrence/status/1000904004719783938", "1000904004719783938")</f>
        <v/>
      </c>
      <c r="B619" s="2" t="n">
        <v>43248.04033564815</v>
      </c>
      <c r="C619" t="n">
        <v>0</v>
      </c>
      <c r="D619" t="n">
        <v>5457</v>
      </c>
      <c r="E619" t="s">
        <v>630</v>
      </c>
      <c r="F619" t="s"/>
      <c r="G619" t="s"/>
      <c r="H619" t="s"/>
      <c r="I619" t="s"/>
      <c r="J619" t="n">
        <v>-0.2163</v>
      </c>
      <c r="K619" t="n">
        <v>0.195</v>
      </c>
      <c r="L619" t="n">
        <v>0.6840000000000001</v>
      </c>
      <c r="M619" t="n">
        <v>0.121</v>
      </c>
    </row>
    <row r="620" spans="1:13">
      <c r="A620" s="1">
        <f>HYPERLINK("http://www.twitter.com/NathanBLawrence/status/1000903872561451008", "1000903872561451008")</f>
        <v/>
      </c>
      <c r="B620" s="2" t="n">
        <v>43248.03996527778</v>
      </c>
      <c r="C620" t="n">
        <v>0</v>
      </c>
      <c r="D620" t="n">
        <v>127</v>
      </c>
      <c r="E620" t="s">
        <v>631</v>
      </c>
      <c r="F620" t="s"/>
      <c r="G620" t="s"/>
      <c r="H620" t="s"/>
      <c r="I620" t="s"/>
      <c r="J620" t="n">
        <v>-0.25</v>
      </c>
      <c r="K620" t="n">
        <v>0.183</v>
      </c>
      <c r="L620" t="n">
        <v>0.714</v>
      </c>
      <c r="M620" t="n">
        <v>0.103</v>
      </c>
    </row>
    <row r="621" spans="1:13">
      <c r="A621" s="1">
        <f>HYPERLINK("http://www.twitter.com/NathanBLawrence/status/1000903767259275264", "1000903767259275264")</f>
        <v/>
      </c>
      <c r="B621" s="2" t="n">
        <v>43248.03967592592</v>
      </c>
      <c r="C621" t="n">
        <v>0</v>
      </c>
      <c r="D621" t="n">
        <v>411</v>
      </c>
      <c r="E621" t="s">
        <v>632</v>
      </c>
      <c r="F621" t="s"/>
      <c r="G621" t="s"/>
      <c r="H621" t="s"/>
      <c r="I621" t="s"/>
      <c r="J621" t="n">
        <v>-0.6682</v>
      </c>
      <c r="K621" t="n">
        <v>0.238</v>
      </c>
      <c r="L621" t="n">
        <v>0.712</v>
      </c>
      <c r="M621" t="n">
        <v>0.05</v>
      </c>
    </row>
    <row r="622" spans="1:13">
      <c r="A622" s="1">
        <f>HYPERLINK("http://www.twitter.com/NathanBLawrence/status/1000903538468315137", "1000903538468315137")</f>
        <v/>
      </c>
      <c r="B622" s="2" t="n">
        <v>43248.03905092592</v>
      </c>
      <c r="C622" t="n">
        <v>0</v>
      </c>
      <c r="D622" t="n">
        <v>1572</v>
      </c>
      <c r="E622" t="s">
        <v>633</v>
      </c>
      <c r="F622" t="s"/>
      <c r="G622" t="s"/>
      <c r="H622" t="s"/>
      <c r="I622" t="s"/>
      <c r="J622" t="n">
        <v>-0.0258</v>
      </c>
      <c r="K622" t="n">
        <v>0.1</v>
      </c>
      <c r="L622" t="n">
        <v>0.803</v>
      </c>
      <c r="M622" t="n">
        <v>0.096</v>
      </c>
    </row>
    <row r="623" spans="1:13">
      <c r="A623" s="1">
        <f>HYPERLINK("http://www.twitter.com/NathanBLawrence/status/1000903222033305602", "1000903222033305602")</f>
        <v/>
      </c>
      <c r="B623" s="2" t="n">
        <v>43248.0381712963</v>
      </c>
      <c r="C623" t="n">
        <v>0</v>
      </c>
      <c r="D623" t="n">
        <v>202</v>
      </c>
      <c r="E623" t="s">
        <v>634</v>
      </c>
      <c r="F623" t="s"/>
      <c r="G623" t="s"/>
      <c r="H623" t="s"/>
      <c r="I623" t="s"/>
      <c r="J623" t="n">
        <v>0</v>
      </c>
      <c r="K623" t="n">
        <v>0</v>
      </c>
      <c r="L623" t="n">
        <v>1</v>
      </c>
      <c r="M623" t="n">
        <v>0</v>
      </c>
    </row>
    <row r="624" spans="1:13">
      <c r="A624" s="1">
        <f>HYPERLINK("http://www.twitter.com/NathanBLawrence/status/1000903135903219714", "1000903135903219714")</f>
        <v/>
      </c>
      <c r="B624" s="2" t="n">
        <v>43248.03793981481</v>
      </c>
      <c r="C624" t="n">
        <v>0</v>
      </c>
      <c r="D624" t="n">
        <v>9723</v>
      </c>
      <c r="E624" t="s">
        <v>635</v>
      </c>
      <c r="F624">
        <f>HYPERLINK("http://pbs.twimg.com/media/DeNL9c0UwAE37fQ.jpg", "http://pbs.twimg.com/media/DeNL9c0UwAE37fQ.jpg")</f>
        <v/>
      </c>
      <c r="G624" t="s"/>
      <c r="H624" t="s"/>
      <c r="I624" t="s"/>
      <c r="J624" t="n">
        <v>0.3612</v>
      </c>
      <c r="K624" t="n">
        <v>0</v>
      </c>
      <c r="L624" t="n">
        <v>0.894</v>
      </c>
      <c r="M624" t="n">
        <v>0.106</v>
      </c>
    </row>
    <row r="625" spans="1:13">
      <c r="A625" s="1">
        <f>HYPERLINK("http://www.twitter.com/NathanBLawrence/status/1000902769023377408", "1000902769023377408")</f>
        <v/>
      </c>
      <c r="B625" s="2" t="n">
        <v>43248.0369212963</v>
      </c>
      <c r="C625" t="n">
        <v>0</v>
      </c>
      <c r="D625" t="n">
        <v>4982</v>
      </c>
      <c r="E625" t="s">
        <v>636</v>
      </c>
      <c r="F625" t="s"/>
      <c r="G625" t="s"/>
      <c r="H625" t="s"/>
      <c r="I625" t="s"/>
      <c r="J625" t="n">
        <v>-0.7096</v>
      </c>
      <c r="K625" t="n">
        <v>0.296</v>
      </c>
      <c r="L625" t="n">
        <v>0.704</v>
      </c>
      <c r="M625" t="n">
        <v>0</v>
      </c>
    </row>
    <row r="626" spans="1:13">
      <c r="A626" s="1">
        <f>HYPERLINK("http://www.twitter.com/NathanBLawrence/status/1000901981362360321", "1000901981362360321")</f>
        <v/>
      </c>
      <c r="B626" s="2" t="n">
        <v>43248.03474537037</v>
      </c>
      <c r="C626" t="n">
        <v>0</v>
      </c>
      <c r="D626" t="n">
        <v>131</v>
      </c>
      <c r="E626" t="s">
        <v>637</v>
      </c>
      <c r="F626" t="s"/>
      <c r="G626" t="s"/>
      <c r="H626" t="s"/>
      <c r="I626" t="s"/>
      <c r="J626" t="n">
        <v>0.4404</v>
      </c>
      <c r="K626" t="n">
        <v>0</v>
      </c>
      <c r="L626" t="n">
        <v>0.847</v>
      </c>
      <c r="M626" t="n">
        <v>0.153</v>
      </c>
    </row>
    <row r="627" spans="1:13">
      <c r="A627" s="1">
        <f>HYPERLINK("http://www.twitter.com/NathanBLawrence/status/1000901934914719744", "1000901934914719744")</f>
        <v/>
      </c>
      <c r="B627" s="2" t="n">
        <v>43248.03461805556</v>
      </c>
      <c r="C627" t="n">
        <v>0</v>
      </c>
      <c r="D627" t="n">
        <v>273</v>
      </c>
      <c r="E627" t="s">
        <v>638</v>
      </c>
      <c r="F627" t="s"/>
      <c r="G627" t="s"/>
      <c r="H627" t="s"/>
      <c r="I627" t="s"/>
      <c r="J627" t="n">
        <v>0.327</v>
      </c>
      <c r="K627" t="n">
        <v>0.234</v>
      </c>
      <c r="L627" t="n">
        <v>0.5679999999999999</v>
      </c>
      <c r="M627" t="n">
        <v>0.199</v>
      </c>
    </row>
    <row r="628" spans="1:13">
      <c r="A628" s="1">
        <f>HYPERLINK("http://www.twitter.com/NathanBLawrence/status/1000901569381101569", "1000901569381101569")</f>
        <v/>
      </c>
      <c r="B628" s="2" t="n">
        <v>43248.03361111111</v>
      </c>
      <c r="C628" t="n">
        <v>0</v>
      </c>
      <c r="D628" t="n">
        <v>49</v>
      </c>
      <c r="E628" t="s">
        <v>639</v>
      </c>
      <c r="F628" t="s"/>
      <c r="G628" t="s"/>
      <c r="H628" t="s"/>
      <c r="I628" t="s"/>
      <c r="J628" t="n">
        <v>0.4939</v>
      </c>
      <c r="K628" t="n">
        <v>0</v>
      </c>
      <c r="L628" t="n">
        <v>0.849</v>
      </c>
      <c r="M628" t="n">
        <v>0.151</v>
      </c>
    </row>
    <row r="629" spans="1:13">
      <c r="A629" s="1">
        <f>HYPERLINK("http://www.twitter.com/NathanBLawrence/status/1000900962918297602", "1000900962918297602")</f>
        <v/>
      </c>
      <c r="B629" s="2" t="n">
        <v>43248.03194444445</v>
      </c>
      <c r="C629" t="n">
        <v>0</v>
      </c>
      <c r="D629" t="n">
        <v>26</v>
      </c>
      <c r="E629" t="s">
        <v>640</v>
      </c>
      <c r="F629" t="s"/>
      <c r="G629" t="s"/>
      <c r="H629" t="s"/>
      <c r="I629" t="s"/>
      <c r="J629" t="n">
        <v>-0.4391</v>
      </c>
      <c r="K629" t="n">
        <v>0.225</v>
      </c>
      <c r="L629" t="n">
        <v>0.662</v>
      </c>
      <c r="M629" t="n">
        <v>0.113</v>
      </c>
    </row>
    <row r="630" spans="1:13">
      <c r="A630" s="1">
        <f>HYPERLINK("http://www.twitter.com/NathanBLawrence/status/1000900924003495946", "1000900924003495946")</f>
        <v/>
      </c>
      <c r="B630" s="2" t="n">
        <v>43248.0318287037</v>
      </c>
      <c r="C630" t="n">
        <v>0</v>
      </c>
      <c r="D630" t="n">
        <v>158</v>
      </c>
      <c r="E630" t="s">
        <v>641</v>
      </c>
      <c r="F630">
        <f>HYPERLINK("http://pbs.twimg.com/media/DeOb2CiV0AAKxG9.jpg", "http://pbs.twimg.com/media/DeOb2CiV0AAKxG9.jpg")</f>
        <v/>
      </c>
      <c r="G630" t="s"/>
      <c r="H630" t="s"/>
      <c r="I630" t="s"/>
      <c r="J630" t="n">
        <v>-0.8070000000000001</v>
      </c>
      <c r="K630" t="n">
        <v>0.327</v>
      </c>
      <c r="L630" t="n">
        <v>0.673</v>
      </c>
      <c r="M630" t="n">
        <v>0</v>
      </c>
    </row>
    <row r="631" spans="1:13">
      <c r="A631" s="1">
        <f>HYPERLINK("http://www.twitter.com/NathanBLawrence/status/1000900816843280384", "1000900816843280384")</f>
        <v/>
      </c>
      <c r="B631" s="2" t="n">
        <v>43248.03153935185</v>
      </c>
      <c r="C631" t="n">
        <v>0</v>
      </c>
      <c r="D631" t="n">
        <v>92</v>
      </c>
      <c r="E631" t="s">
        <v>642</v>
      </c>
      <c r="F631">
        <f>HYPERLINK("http://pbs.twimg.com/media/DeOVz2bVMAA6rO0.jpg", "http://pbs.twimg.com/media/DeOVz2bVMAA6rO0.jpg")</f>
        <v/>
      </c>
      <c r="G631" t="s"/>
      <c r="H631" t="s"/>
      <c r="I631" t="s"/>
      <c r="J631" t="n">
        <v>0</v>
      </c>
      <c r="K631" t="n">
        <v>0</v>
      </c>
      <c r="L631" t="n">
        <v>1</v>
      </c>
      <c r="M631" t="n">
        <v>0</v>
      </c>
    </row>
    <row r="632" spans="1:13">
      <c r="A632" s="1">
        <f>HYPERLINK("http://www.twitter.com/NathanBLawrence/status/1000900743082242048", "1000900743082242048")</f>
        <v/>
      </c>
      <c r="B632" s="2" t="n">
        <v>43248.03133101852</v>
      </c>
      <c r="C632" t="n">
        <v>0</v>
      </c>
      <c r="D632" t="n">
        <v>18</v>
      </c>
      <c r="E632" t="s">
        <v>643</v>
      </c>
      <c r="F632" t="s"/>
      <c r="G632" t="s"/>
      <c r="H632" t="s"/>
      <c r="I632" t="s"/>
      <c r="J632" t="n">
        <v>-0.4939</v>
      </c>
      <c r="K632" t="n">
        <v>0.147</v>
      </c>
      <c r="L632" t="n">
        <v>0.798</v>
      </c>
      <c r="M632" t="n">
        <v>0.055</v>
      </c>
    </row>
    <row r="633" spans="1:13">
      <c r="A633" s="1">
        <f>HYPERLINK("http://www.twitter.com/NathanBLawrence/status/1000900057443512320", "1000900057443512320")</f>
        <v/>
      </c>
      <c r="B633" s="2" t="n">
        <v>43248.02944444444</v>
      </c>
      <c r="C633" t="n">
        <v>0</v>
      </c>
      <c r="D633" t="n">
        <v>1128</v>
      </c>
      <c r="E633" t="s">
        <v>644</v>
      </c>
      <c r="F633" t="s"/>
      <c r="G633" t="s"/>
      <c r="H633" t="s"/>
      <c r="I633" t="s"/>
      <c r="J633" t="n">
        <v>-0.8481</v>
      </c>
      <c r="K633" t="n">
        <v>0.313</v>
      </c>
      <c r="L633" t="n">
        <v>0.6870000000000001</v>
      </c>
      <c r="M633" t="n">
        <v>0</v>
      </c>
    </row>
    <row r="634" spans="1:13">
      <c r="A634" s="1">
        <f>HYPERLINK("http://www.twitter.com/NathanBLawrence/status/1000899773984059392", "1000899773984059392")</f>
        <v/>
      </c>
      <c r="B634" s="2" t="n">
        <v>43248.02865740741</v>
      </c>
      <c r="C634" t="n">
        <v>0</v>
      </c>
      <c r="D634" t="n">
        <v>701</v>
      </c>
      <c r="E634" t="s">
        <v>645</v>
      </c>
      <c r="F634" t="s"/>
      <c r="G634" t="s"/>
      <c r="H634" t="s"/>
      <c r="I634" t="s"/>
      <c r="J634" t="n">
        <v>0.5423</v>
      </c>
      <c r="K634" t="n">
        <v>0</v>
      </c>
      <c r="L634" t="n">
        <v>0.8090000000000001</v>
      </c>
      <c r="M634" t="n">
        <v>0.191</v>
      </c>
    </row>
    <row r="635" spans="1:13">
      <c r="A635" s="1">
        <f>HYPERLINK("http://www.twitter.com/NathanBLawrence/status/1000899676772675586", "1000899676772675586")</f>
        <v/>
      </c>
      <c r="B635" s="2" t="n">
        <v>43248.0283912037</v>
      </c>
      <c r="C635" t="n">
        <v>0</v>
      </c>
      <c r="D635" t="n">
        <v>736</v>
      </c>
      <c r="E635" t="s">
        <v>646</v>
      </c>
      <c r="F635">
        <f>HYPERLINK("http://pbs.twimg.com/media/DePebhuXUAI3vUn.jpg", "http://pbs.twimg.com/media/DePebhuXUAI3vUn.jpg")</f>
        <v/>
      </c>
      <c r="G635" t="s"/>
      <c r="H635" t="s"/>
      <c r="I635" t="s"/>
      <c r="J635" t="n">
        <v>0</v>
      </c>
      <c r="K635" t="n">
        <v>0</v>
      </c>
      <c r="L635" t="n">
        <v>1</v>
      </c>
      <c r="M635" t="n">
        <v>0</v>
      </c>
    </row>
    <row r="636" spans="1:13">
      <c r="A636" s="1">
        <f>HYPERLINK("http://www.twitter.com/NathanBLawrence/status/1000899637161717763", "1000899637161717763")</f>
        <v/>
      </c>
      <c r="B636" s="2" t="n">
        <v>43248.02827546297</v>
      </c>
      <c r="C636" t="n">
        <v>0</v>
      </c>
      <c r="D636" t="n">
        <v>311</v>
      </c>
      <c r="E636" t="s">
        <v>647</v>
      </c>
      <c r="F636" t="s"/>
      <c r="G636" t="s"/>
      <c r="H636" t="s"/>
      <c r="I636" t="s"/>
      <c r="J636" t="n">
        <v>0.4767</v>
      </c>
      <c r="K636" t="n">
        <v>0</v>
      </c>
      <c r="L636" t="n">
        <v>0.876</v>
      </c>
      <c r="M636" t="n">
        <v>0.124</v>
      </c>
    </row>
    <row r="637" spans="1:13">
      <c r="A637" s="1">
        <f>HYPERLINK("http://www.twitter.com/NathanBLawrence/status/1000899555909623811", "1000899555909623811")</f>
        <v/>
      </c>
      <c r="B637" s="2" t="n">
        <v>43248.02805555556</v>
      </c>
      <c r="C637" t="n">
        <v>0</v>
      </c>
      <c r="D637" t="n">
        <v>432</v>
      </c>
      <c r="E637" t="s">
        <v>648</v>
      </c>
      <c r="F637">
        <f>HYPERLINK("http://pbs.twimg.com/media/DePchQNXcAE36rb.jpg", "http://pbs.twimg.com/media/DePchQNXcAE36rb.jpg")</f>
        <v/>
      </c>
      <c r="G637" t="s"/>
      <c r="H637" t="s"/>
      <c r="I637" t="s"/>
      <c r="J637" t="n">
        <v>0</v>
      </c>
      <c r="K637" t="n">
        <v>0</v>
      </c>
      <c r="L637" t="n">
        <v>1</v>
      </c>
      <c r="M637" t="n">
        <v>0</v>
      </c>
    </row>
    <row r="638" spans="1:13">
      <c r="A638" s="1">
        <f>HYPERLINK("http://www.twitter.com/NathanBLawrence/status/1000899514302173185", "1000899514302173185")</f>
        <v/>
      </c>
      <c r="B638" s="2" t="n">
        <v>43248.02793981481</v>
      </c>
      <c r="C638" t="n">
        <v>0</v>
      </c>
      <c r="D638" t="n">
        <v>462</v>
      </c>
      <c r="E638" t="s">
        <v>649</v>
      </c>
      <c r="F638">
        <f>HYPERLINK("http://pbs.twimg.com/media/DePaqz5W4AAkdg0.jpg", "http://pbs.twimg.com/media/DePaqz5W4AAkdg0.jpg")</f>
        <v/>
      </c>
      <c r="G638" t="s"/>
      <c r="H638" t="s"/>
      <c r="I638" t="s"/>
      <c r="J638" t="n">
        <v>-0.296</v>
      </c>
      <c r="K638" t="n">
        <v>0.095</v>
      </c>
      <c r="L638" t="n">
        <v>0.905</v>
      </c>
      <c r="M638" t="n">
        <v>0</v>
      </c>
    </row>
    <row r="639" spans="1:13">
      <c r="A639" s="1">
        <f>HYPERLINK("http://www.twitter.com/NathanBLawrence/status/1000899402008055808", "1000899402008055808")</f>
        <v/>
      </c>
      <c r="B639" s="2" t="n">
        <v>43248.02762731481</v>
      </c>
      <c r="C639" t="n">
        <v>0</v>
      </c>
      <c r="D639" t="n">
        <v>427</v>
      </c>
      <c r="E639" t="s">
        <v>650</v>
      </c>
      <c r="F639" t="s"/>
      <c r="G639" t="s"/>
      <c r="H639" t="s"/>
      <c r="I639" t="s"/>
      <c r="J639" t="n">
        <v>0</v>
      </c>
      <c r="K639" t="n">
        <v>0</v>
      </c>
      <c r="L639" t="n">
        <v>1</v>
      </c>
      <c r="M639" t="n">
        <v>0</v>
      </c>
    </row>
    <row r="640" spans="1:13">
      <c r="A640" s="1">
        <f>HYPERLINK("http://www.twitter.com/NathanBLawrence/status/1000899345577906176", "1000899345577906176")</f>
        <v/>
      </c>
      <c r="B640" s="2" t="n">
        <v>43248.02747685185</v>
      </c>
      <c r="C640" t="n">
        <v>0</v>
      </c>
      <c r="D640" t="n">
        <v>260</v>
      </c>
      <c r="E640" t="s">
        <v>651</v>
      </c>
      <c r="F640" t="s"/>
      <c r="G640" t="s"/>
      <c r="H640" t="s"/>
      <c r="I640" t="s"/>
      <c r="J640" t="n">
        <v>-0.1494</v>
      </c>
      <c r="K640" t="n">
        <v>0.169</v>
      </c>
      <c r="L640" t="n">
        <v>0.735</v>
      </c>
      <c r="M640" t="n">
        <v>0.096</v>
      </c>
    </row>
    <row r="641" spans="1:13">
      <c r="A641" s="1">
        <f>HYPERLINK("http://www.twitter.com/NathanBLawrence/status/1000899056602841088", "1000899056602841088")</f>
        <v/>
      </c>
      <c r="B641" s="2" t="n">
        <v>43248.02667824074</v>
      </c>
      <c r="C641" t="n">
        <v>0</v>
      </c>
      <c r="D641" t="n">
        <v>424</v>
      </c>
      <c r="E641" t="s">
        <v>652</v>
      </c>
      <c r="F641" t="s"/>
      <c r="G641" t="s"/>
      <c r="H641" t="s"/>
      <c r="I641" t="s"/>
      <c r="J641" t="n">
        <v>0</v>
      </c>
      <c r="K641" t="n">
        <v>0</v>
      </c>
      <c r="L641" t="n">
        <v>1</v>
      </c>
      <c r="M641" t="n">
        <v>0</v>
      </c>
    </row>
    <row r="642" spans="1:13">
      <c r="A642" s="1">
        <f>HYPERLINK("http://www.twitter.com/NathanBLawrence/status/1000898762963898368", "1000898762963898368")</f>
        <v/>
      </c>
      <c r="B642" s="2" t="n">
        <v>43248.02586805556</v>
      </c>
      <c r="C642" t="n">
        <v>0</v>
      </c>
      <c r="D642" t="n">
        <v>416</v>
      </c>
      <c r="E642" t="s">
        <v>653</v>
      </c>
      <c r="F642">
        <f>HYPERLINK("http://pbs.twimg.com/media/DePYXLxWsAE-VdM.jpg", "http://pbs.twimg.com/media/DePYXLxWsAE-VdM.jpg")</f>
        <v/>
      </c>
      <c r="G642" t="s"/>
      <c r="H642" t="s"/>
      <c r="I642" t="s"/>
      <c r="J642" t="n">
        <v>-0.2263</v>
      </c>
      <c r="K642" t="n">
        <v>0.079</v>
      </c>
      <c r="L642" t="n">
        <v>0.921</v>
      </c>
      <c r="M642" t="n">
        <v>0</v>
      </c>
    </row>
    <row r="643" spans="1:13">
      <c r="A643" s="1">
        <f>HYPERLINK("http://www.twitter.com/NathanBLawrence/status/1000898701672550402", "1000898701672550402")</f>
        <v/>
      </c>
      <c r="B643" s="2" t="n">
        <v>43248.02569444444</v>
      </c>
      <c r="C643" t="n">
        <v>0</v>
      </c>
      <c r="D643" t="n">
        <v>362</v>
      </c>
      <c r="E643" t="s">
        <v>654</v>
      </c>
      <c r="F643">
        <f>HYPERLINK("http://pbs.twimg.com/media/DePWT-iXUAAbOgq.jpg", "http://pbs.twimg.com/media/DePWT-iXUAAbOgq.jpg")</f>
        <v/>
      </c>
      <c r="G643" t="s"/>
      <c r="H643" t="s"/>
      <c r="I643" t="s"/>
      <c r="J643" t="n">
        <v>0.3182</v>
      </c>
      <c r="K643" t="n">
        <v>0</v>
      </c>
      <c r="L643" t="n">
        <v>0.887</v>
      </c>
      <c r="M643" t="n">
        <v>0.113</v>
      </c>
    </row>
    <row r="644" spans="1:13">
      <c r="A644" s="1">
        <f>HYPERLINK("http://www.twitter.com/NathanBLawrence/status/1000898295735209987", "1000898295735209987")</f>
        <v/>
      </c>
      <c r="B644" s="2" t="n">
        <v>43248.02458333333</v>
      </c>
      <c r="C644" t="n">
        <v>0</v>
      </c>
      <c r="D644" t="n">
        <v>550</v>
      </c>
      <c r="E644" t="s">
        <v>655</v>
      </c>
      <c r="F644">
        <f>HYPERLINK("http://pbs.twimg.com/media/DePVXX9WsAENYSd.jpg", "http://pbs.twimg.com/media/DePVXX9WsAENYSd.jpg")</f>
        <v/>
      </c>
      <c r="G644" t="s"/>
      <c r="H644" t="s"/>
      <c r="I644" t="s"/>
      <c r="J644" t="n">
        <v>0</v>
      </c>
      <c r="K644" t="n">
        <v>0</v>
      </c>
      <c r="L644" t="n">
        <v>1</v>
      </c>
      <c r="M644" t="n">
        <v>0</v>
      </c>
    </row>
    <row r="645" spans="1:13">
      <c r="A645" s="1">
        <f>HYPERLINK("http://www.twitter.com/NathanBLawrence/status/1000898168207364101", "1000898168207364101")</f>
        <v/>
      </c>
      <c r="B645" s="2" t="n">
        <v>43248.02422453704</v>
      </c>
      <c r="C645" t="n">
        <v>0</v>
      </c>
      <c r="D645" t="n">
        <v>509</v>
      </c>
      <c r="E645" t="s">
        <v>656</v>
      </c>
      <c r="F645">
        <f>HYPERLINK("http://pbs.twimg.com/media/DePUojPX0AItvSp.jpg", "http://pbs.twimg.com/media/DePUojPX0AItvSp.jpg")</f>
        <v/>
      </c>
      <c r="G645">
        <f>HYPERLINK("http://pbs.twimg.com/media/DePUrutWAAI317B.jpg", "http://pbs.twimg.com/media/DePUrutWAAI317B.jpg")</f>
        <v/>
      </c>
      <c r="H645" t="s"/>
      <c r="I645" t="s"/>
      <c r="J645" t="n">
        <v>0</v>
      </c>
      <c r="K645" t="n">
        <v>0</v>
      </c>
      <c r="L645" t="n">
        <v>1</v>
      </c>
      <c r="M645" t="n">
        <v>0</v>
      </c>
    </row>
    <row r="646" spans="1:13">
      <c r="A646" s="1">
        <f>HYPERLINK("http://www.twitter.com/NathanBLawrence/status/1000898111953399808", "1000898111953399808")</f>
        <v/>
      </c>
      <c r="B646" s="2" t="n">
        <v>43248.02407407408</v>
      </c>
      <c r="C646" t="n">
        <v>0</v>
      </c>
      <c r="D646" t="n">
        <v>436</v>
      </c>
      <c r="E646" t="s">
        <v>657</v>
      </c>
      <c r="F646" t="s"/>
      <c r="G646" t="s"/>
      <c r="H646" t="s"/>
      <c r="I646" t="s"/>
      <c r="J646" t="n">
        <v>0</v>
      </c>
      <c r="K646" t="n">
        <v>0</v>
      </c>
      <c r="L646" t="n">
        <v>1</v>
      </c>
      <c r="M646" t="n">
        <v>0</v>
      </c>
    </row>
    <row r="647" spans="1:13">
      <c r="A647" s="1">
        <f>HYPERLINK("http://www.twitter.com/NathanBLawrence/status/1000898068722708480", "1000898068722708480")</f>
        <v/>
      </c>
      <c r="B647" s="2" t="n">
        <v>43248.02395833333</v>
      </c>
      <c r="C647" t="n">
        <v>0</v>
      </c>
      <c r="D647" t="n">
        <v>523</v>
      </c>
      <c r="E647" t="s">
        <v>658</v>
      </c>
      <c r="F647">
        <f>HYPERLINK("http://pbs.twimg.com/media/DePTGK3X0AM1lae.jpg", "http://pbs.twimg.com/media/DePTGK3X0AM1lae.jpg")</f>
        <v/>
      </c>
      <c r="G647" t="s"/>
      <c r="H647" t="s"/>
      <c r="I647" t="s"/>
      <c r="J647" t="n">
        <v>0</v>
      </c>
      <c r="K647" t="n">
        <v>0</v>
      </c>
      <c r="L647" t="n">
        <v>1</v>
      </c>
      <c r="M647" t="n">
        <v>0</v>
      </c>
    </row>
    <row r="648" spans="1:13">
      <c r="A648" s="1">
        <f>HYPERLINK("http://www.twitter.com/NathanBLawrence/status/1000897982315810817", "1000897982315810817")</f>
        <v/>
      </c>
      <c r="B648" s="2" t="n">
        <v>43248.02371527778</v>
      </c>
      <c r="C648" t="n">
        <v>0</v>
      </c>
      <c r="D648" t="n">
        <v>303</v>
      </c>
      <c r="E648" t="s">
        <v>659</v>
      </c>
      <c r="F648" t="s"/>
      <c r="G648" t="s"/>
      <c r="H648" t="s"/>
      <c r="I648" t="s"/>
      <c r="J648" t="n">
        <v>0</v>
      </c>
      <c r="K648" t="n">
        <v>0</v>
      </c>
      <c r="L648" t="n">
        <v>1</v>
      </c>
      <c r="M648" t="n">
        <v>0</v>
      </c>
    </row>
    <row r="649" spans="1:13">
      <c r="A649" s="1">
        <f>HYPERLINK("http://www.twitter.com/NathanBLawrence/status/1000897939491950592", "1000897939491950592")</f>
        <v/>
      </c>
      <c r="B649" s="2" t="n">
        <v>43248.02359953704</v>
      </c>
      <c r="C649" t="n">
        <v>0</v>
      </c>
      <c r="D649" t="n">
        <v>491</v>
      </c>
      <c r="E649" t="s">
        <v>660</v>
      </c>
      <c r="F649">
        <f>HYPERLINK("http://pbs.twimg.com/media/DePRxBnX0AEtFmC.jpg", "http://pbs.twimg.com/media/DePRxBnX0AEtFmC.jpg")</f>
        <v/>
      </c>
      <c r="G649" t="s"/>
      <c r="H649" t="s"/>
      <c r="I649" t="s"/>
      <c r="J649" t="n">
        <v>0</v>
      </c>
      <c r="K649" t="n">
        <v>0</v>
      </c>
      <c r="L649" t="n">
        <v>1</v>
      </c>
      <c r="M649" t="n">
        <v>0</v>
      </c>
    </row>
    <row r="650" spans="1:13">
      <c r="A650" s="1">
        <f>HYPERLINK("http://www.twitter.com/NathanBLawrence/status/1000897885439918080", "1000897885439918080")</f>
        <v/>
      </c>
      <c r="B650" s="2" t="n">
        <v>43248.02344907408</v>
      </c>
      <c r="C650" t="n">
        <v>0</v>
      </c>
      <c r="D650" t="n">
        <v>415</v>
      </c>
      <c r="E650" t="s">
        <v>661</v>
      </c>
      <c r="F650">
        <f>HYPERLINK("http://pbs.twimg.com/media/DePQrgpX4AITVpJ.jpg", "http://pbs.twimg.com/media/DePQrgpX4AITVpJ.jpg")</f>
        <v/>
      </c>
      <c r="G650" t="s"/>
      <c r="H650" t="s"/>
      <c r="I650" t="s"/>
      <c r="J650" t="n">
        <v>0.6705</v>
      </c>
      <c r="K650" t="n">
        <v>0</v>
      </c>
      <c r="L650" t="n">
        <v>0.766</v>
      </c>
      <c r="M650" t="n">
        <v>0.234</v>
      </c>
    </row>
    <row r="651" spans="1:13">
      <c r="A651" s="1">
        <f>HYPERLINK("http://www.twitter.com/NathanBLawrence/status/1000897754741268480", "1000897754741268480")</f>
        <v/>
      </c>
      <c r="B651" s="2" t="n">
        <v>43248.02309027778</v>
      </c>
      <c r="C651" t="n">
        <v>0</v>
      </c>
      <c r="D651" t="n">
        <v>570</v>
      </c>
      <c r="E651" t="s">
        <v>662</v>
      </c>
      <c r="F651">
        <f>HYPERLINK("http://pbs.twimg.com/media/DePP0WYXUAAOne8.jpg", "http://pbs.twimg.com/media/DePP0WYXUAAOne8.jpg")</f>
        <v/>
      </c>
      <c r="G651" t="s"/>
      <c r="H651" t="s"/>
      <c r="I651" t="s"/>
      <c r="J651" t="n">
        <v>0</v>
      </c>
      <c r="K651" t="n">
        <v>0</v>
      </c>
      <c r="L651" t="n">
        <v>1</v>
      </c>
      <c r="M651" t="n">
        <v>0</v>
      </c>
    </row>
    <row r="652" spans="1:13">
      <c r="A652" s="1">
        <f>HYPERLINK("http://www.twitter.com/NathanBLawrence/status/1000897704053170176", "1000897704053170176")</f>
        <v/>
      </c>
      <c r="B652" s="2" t="n">
        <v>43248.02295138889</v>
      </c>
      <c r="C652" t="n">
        <v>0</v>
      </c>
      <c r="D652" t="n">
        <v>326</v>
      </c>
      <c r="E652" t="s">
        <v>663</v>
      </c>
      <c r="F652" t="s"/>
      <c r="G652" t="s"/>
      <c r="H652" t="s"/>
      <c r="I652" t="s"/>
      <c r="J652" t="n">
        <v>0</v>
      </c>
      <c r="K652" t="n">
        <v>0</v>
      </c>
      <c r="L652" t="n">
        <v>1</v>
      </c>
      <c r="M652" t="n">
        <v>0</v>
      </c>
    </row>
    <row r="653" spans="1:13">
      <c r="A653" s="1">
        <f>HYPERLINK("http://www.twitter.com/NathanBLawrence/status/1000897564177260545", "1000897564177260545")</f>
        <v/>
      </c>
      <c r="B653" s="2" t="n">
        <v>43248.02255787037</v>
      </c>
      <c r="C653" t="n">
        <v>0</v>
      </c>
      <c r="D653" t="n">
        <v>389</v>
      </c>
      <c r="E653" t="s">
        <v>664</v>
      </c>
      <c r="F653">
        <f>HYPERLINK("http://pbs.twimg.com/media/DePOP1UXUAA04QX.jpg", "http://pbs.twimg.com/media/DePOP1UXUAA04QX.jpg")</f>
        <v/>
      </c>
      <c r="G653" t="s"/>
      <c r="H653" t="s"/>
      <c r="I653" t="s"/>
      <c r="J653" t="n">
        <v>0.4767</v>
      </c>
      <c r="K653" t="n">
        <v>0</v>
      </c>
      <c r="L653" t="n">
        <v>0.86</v>
      </c>
      <c r="M653" t="n">
        <v>0.14</v>
      </c>
    </row>
    <row r="654" spans="1:13">
      <c r="A654" s="1">
        <f>HYPERLINK("http://www.twitter.com/NathanBLawrence/status/1000897512859930624", "1000897512859930624")</f>
        <v/>
      </c>
      <c r="B654" s="2" t="n">
        <v>43248.02241898148</v>
      </c>
      <c r="C654" t="n">
        <v>0</v>
      </c>
      <c r="D654" t="n">
        <v>248</v>
      </c>
      <c r="E654" t="s">
        <v>665</v>
      </c>
      <c r="F654" t="s"/>
      <c r="G654" t="s"/>
      <c r="H654" t="s"/>
      <c r="I654" t="s"/>
      <c r="J654" t="n">
        <v>0</v>
      </c>
      <c r="K654" t="n">
        <v>0</v>
      </c>
      <c r="L654" t="n">
        <v>1</v>
      </c>
      <c r="M654" t="n">
        <v>0</v>
      </c>
    </row>
    <row r="655" spans="1:13">
      <c r="A655" s="1">
        <f>HYPERLINK("http://www.twitter.com/NathanBLawrence/status/1000897392777023493", "1000897392777023493")</f>
        <v/>
      </c>
      <c r="B655" s="2" t="n">
        <v>43248.02208333334</v>
      </c>
      <c r="C655" t="n">
        <v>0</v>
      </c>
      <c r="D655" t="n">
        <v>522</v>
      </c>
      <c r="E655" t="s">
        <v>666</v>
      </c>
      <c r="F655">
        <f>HYPERLINK("http://pbs.twimg.com/media/DePM1aCXcAAs3Fp.jpg", "http://pbs.twimg.com/media/DePM1aCXcAAs3Fp.jpg")</f>
        <v/>
      </c>
      <c r="G655" t="s"/>
      <c r="H655" t="s"/>
      <c r="I655" t="s"/>
      <c r="J655" t="n">
        <v>0.7845</v>
      </c>
      <c r="K655" t="n">
        <v>0</v>
      </c>
      <c r="L655" t="n">
        <v>0.717</v>
      </c>
      <c r="M655" t="n">
        <v>0.283</v>
      </c>
    </row>
    <row r="656" spans="1:13">
      <c r="A656" s="1">
        <f>HYPERLINK("http://www.twitter.com/NathanBLawrence/status/1000897332626456577", "1000897332626456577")</f>
        <v/>
      </c>
      <c r="B656" s="2" t="n">
        <v>43248.0219212963</v>
      </c>
      <c r="C656" t="n">
        <v>0</v>
      </c>
      <c r="D656" t="n">
        <v>346</v>
      </c>
      <c r="E656" t="s">
        <v>667</v>
      </c>
      <c r="F656" t="s"/>
      <c r="G656" t="s"/>
      <c r="H656" t="s"/>
      <c r="I656" t="s"/>
      <c r="J656" t="n">
        <v>0</v>
      </c>
      <c r="K656" t="n">
        <v>0</v>
      </c>
      <c r="L656" t="n">
        <v>1</v>
      </c>
      <c r="M656" t="n">
        <v>0</v>
      </c>
    </row>
    <row r="657" spans="1:13">
      <c r="A657" s="1">
        <f>HYPERLINK("http://www.twitter.com/NathanBLawrence/status/1000897294131191808", "1000897294131191808")</f>
        <v/>
      </c>
      <c r="B657" s="2" t="n">
        <v>43248.02181712963</v>
      </c>
      <c r="C657" t="n">
        <v>0</v>
      </c>
      <c r="D657" t="n">
        <v>409</v>
      </c>
      <c r="E657" t="s">
        <v>668</v>
      </c>
      <c r="F657">
        <f>HYPERLINK("http://pbs.twimg.com/media/DePK65FWsAA8Mvc.jpg", "http://pbs.twimg.com/media/DePK65FWsAA8Mvc.jpg")</f>
        <v/>
      </c>
      <c r="G657" t="s"/>
      <c r="H657" t="s"/>
      <c r="I657" t="s"/>
      <c r="J657" t="n">
        <v>-0.3612</v>
      </c>
      <c r="K657" t="n">
        <v>0.106</v>
      </c>
      <c r="L657" t="n">
        <v>0.894</v>
      </c>
      <c r="M657" t="n">
        <v>0</v>
      </c>
    </row>
    <row r="658" spans="1:13">
      <c r="A658" s="1">
        <f>HYPERLINK("http://www.twitter.com/NathanBLawrence/status/1000897226967744518", "1000897226967744518")</f>
        <v/>
      </c>
      <c r="B658" s="2" t="n">
        <v>43248.02163194444</v>
      </c>
      <c r="C658" t="n">
        <v>0</v>
      </c>
      <c r="D658" t="n">
        <v>269</v>
      </c>
      <c r="E658" t="s">
        <v>669</v>
      </c>
      <c r="F658">
        <f>HYPERLINK("http://pbs.twimg.com/media/DePJchhXkAEHm15.jpg", "http://pbs.twimg.com/media/DePJchhXkAEHm15.jpg")</f>
        <v/>
      </c>
      <c r="G658" t="s"/>
      <c r="H658" t="s"/>
      <c r="I658" t="s"/>
      <c r="J658" t="n">
        <v>0</v>
      </c>
      <c r="K658" t="n">
        <v>0</v>
      </c>
      <c r="L658" t="n">
        <v>1</v>
      </c>
      <c r="M658" t="n">
        <v>0</v>
      </c>
    </row>
    <row r="659" spans="1:13">
      <c r="A659" s="1">
        <f>HYPERLINK("http://www.twitter.com/NathanBLawrence/status/1000897103865024513", "1000897103865024513")</f>
        <v/>
      </c>
      <c r="B659" s="2" t="n">
        <v>43248.02128472222</v>
      </c>
      <c r="C659" t="n">
        <v>0</v>
      </c>
      <c r="D659" t="n">
        <v>363</v>
      </c>
      <c r="E659" t="s">
        <v>670</v>
      </c>
      <c r="F659" t="s"/>
      <c r="G659" t="s"/>
      <c r="H659" t="s"/>
      <c r="I659" t="s"/>
      <c r="J659" t="n">
        <v>0.7351</v>
      </c>
      <c r="K659" t="n">
        <v>0</v>
      </c>
      <c r="L659" t="n">
        <v>0.744</v>
      </c>
      <c r="M659" t="n">
        <v>0.256</v>
      </c>
    </row>
    <row r="660" spans="1:13">
      <c r="A660" s="1">
        <f>HYPERLINK("http://www.twitter.com/NathanBLawrence/status/1000897092695547909", "1000897092695547909")</f>
        <v/>
      </c>
      <c r="B660" s="2" t="n">
        <v>43248.02126157407</v>
      </c>
      <c r="C660" t="n">
        <v>0</v>
      </c>
      <c r="D660" t="n">
        <v>255</v>
      </c>
      <c r="E660" t="s">
        <v>671</v>
      </c>
      <c r="F660" t="s"/>
      <c r="G660" t="s"/>
      <c r="H660" t="s"/>
      <c r="I660" t="s"/>
      <c r="J660" t="n">
        <v>0</v>
      </c>
      <c r="K660" t="n">
        <v>0</v>
      </c>
      <c r="L660" t="n">
        <v>1</v>
      </c>
      <c r="M660" t="n">
        <v>0</v>
      </c>
    </row>
    <row r="661" spans="1:13">
      <c r="A661" s="1">
        <f>HYPERLINK("http://www.twitter.com/NathanBLawrence/status/1000897062593024000", "1000897062593024000")</f>
        <v/>
      </c>
      <c r="B661" s="2" t="n">
        <v>43248.02118055556</v>
      </c>
      <c r="C661" t="n">
        <v>0</v>
      </c>
      <c r="D661" t="n">
        <v>314</v>
      </c>
      <c r="E661" t="s">
        <v>672</v>
      </c>
      <c r="F661" t="s"/>
      <c r="G661" t="s"/>
      <c r="H661" t="s"/>
      <c r="I661" t="s"/>
      <c r="J661" t="n">
        <v>0.4767</v>
      </c>
      <c r="K661" t="n">
        <v>0</v>
      </c>
      <c r="L661" t="n">
        <v>0.853</v>
      </c>
      <c r="M661" t="n">
        <v>0.147</v>
      </c>
    </row>
    <row r="662" spans="1:13">
      <c r="A662" s="1">
        <f>HYPERLINK("http://www.twitter.com/NathanBLawrence/status/1000896766378639361", "1000896766378639361")</f>
        <v/>
      </c>
      <c r="B662" s="2" t="n">
        <v>43248.0203587963</v>
      </c>
      <c r="C662" t="n">
        <v>7</v>
      </c>
      <c r="D662" t="n">
        <v>3</v>
      </c>
      <c r="E662" t="s">
        <v>673</v>
      </c>
      <c r="F662" t="s"/>
      <c r="G662" t="s"/>
      <c r="H662" t="s"/>
      <c r="I662" t="s"/>
      <c r="J662" t="n">
        <v>0.2165</v>
      </c>
      <c r="K662" t="n">
        <v>0.142</v>
      </c>
      <c r="L662" t="n">
        <v>0.694</v>
      </c>
      <c r="M662" t="n">
        <v>0.163</v>
      </c>
    </row>
    <row r="663" spans="1:13">
      <c r="A663" s="1">
        <f>HYPERLINK("http://www.twitter.com/NathanBLawrence/status/1000895051571048448", "1000895051571048448")</f>
        <v/>
      </c>
      <c r="B663" s="2" t="n">
        <v>43248.015625</v>
      </c>
      <c r="C663" t="n">
        <v>0</v>
      </c>
      <c r="D663" t="n">
        <v>331</v>
      </c>
      <c r="E663" t="s">
        <v>674</v>
      </c>
      <c r="F663" t="s"/>
      <c r="G663" t="s"/>
      <c r="H663" t="s"/>
      <c r="I663" t="s"/>
      <c r="J663" t="n">
        <v>0.2755</v>
      </c>
      <c r="K663" t="n">
        <v>0</v>
      </c>
      <c r="L663" t="n">
        <v>0.895</v>
      </c>
      <c r="M663" t="n">
        <v>0.105</v>
      </c>
    </row>
    <row r="664" spans="1:13">
      <c r="A664" s="1">
        <f>HYPERLINK("http://www.twitter.com/NathanBLawrence/status/1000895025105068033", "1000895025105068033")</f>
        <v/>
      </c>
      <c r="B664" s="2" t="n">
        <v>43248.01555555555</v>
      </c>
      <c r="C664" t="n">
        <v>0</v>
      </c>
      <c r="D664" t="n">
        <v>2261</v>
      </c>
      <c r="E664" t="s">
        <v>675</v>
      </c>
      <c r="F664">
        <f>HYPERLINK("http://pbs.twimg.com/media/DePGtlIXcAAp2eH.jpg", "http://pbs.twimg.com/media/DePGtlIXcAAp2eH.jpg")</f>
        <v/>
      </c>
      <c r="G664" t="s"/>
      <c r="H664" t="s"/>
      <c r="I664" t="s"/>
      <c r="J664" t="n">
        <v>0</v>
      </c>
      <c r="K664" t="n">
        <v>0</v>
      </c>
      <c r="L664" t="n">
        <v>1</v>
      </c>
      <c r="M664" t="n">
        <v>0</v>
      </c>
    </row>
    <row r="665" spans="1:13">
      <c r="A665" s="1">
        <f>HYPERLINK("http://www.twitter.com/NathanBLawrence/status/1000894974785916928", "1000894974785916928")</f>
        <v/>
      </c>
      <c r="B665" s="2" t="n">
        <v>43248.01541666667</v>
      </c>
      <c r="C665" t="n">
        <v>0</v>
      </c>
      <c r="D665" t="n">
        <v>70</v>
      </c>
      <c r="E665" t="s">
        <v>676</v>
      </c>
      <c r="F665" t="s"/>
      <c r="G665" t="s"/>
      <c r="H665" t="s"/>
      <c r="I665" t="s"/>
      <c r="J665" t="n">
        <v>0.1027</v>
      </c>
      <c r="K665" t="n">
        <v>0.113</v>
      </c>
      <c r="L665" t="n">
        <v>0.758</v>
      </c>
      <c r="M665" t="n">
        <v>0.129</v>
      </c>
    </row>
    <row r="666" spans="1:13">
      <c r="A666" s="1">
        <f>HYPERLINK("http://www.twitter.com/NathanBLawrence/status/1000894747765026816", "1000894747765026816")</f>
        <v/>
      </c>
      <c r="B666" s="2" t="n">
        <v>43248.01479166667</v>
      </c>
      <c r="C666" t="n">
        <v>0</v>
      </c>
      <c r="D666" t="n">
        <v>9153</v>
      </c>
      <c r="E666" t="s">
        <v>677</v>
      </c>
      <c r="F666" t="s"/>
      <c r="G666" t="s"/>
      <c r="H666" t="s"/>
      <c r="I666" t="s"/>
      <c r="J666" t="n">
        <v>0.6369</v>
      </c>
      <c r="K666" t="n">
        <v>0</v>
      </c>
      <c r="L666" t="n">
        <v>0.741</v>
      </c>
      <c r="M666" t="n">
        <v>0.259</v>
      </c>
    </row>
    <row r="667" spans="1:13">
      <c r="A667" s="1">
        <f>HYPERLINK("http://www.twitter.com/NathanBLawrence/status/1000894424908517376", "1000894424908517376")</f>
        <v/>
      </c>
      <c r="B667" s="2" t="n">
        <v>43248.01390046296</v>
      </c>
      <c r="C667" t="n">
        <v>0</v>
      </c>
      <c r="D667" t="n">
        <v>137</v>
      </c>
      <c r="E667" t="s">
        <v>678</v>
      </c>
      <c r="F667" t="s"/>
      <c r="G667" t="s"/>
      <c r="H667" t="s"/>
      <c r="I667" t="s"/>
      <c r="J667" t="n">
        <v>0.4767</v>
      </c>
      <c r="K667" t="n">
        <v>0</v>
      </c>
      <c r="L667" t="n">
        <v>0.866</v>
      </c>
      <c r="M667" t="n">
        <v>0.134</v>
      </c>
    </row>
    <row r="668" spans="1:13">
      <c r="A668" s="1">
        <f>HYPERLINK("http://www.twitter.com/NathanBLawrence/status/1000894327030190085", "1000894327030190085")</f>
        <v/>
      </c>
      <c r="B668" s="2" t="n">
        <v>43248.01362268518</v>
      </c>
      <c r="C668" t="n">
        <v>0</v>
      </c>
      <c r="D668" t="n">
        <v>132</v>
      </c>
      <c r="E668" t="s">
        <v>679</v>
      </c>
      <c r="F668" t="s"/>
      <c r="G668" t="s"/>
      <c r="H668" t="s"/>
      <c r="I668" t="s"/>
      <c r="J668" t="n">
        <v>0</v>
      </c>
      <c r="K668" t="n">
        <v>0</v>
      </c>
      <c r="L668" t="n">
        <v>1</v>
      </c>
      <c r="M668" t="n">
        <v>0</v>
      </c>
    </row>
    <row r="669" spans="1:13">
      <c r="A669" s="1">
        <f>HYPERLINK("http://www.twitter.com/NathanBLawrence/status/1000893993989885959", "1000893993989885959")</f>
        <v/>
      </c>
      <c r="B669" s="2" t="n">
        <v>43248.01270833334</v>
      </c>
      <c r="C669" t="n">
        <v>0</v>
      </c>
      <c r="D669" t="n">
        <v>650</v>
      </c>
      <c r="E669" t="s">
        <v>680</v>
      </c>
      <c r="F669">
        <f>HYPERLINK("http://pbs.twimg.com/media/DePUnyJX4AEYRPr.jpg", "http://pbs.twimg.com/media/DePUnyJX4AEYRPr.jpg")</f>
        <v/>
      </c>
      <c r="G669" t="s"/>
      <c r="H669" t="s"/>
      <c r="I669" t="s"/>
      <c r="J669" t="n">
        <v>0.2732</v>
      </c>
      <c r="K669" t="n">
        <v>0</v>
      </c>
      <c r="L669" t="n">
        <v>0.916</v>
      </c>
      <c r="M669" t="n">
        <v>0.08400000000000001</v>
      </c>
    </row>
    <row r="670" spans="1:13">
      <c r="A670" s="1">
        <f>HYPERLINK("http://www.twitter.com/NathanBLawrence/status/1000893526949945344", "1000893526949945344")</f>
        <v/>
      </c>
      <c r="B670" s="2" t="n">
        <v>43248.01142361111</v>
      </c>
      <c r="C670" t="n">
        <v>0</v>
      </c>
      <c r="D670" t="n">
        <v>23</v>
      </c>
      <c r="E670" t="s">
        <v>681</v>
      </c>
      <c r="F670" t="s"/>
      <c r="G670" t="s"/>
      <c r="H670" t="s"/>
      <c r="I670" t="s"/>
      <c r="J670" t="n">
        <v>-0.3612</v>
      </c>
      <c r="K670" t="n">
        <v>0.185</v>
      </c>
      <c r="L670" t="n">
        <v>0.8149999999999999</v>
      </c>
      <c r="M670" t="n">
        <v>0</v>
      </c>
    </row>
    <row r="671" spans="1:13">
      <c r="A671" s="1">
        <f>HYPERLINK("http://www.twitter.com/NathanBLawrence/status/1000893467097264129", "1000893467097264129")</f>
        <v/>
      </c>
      <c r="B671" s="2" t="n">
        <v>43248.01125</v>
      </c>
      <c r="C671" t="n">
        <v>0</v>
      </c>
      <c r="D671" t="n">
        <v>149</v>
      </c>
      <c r="E671" t="s">
        <v>682</v>
      </c>
      <c r="F671" t="s"/>
      <c r="G671" t="s"/>
      <c r="H671" t="s"/>
      <c r="I671" t="s"/>
      <c r="J671" t="n">
        <v>-0.4404</v>
      </c>
      <c r="K671" t="n">
        <v>0.121</v>
      </c>
      <c r="L671" t="n">
        <v>0.879</v>
      </c>
      <c r="M671" t="n">
        <v>0</v>
      </c>
    </row>
    <row r="672" spans="1:13">
      <c r="A672" s="1">
        <f>HYPERLINK("http://www.twitter.com/NathanBLawrence/status/1000893413896675328", "1000893413896675328")</f>
        <v/>
      </c>
      <c r="B672" s="2" t="n">
        <v>43248.01111111111</v>
      </c>
      <c r="C672" t="n">
        <v>0</v>
      </c>
      <c r="D672" t="n">
        <v>2491</v>
      </c>
      <c r="E672" t="s">
        <v>683</v>
      </c>
      <c r="F672" t="s"/>
      <c r="G672" t="s"/>
      <c r="H672" t="s"/>
      <c r="I672" t="s"/>
      <c r="J672" t="n">
        <v>0.5994</v>
      </c>
      <c r="K672" t="n">
        <v>0</v>
      </c>
      <c r="L672" t="n">
        <v>0.803</v>
      </c>
      <c r="M672" t="n">
        <v>0.197</v>
      </c>
    </row>
    <row r="673" spans="1:13">
      <c r="A673" s="1">
        <f>HYPERLINK("http://www.twitter.com/NathanBLawrence/status/1000893375535550464", "1000893375535550464")</f>
        <v/>
      </c>
      <c r="B673" s="2" t="n">
        <v>43248.01100694444</v>
      </c>
      <c r="C673" t="n">
        <v>0</v>
      </c>
      <c r="D673" t="n">
        <v>2768</v>
      </c>
      <c r="E673" t="s">
        <v>684</v>
      </c>
      <c r="F673" t="s"/>
      <c r="G673" t="s"/>
      <c r="H673" t="s"/>
      <c r="I673" t="s"/>
      <c r="J673" t="n">
        <v>0</v>
      </c>
      <c r="K673" t="n">
        <v>0</v>
      </c>
      <c r="L673" t="n">
        <v>1</v>
      </c>
      <c r="M673" t="n">
        <v>0</v>
      </c>
    </row>
    <row r="674" spans="1:13">
      <c r="A674" s="1">
        <f>HYPERLINK("http://www.twitter.com/NathanBLawrence/status/1000893227782803456", "1000893227782803456")</f>
        <v/>
      </c>
      <c r="B674" s="2" t="n">
        <v>43248.01059027778</v>
      </c>
      <c r="C674" t="n">
        <v>0</v>
      </c>
      <c r="D674" t="n">
        <v>64</v>
      </c>
      <c r="E674" t="s">
        <v>685</v>
      </c>
      <c r="F674" t="s"/>
      <c r="G674" t="s"/>
      <c r="H674" t="s"/>
      <c r="I674" t="s"/>
      <c r="J674" t="n">
        <v>0.4019</v>
      </c>
      <c r="K674" t="n">
        <v>0</v>
      </c>
      <c r="L674" t="n">
        <v>0.87</v>
      </c>
      <c r="M674" t="n">
        <v>0.13</v>
      </c>
    </row>
    <row r="675" spans="1:13">
      <c r="A675" s="1">
        <f>HYPERLINK("http://www.twitter.com/NathanBLawrence/status/1000893140742627329", "1000893140742627329")</f>
        <v/>
      </c>
      <c r="B675" s="2" t="n">
        <v>43248.01035879629</v>
      </c>
      <c r="C675" t="n">
        <v>0</v>
      </c>
      <c r="D675" t="n">
        <v>79</v>
      </c>
      <c r="E675" t="s">
        <v>686</v>
      </c>
      <c r="F675" t="s"/>
      <c r="G675" t="s"/>
      <c r="H675" t="s"/>
      <c r="I675" t="s"/>
      <c r="J675" t="n">
        <v>-0.5319</v>
      </c>
      <c r="K675" t="n">
        <v>0.295</v>
      </c>
      <c r="L675" t="n">
        <v>0.5610000000000001</v>
      </c>
      <c r="M675" t="n">
        <v>0.143</v>
      </c>
    </row>
    <row r="676" spans="1:13">
      <c r="A676" s="1">
        <f>HYPERLINK("http://www.twitter.com/NathanBLawrence/status/1000891591828148224", "1000891591828148224")</f>
        <v/>
      </c>
      <c r="B676" s="2" t="n">
        <v>43248.00607638889</v>
      </c>
      <c r="C676" t="n">
        <v>0</v>
      </c>
      <c r="D676" t="n">
        <v>42</v>
      </c>
      <c r="E676" t="s">
        <v>687</v>
      </c>
      <c r="F676" t="s"/>
      <c r="G676" t="s"/>
      <c r="H676" t="s"/>
      <c r="I676" t="s"/>
      <c r="J676" t="n">
        <v>0.34</v>
      </c>
      <c r="K676" t="n">
        <v>0</v>
      </c>
      <c r="L676" t="n">
        <v>0.87</v>
      </c>
      <c r="M676" t="n">
        <v>0.13</v>
      </c>
    </row>
    <row r="677" spans="1:13">
      <c r="A677" s="1">
        <f>HYPERLINK("http://www.twitter.com/NathanBLawrence/status/1000889345446940672", "1000889345446940672")</f>
        <v/>
      </c>
      <c r="B677" s="2" t="n">
        <v>43247.99988425926</v>
      </c>
      <c r="C677" t="n">
        <v>0</v>
      </c>
      <c r="D677" t="n">
        <v>19</v>
      </c>
      <c r="E677" t="s">
        <v>688</v>
      </c>
      <c r="F677" t="s"/>
      <c r="G677" t="s"/>
      <c r="H677" t="s"/>
      <c r="I677" t="s"/>
      <c r="J677" t="n">
        <v>0</v>
      </c>
      <c r="K677" t="n">
        <v>0</v>
      </c>
      <c r="L677" t="n">
        <v>1</v>
      </c>
      <c r="M677" t="n">
        <v>0</v>
      </c>
    </row>
    <row r="678" spans="1:13">
      <c r="A678" s="1">
        <f>HYPERLINK("http://www.twitter.com/NathanBLawrence/status/1000889116500819977", "1000889116500819977")</f>
        <v/>
      </c>
      <c r="B678" s="2" t="n">
        <v>43247.99924768518</v>
      </c>
      <c r="C678" t="n">
        <v>0</v>
      </c>
      <c r="D678" t="n">
        <v>174</v>
      </c>
      <c r="E678" t="s">
        <v>689</v>
      </c>
      <c r="F678" t="s"/>
      <c r="G678" t="s"/>
      <c r="H678" t="s"/>
      <c r="I678" t="s"/>
      <c r="J678" t="n">
        <v>0.4404</v>
      </c>
      <c r="K678" t="n">
        <v>0.153</v>
      </c>
      <c r="L678" t="n">
        <v>0.605</v>
      </c>
      <c r="M678" t="n">
        <v>0.242</v>
      </c>
    </row>
    <row r="679" spans="1:13">
      <c r="A679" s="1">
        <f>HYPERLINK("http://www.twitter.com/NathanBLawrence/status/1000868027519422464", "1000868027519422464")</f>
        <v/>
      </c>
      <c r="B679" s="2" t="n">
        <v>43247.94105324074</v>
      </c>
      <c r="C679" t="n">
        <v>0</v>
      </c>
      <c r="D679" t="n">
        <v>1</v>
      </c>
      <c r="E679" t="s">
        <v>690</v>
      </c>
      <c r="F679" t="s"/>
      <c r="G679" t="s"/>
      <c r="H679" t="s"/>
      <c r="I679" t="s"/>
      <c r="J679" t="n">
        <v>-0.128</v>
      </c>
      <c r="K679" t="n">
        <v>0.146</v>
      </c>
      <c r="L679" t="n">
        <v>0.731</v>
      </c>
      <c r="M679" t="n">
        <v>0.123</v>
      </c>
    </row>
    <row r="680" spans="1:13">
      <c r="A680" s="1">
        <f>HYPERLINK("http://www.twitter.com/NathanBLawrence/status/1000866596322193408", "1000866596322193408")</f>
        <v/>
      </c>
      <c r="B680" s="2" t="n">
        <v>43247.93710648148</v>
      </c>
      <c r="C680" t="n">
        <v>0</v>
      </c>
      <c r="D680" t="n">
        <v>1677</v>
      </c>
      <c r="E680" t="s">
        <v>691</v>
      </c>
      <c r="F680" t="s"/>
      <c r="G680" t="s"/>
      <c r="H680" t="s"/>
      <c r="I680" t="s"/>
      <c r="J680" t="n">
        <v>0</v>
      </c>
      <c r="K680" t="n">
        <v>0</v>
      </c>
      <c r="L680" t="n">
        <v>1</v>
      </c>
      <c r="M680" t="n">
        <v>0</v>
      </c>
    </row>
    <row r="681" spans="1:13">
      <c r="A681" s="1">
        <f>HYPERLINK("http://www.twitter.com/NathanBLawrence/status/1000866557143248896", "1000866557143248896")</f>
        <v/>
      </c>
      <c r="B681" s="2" t="n">
        <v>43247.93700231481</v>
      </c>
      <c r="C681" t="n">
        <v>0</v>
      </c>
      <c r="D681" t="n">
        <v>1220</v>
      </c>
      <c r="E681" t="s">
        <v>692</v>
      </c>
      <c r="F681">
        <f>HYPERLINK("http://pbs.twimg.com/media/DeNNG1aVMAAegfe.jpg", "http://pbs.twimg.com/media/DeNNG1aVMAAegfe.jpg")</f>
        <v/>
      </c>
      <c r="G681" t="s"/>
      <c r="H681" t="s"/>
      <c r="I681" t="s"/>
      <c r="J681" t="n">
        <v>0.5719</v>
      </c>
      <c r="K681" t="n">
        <v>0</v>
      </c>
      <c r="L681" t="n">
        <v>0.654</v>
      </c>
      <c r="M681" t="n">
        <v>0.346</v>
      </c>
    </row>
    <row r="682" spans="1:13">
      <c r="A682" s="1">
        <f>HYPERLINK("http://www.twitter.com/NathanBLawrence/status/1000866529301458946", "1000866529301458946")</f>
        <v/>
      </c>
      <c r="B682" s="2" t="n">
        <v>43247.9369212963</v>
      </c>
      <c r="C682" t="n">
        <v>0</v>
      </c>
      <c r="D682" t="n">
        <v>363</v>
      </c>
      <c r="E682" t="s">
        <v>693</v>
      </c>
      <c r="F682" t="s"/>
      <c r="G682" t="s"/>
      <c r="H682" t="s"/>
      <c r="I682" t="s"/>
      <c r="J682" t="n">
        <v>-0.8126</v>
      </c>
      <c r="K682" t="n">
        <v>0.346</v>
      </c>
      <c r="L682" t="n">
        <v>0.571</v>
      </c>
      <c r="M682" t="n">
        <v>0.082</v>
      </c>
    </row>
    <row r="683" spans="1:13">
      <c r="A683" s="1">
        <f>HYPERLINK("http://www.twitter.com/NathanBLawrence/status/1000866378063269889", "1000866378063269889")</f>
        <v/>
      </c>
      <c r="B683" s="2" t="n">
        <v>43247.93650462963</v>
      </c>
      <c r="C683" t="n">
        <v>0</v>
      </c>
      <c r="D683" t="n">
        <v>21498</v>
      </c>
      <c r="E683" t="s">
        <v>694</v>
      </c>
      <c r="F683" t="s"/>
      <c r="G683" t="s"/>
      <c r="H683" t="s"/>
      <c r="I683" t="s"/>
      <c r="J683" t="n">
        <v>-0.5106000000000001</v>
      </c>
      <c r="K683" t="n">
        <v>0.232</v>
      </c>
      <c r="L683" t="n">
        <v>0.643</v>
      </c>
      <c r="M683" t="n">
        <v>0.125</v>
      </c>
    </row>
    <row r="684" spans="1:13">
      <c r="A684" s="1">
        <f>HYPERLINK("http://www.twitter.com/NathanBLawrence/status/1000866220344856581", "1000866220344856581")</f>
        <v/>
      </c>
      <c r="B684" s="2" t="n">
        <v>43247.93606481481</v>
      </c>
      <c r="C684" t="n">
        <v>0</v>
      </c>
      <c r="D684" t="n">
        <v>26406</v>
      </c>
      <c r="E684" t="s">
        <v>695</v>
      </c>
      <c r="F684" t="s"/>
      <c r="G684" t="s"/>
      <c r="H684" t="s"/>
      <c r="I684" t="s"/>
      <c r="J684" t="n">
        <v>0.9278</v>
      </c>
      <c r="K684" t="n">
        <v>0</v>
      </c>
      <c r="L684" t="n">
        <v>0.601</v>
      </c>
      <c r="M684" t="n">
        <v>0.399</v>
      </c>
    </row>
    <row r="685" spans="1:13">
      <c r="A685" s="1">
        <f>HYPERLINK("http://www.twitter.com/NathanBLawrence/status/1000865732899627009", "1000865732899627009")</f>
        <v/>
      </c>
      <c r="B685" s="2" t="n">
        <v>43247.93472222222</v>
      </c>
      <c r="C685" t="n">
        <v>0</v>
      </c>
      <c r="D685" t="n">
        <v>818</v>
      </c>
      <c r="E685" t="s">
        <v>696</v>
      </c>
      <c r="F685" t="s"/>
      <c r="G685" t="s"/>
      <c r="H685" t="s"/>
      <c r="I685" t="s"/>
      <c r="J685" t="n">
        <v>0.6369</v>
      </c>
      <c r="K685" t="n">
        <v>0</v>
      </c>
      <c r="L685" t="n">
        <v>0.754</v>
      </c>
      <c r="M685" t="n">
        <v>0.246</v>
      </c>
    </row>
    <row r="686" spans="1:13">
      <c r="A686" s="1">
        <f>HYPERLINK("http://www.twitter.com/NathanBLawrence/status/1000841410961125382", "1000841410961125382")</f>
        <v/>
      </c>
      <c r="B686" s="2" t="n">
        <v>43247.86760416667</v>
      </c>
      <c r="C686" t="n">
        <v>0</v>
      </c>
      <c r="D686" t="n">
        <v>15115</v>
      </c>
      <c r="E686" t="s">
        <v>697</v>
      </c>
      <c r="F686" t="s"/>
      <c r="G686" t="s"/>
      <c r="H686" t="s"/>
      <c r="I686" t="s"/>
      <c r="J686" t="n">
        <v>0.4939</v>
      </c>
      <c r="K686" t="n">
        <v>0</v>
      </c>
      <c r="L686" t="n">
        <v>0.878</v>
      </c>
      <c r="M686" t="n">
        <v>0.122</v>
      </c>
    </row>
    <row r="687" spans="1:13">
      <c r="A687" s="1">
        <f>HYPERLINK("http://www.twitter.com/NathanBLawrence/status/1000840559592968192", "1000840559592968192")</f>
        <v/>
      </c>
      <c r="B687" s="2" t="n">
        <v>43247.86525462963</v>
      </c>
      <c r="C687" t="n">
        <v>0</v>
      </c>
      <c r="D687" t="n">
        <v>203</v>
      </c>
      <c r="E687" t="s">
        <v>698</v>
      </c>
      <c r="F687">
        <f>HYPERLINK("http://pbs.twimg.com/media/DeBnCAvUQAAk2JG.jpg", "http://pbs.twimg.com/media/DeBnCAvUQAAk2JG.jpg")</f>
        <v/>
      </c>
      <c r="G687">
        <f>HYPERLINK("http://pbs.twimg.com/media/DeBnCAxVQAAekd5.jpg", "http://pbs.twimg.com/media/DeBnCAxVQAAekd5.jpg")</f>
        <v/>
      </c>
      <c r="H687">
        <f>HYPERLINK("http://pbs.twimg.com/media/DeBnCAwV4AA3Gyv.jpg", "http://pbs.twimg.com/media/DeBnCAwV4AA3Gyv.jpg")</f>
        <v/>
      </c>
      <c r="I687" t="s"/>
      <c r="J687" t="n">
        <v>0</v>
      </c>
      <c r="K687" t="n">
        <v>0</v>
      </c>
      <c r="L687" t="n">
        <v>1</v>
      </c>
      <c r="M687" t="n">
        <v>0</v>
      </c>
    </row>
    <row r="688" spans="1:13">
      <c r="A688" s="1">
        <f>HYPERLINK("http://www.twitter.com/NathanBLawrence/status/1000829654633152513", "1000829654633152513")</f>
        <v/>
      </c>
      <c r="B688" s="2" t="n">
        <v>43247.83516203704</v>
      </c>
      <c r="C688" t="n">
        <v>0</v>
      </c>
      <c r="D688" t="n">
        <v>0</v>
      </c>
      <c r="E688" t="s">
        <v>699</v>
      </c>
      <c r="F688" t="s"/>
      <c r="G688" t="s"/>
      <c r="H688" t="s"/>
      <c r="I688" t="s"/>
      <c r="J688" t="n">
        <v>-0.7096</v>
      </c>
      <c r="K688" t="n">
        <v>0.457</v>
      </c>
      <c r="L688" t="n">
        <v>0.543</v>
      </c>
      <c r="M688" t="n">
        <v>0</v>
      </c>
    </row>
    <row r="689" spans="1:13">
      <c r="A689" s="1">
        <f>HYPERLINK("http://www.twitter.com/NathanBLawrence/status/1000829466036273153", "1000829466036273153")</f>
        <v/>
      </c>
      <c r="B689" s="2" t="n">
        <v>43247.83464120371</v>
      </c>
      <c r="C689" t="n">
        <v>0</v>
      </c>
      <c r="D689" t="n">
        <v>0</v>
      </c>
      <c r="E689" t="s">
        <v>700</v>
      </c>
      <c r="F689" t="s"/>
      <c r="G689" t="s"/>
      <c r="H689" t="s"/>
      <c r="I689" t="s"/>
      <c r="J689" t="n">
        <v>-0.802</v>
      </c>
      <c r="K689" t="n">
        <v>0.396</v>
      </c>
      <c r="L689" t="n">
        <v>0.604</v>
      </c>
      <c r="M689" t="n">
        <v>0</v>
      </c>
    </row>
    <row r="690" spans="1:13">
      <c r="A690" s="1">
        <f>HYPERLINK("http://www.twitter.com/NathanBLawrence/status/1000828248144703488", "1000828248144703488")</f>
        <v/>
      </c>
      <c r="B690" s="2" t="n">
        <v>43247.83128472222</v>
      </c>
      <c r="C690" t="n">
        <v>0</v>
      </c>
      <c r="D690" t="n">
        <v>3</v>
      </c>
      <c r="E690" t="s">
        <v>701</v>
      </c>
      <c r="F690" t="s"/>
      <c r="G690" t="s"/>
      <c r="H690" t="s"/>
      <c r="I690" t="s"/>
      <c r="J690" t="n">
        <v>-0.6705</v>
      </c>
      <c r="K690" t="n">
        <v>0.2</v>
      </c>
      <c r="L690" t="n">
        <v>0.8</v>
      </c>
      <c r="M690" t="n">
        <v>0</v>
      </c>
    </row>
    <row r="691" spans="1:13">
      <c r="A691" s="1">
        <f>HYPERLINK("http://www.twitter.com/NathanBLawrence/status/1000828167156850690", "1000828167156850690")</f>
        <v/>
      </c>
      <c r="B691" s="2" t="n">
        <v>43247.83106481482</v>
      </c>
      <c r="C691" t="n">
        <v>0</v>
      </c>
      <c r="D691" t="n">
        <v>4</v>
      </c>
      <c r="E691" t="s">
        <v>702</v>
      </c>
      <c r="F691" t="s"/>
      <c r="G691" t="s"/>
      <c r="H691" t="s"/>
      <c r="I691" t="s"/>
      <c r="J691" t="n">
        <v>0</v>
      </c>
      <c r="K691" t="n">
        <v>0</v>
      </c>
      <c r="L691" t="n">
        <v>1</v>
      </c>
      <c r="M691" t="n">
        <v>0</v>
      </c>
    </row>
    <row r="692" spans="1:13">
      <c r="A692" s="1">
        <f>HYPERLINK("http://www.twitter.com/NathanBLawrence/status/1000828154527846401", "1000828154527846401")</f>
        <v/>
      </c>
      <c r="B692" s="2" t="n">
        <v>43247.8310300926</v>
      </c>
      <c r="C692" t="n">
        <v>0</v>
      </c>
      <c r="D692" t="n">
        <v>13</v>
      </c>
      <c r="E692" t="s">
        <v>703</v>
      </c>
      <c r="F692" t="s"/>
      <c r="G692" t="s"/>
      <c r="H692" t="s"/>
      <c r="I692" t="s"/>
      <c r="J692" t="n">
        <v>-0.6697</v>
      </c>
      <c r="K692" t="n">
        <v>0.17</v>
      </c>
      <c r="L692" t="n">
        <v>0.83</v>
      </c>
      <c r="M692" t="n">
        <v>0</v>
      </c>
    </row>
    <row r="693" spans="1:13">
      <c r="A693" s="1">
        <f>HYPERLINK("http://www.twitter.com/NathanBLawrence/status/1000826626257584128", "1000826626257584128")</f>
        <v/>
      </c>
      <c r="B693" s="2" t="n">
        <v>43247.82680555555</v>
      </c>
      <c r="C693" t="n">
        <v>0</v>
      </c>
      <c r="D693" t="n">
        <v>3478</v>
      </c>
      <c r="E693" t="s">
        <v>704</v>
      </c>
      <c r="F693">
        <f>HYPERLINK("https://video.twimg.com/ext_tw_video/1000724359827214336/pu/vid/720x1280/AnBaWumUwGfwwj1k.mp4?tag=3", "https://video.twimg.com/ext_tw_video/1000724359827214336/pu/vid/720x1280/AnBaWumUwGfwwj1k.mp4?tag=3")</f>
        <v/>
      </c>
      <c r="G693" t="s"/>
      <c r="H693" t="s"/>
      <c r="I693" t="s"/>
      <c r="J693" t="n">
        <v>-0.2732</v>
      </c>
      <c r="K693" t="n">
        <v>0.094</v>
      </c>
      <c r="L693" t="n">
        <v>0.858</v>
      </c>
      <c r="M693" t="n">
        <v>0.047</v>
      </c>
    </row>
    <row r="694" spans="1:13">
      <c r="A694" s="1">
        <f>HYPERLINK("http://www.twitter.com/NathanBLawrence/status/1000824608331829249", "1000824608331829249")</f>
        <v/>
      </c>
      <c r="B694" s="2" t="n">
        <v>43247.82123842592</v>
      </c>
      <c r="C694" t="n">
        <v>0</v>
      </c>
      <c r="D694" t="n">
        <v>52</v>
      </c>
      <c r="E694" t="s">
        <v>705</v>
      </c>
      <c r="F694">
        <f>HYPERLINK("http://pbs.twimg.com/media/DeOjg_LVMAAA3-5.jpg", "http://pbs.twimg.com/media/DeOjg_LVMAAA3-5.jpg")</f>
        <v/>
      </c>
      <c r="G694" t="s"/>
      <c r="H694" t="s"/>
      <c r="I694" t="s"/>
      <c r="J694" t="n">
        <v>0.5904</v>
      </c>
      <c r="K694" t="n">
        <v>0</v>
      </c>
      <c r="L694" t="n">
        <v>0.779</v>
      </c>
      <c r="M694" t="n">
        <v>0.221</v>
      </c>
    </row>
    <row r="695" spans="1:13">
      <c r="A695" s="1">
        <f>HYPERLINK("http://www.twitter.com/NathanBLawrence/status/1000727223391973377", "1000727223391973377")</f>
        <v/>
      </c>
      <c r="B695" s="2" t="n">
        <v>43247.55251157407</v>
      </c>
      <c r="C695" t="n">
        <v>0</v>
      </c>
      <c r="D695" t="n">
        <v>444</v>
      </c>
      <c r="E695" t="s">
        <v>706</v>
      </c>
      <c r="F695" t="s"/>
      <c r="G695" t="s"/>
      <c r="H695" t="s"/>
      <c r="I695" t="s"/>
      <c r="J695" t="n">
        <v>0</v>
      </c>
      <c r="K695" t="n">
        <v>0</v>
      </c>
      <c r="L695" t="n">
        <v>1</v>
      </c>
      <c r="M695" t="n">
        <v>0</v>
      </c>
    </row>
    <row r="696" spans="1:13">
      <c r="A696" s="1">
        <f>HYPERLINK("http://www.twitter.com/NathanBLawrence/status/1000727108350554113", "1000727108350554113")</f>
        <v/>
      </c>
      <c r="B696" s="2" t="n">
        <v>43247.5521875</v>
      </c>
      <c r="C696" t="n">
        <v>0</v>
      </c>
      <c r="D696" t="n">
        <v>0</v>
      </c>
      <c r="E696" t="s">
        <v>707</v>
      </c>
      <c r="F696" t="s"/>
      <c r="G696" t="s"/>
      <c r="H696" t="s"/>
      <c r="I696" t="s"/>
      <c r="J696" t="n">
        <v>-0.1027</v>
      </c>
      <c r="K696" t="n">
        <v>0.076</v>
      </c>
      <c r="L696" t="n">
        <v>0.924</v>
      </c>
      <c r="M696" t="n">
        <v>0</v>
      </c>
    </row>
    <row r="697" spans="1:13">
      <c r="A697" s="1">
        <f>HYPERLINK("http://www.twitter.com/NathanBLawrence/status/1000726600881790976", "1000726600881790976")</f>
        <v/>
      </c>
      <c r="B697" s="2" t="n">
        <v>43247.55078703703</v>
      </c>
      <c r="C697" t="n">
        <v>0</v>
      </c>
      <c r="D697" t="n">
        <v>0</v>
      </c>
      <c r="E697" t="s">
        <v>708</v>
      </c>
      <c r="F697" t="s"/>
      <c r="G697" t="s"/>
      <c r="H697" t="s"/>
      <c r="I697" t="s"/>
      <c r="J697" t="n">
        <v>0.2023</v>
      </c>
      <c r="K697" t="n">
        <v>0.172</v>
      </c>
      <c r="L697" t="n">
        <v>0.664</v>
      </c>
      <c r="M697" t="n">
        <v>0.164</v>
      </c>
    </row>
    <row r="698" spans="1:13">
      <c r="A698" s="1">
        <f>HYPERLINK("http://www.twitter.com/NathanBLawrence/status/1000726260711088135", "1000726260711088135")</f>
        <v/>
      </c>
      <c r="B698" s="2" t="n">
        <v>43247.54984953703</v>
      </c>
      <c r="C698" t="n">
        <v>2</v>
      </c>
      <c r="D698" t="n">
        <v>0</v>
      </c>
      <c r="E698" t="s">
        <v>709</v>
      </c>
      <c r="F698">
        <f>HYPERLINK("http://pbs.twimg.com/media/DeNLOkMVQAAKZCv.jpg", "http://pbs.twimg.com/media/DeNLOkMVQAAKZCv.jpg")</f>
        <v/>
      </c>
      <c r="G698" t="s"/>
      <c r="H698" t="s"/>
      <c r="I698" t="s"/>
      <c r="J698" t="n">
        <v>-0.3182</v>
      </c>
      <c r="K698" t="n">
        <v>0.119</v>
      </c>
      <c r="L698" t="n">
        <v>0.881</v>
      </c>
      <c r="M698" t="n">
        <v>0</v>
      </c>
    </row>
    <row r="699" spans="1:13">
      <c r="A699" s="1">
        <f>HYPERLINK("http://www.twitter.com/NathanBLawrence/status/1000716907442515968", "1000716907442515968")</f>
        <v/>
      </c>
      <c r="B699" s="2" t="n">
        <v>43247.52403935185</v>
      </c>
      <c r="C699" t="n">
        <v>0</v>
      </c>
      <c r="D699" t="n">
        <v>0</v>
      </c>
      <c r="E699" t="s">
        <v>710</v>
      </c>
      <c r="F699">
        <f>HYPERLINK("http://pbs.twimg.com/media/DeNCuH8VwAA5AvD.jpg", "http://pbs.twimg.com/media/DeNCuH8VwAA5AvD.jpg")</f>
        <v/>
      </c>
      <c r="G699" t="s"/>
      <c r="H699" t="s"/>
      <c r="I699" t="s"/>
      <c r="J699" t="n">
        <v>0.4199</v>
      </c>
      <c r="K699" t="n">
        <v>0.08400000000000001</v>
      </c>
      <c r="L699" t="n">
        <v>0.734</v>
      </c>
      <c r="M699" t="n">
        <v>0.182</v>
      </c>
    </row>
    <row r="700" spans="1:13">
      <c r="A700" s="1">
        <f>HYPERLINK("http://www.twitter.com/NathanBLawrence/status/1000716267827990528", "1000716267827990528")</f>
        <v/>
      </c>
      <c r="B700" s="2" t="n">
        <v>43247.52228009259</v>
      </c>
      <c r="C700" t="n">
        <v>0</v>
      </c>
      <c r="D700" t="n">
        <v>0</v>
      </c>
      <c r="E700" t="s">
        <v>711</v>
      </c>
      <c r="F700">
        <f>HYPERLINK("http://pbs.twimg.com/media/DeNCI4JUQAI_u_Z.jpg", "http://pbs.twimg.com/media/DeNCI4JUQAI_u_Z.jpg")</f>
        <v/>
      </c>
      <c r="G700" t="s"/>
      <c r="H700" t="s"/>
      <c r="I700" t="s"/>
      <c r="J700" t="n">
        <v>0.3535</v>
      </c>
      <c r="K700" t="n">
        <v>0</v>
      </c>
      <c r="L700" t="n">
        <v>0.859</v>
      </c>
      <c r="M700" t="n">
        <v>0.141</v>
      </c>
    </row>
    <row r="701" spans="1:13">
      <c r="A701" s="1">
        <f>HYPERLINK("http://www.twitter.com/NathanBLawrence/status/1000715833876901888", "1000715833876901888")</f>
        <v/>
      </c>
      <c r="B701" s="2" t="n">
        <v>43247.52107638889</v>
      </c>
      <c r="C701" t="n">
        <v>0</v>
      </c>
      <c r="D701" t="n">
        <v>0</v>
      </c>
      <c r="E701" t="s">
        <v>712</v>
      </c>
      <c r="F701">
        <f>HYPERLINK("http://pbs.twimg.com/media/DeNBvmSVwAAQaba.jpg", "http://pbs.twimg.com/media/DeNBvmSVwAAQaba.jpg")</f>
        <v/>
      </c>
      <c r="G701" t="s"/>
      <c r="H701" t="s"/>
      <c r="I701" t="s"/>
      <c r="J701" t="n">
        <v>0.5994</v>
      </c>
      <c r="K701" t="n">
        <v>0.113</v>
      </c>
      <c r="L701" t="n">
        <v>0.623</v>
      </c>
      <c r="M701" t="n">
        <v>0.265</v>
      </c>
    </row>
    <row r="702" spans="1:13">
      <c r="A702" s="1">
        <f>HYPERLINK("http://www.twitter.com/NathanBLawrence/status/1000712112136736768", "1000712112136736768")</f>
        <v/>
      </c>
      <c r="B702" s="2" t="n">
        <v>43247.51081018519</v>
      </c>
      <c r="C702" t="n">
        <v>0</v>
      </c>
      <c r="D702" t="n">
        <v>0</v>
      </c>
      <c r="E702" t="s">
        <v>713</v>
      </c>
      <c r="F702">
        <f>HYPERLINK("http://pbs.twimg.com/media/DeM-XAFV4AAlnwU.jpg", "http://pbs.twimg.com/media/DeM-XAFV4AAlnwU.jpg")</f>
        <v/>
      </c>
      <c r="G702" t="s"/>
      <c r="H702" t="s"/>
      <c r="I702" t="s"/>
      <c r="J702" t="n">
        <v>0</v>
      </c>
      <c r="K702" t="n">
        <v>0</v>
      </c>
      <c r="L702" t="n">
        <v>1</v>
      </c>
      <c r="M702" t="n">
        <v>0</v>
      </c>
    </row>
    <row r="703" spans="1:13">
      <c r="A703" s="1">
        <f>HYPERLINK("http://www.twitter.com/NathanBLawrence/status/1000711594513453058", "1000711594513453058")</f>
        <v/>
      </c>
      <c r="B703" s="2" t="n">
        <v>43247.50938657407</v>
      </c>
      <c r="C703" t="n">
        <v>0</v>
      </c>
      <c r="D703" t="n">
        <v>0</v>
      </c>
      <c r="E703" t="s">
        <v>714</v>
      </c>
      <c r="F703">
        <f>HYPERLINK("http://pbs.twimg.com/media/DeM945vVQAAenHW.jpg", "http://pbs.twimg.com/media/DeM945vVQAAenHW.jpg")</f>
        <v/>
      </c>
      <c r="G703" t="s"/>
      <c r="H703" t="s"/>
      <c r="I703" t="s"/>
      <c r="J703" t="n">
        <v>0.4939</v>
      </c>
      <c r="K703" t="n">
        <v>0.173</v>
      </c>
      <c r="L703" t="n">
        <v>0.449</v>
      </c>
      <c r="M703" t="n">
        <v>0.378</v>
      </c>
    </row>
    <row r="704" spans="1:13">
      <c r="A704" s="1">
        <f>HYPERLINK("http://www.twitter.com/NathanBLawrence/status/1000711260365885440", "1000711260365885440")</f>
        <v/>
      </c>
      <c r="B704" s="2" t="n">
        <v>43247.50846064815</v>
      </c>
      <c r="C704" t="n">
        <v>0</v>
      </c>
      <c r="D704" t="n">
        <v>0</v>
      </c>
      <c r="E704" t="s">
        <v>715</v>
      </c>
      <c r="F704">
        <f>HYPERLINK("http://pbs.twimg.com/media/DeM9ldvV0AUA88d.jpg", "http://pbs.twimg.com/media/DeM9ldvV0AUA88d.jpg")</f>
        <v/>
      </c>
      <c r="G704" t="s"/>
      <c r="H704" t="s"/>
      <c r="I704" t="s"/>
      <c r="J704" t="n">
        <v>0</v>
      </c>
      <c r="K704" t="n">
        <v>0</v>
      </c>
      <c r="L704" t="n">
        <v>1</v>
      </c>
      <c r="M704" t="n">
        <v>0</v>
      </c>
    </row>
    <row r="705" spans="1:13">
      <c r="A705" s="1">
        <f>HYPERLINK("http://www.twitter.com/NathanBLawrence/status/1000710915044597760", "1000710915044597760")</f>
        <v/>
      </c>
      <c r="B705" s="2" t="n">
        <v>43247.50751157408</v>
      </c>
      <c r="C705" t="n">
        <v>0</v>
      </c>
      <c r="D705" t="n">
        <v>0</v>
      </c>
      <c r="E705" t="s">
        <v>716</v>
      </c>
      <c r="F705">
        <f>HYPERLINK("http://pbs.twimg.com/media/DeM9RKtV4AAIXLd.jpg", "http://pbs.twimg.com/media/DeM9RKtV4AAIXLd.jpg")</f>
        <v/>
      </c>
      <c r="G705" t="s"/>
      <c r="H705" t="s"/>
      <c r="I705" t="s"/>
      <c r="J705" t="n">
        <v>0</v>
      </c>
      <c r="K705" t="n">
        <v>0</v>
      </c>
      <c r="L705" t="n">
        <v>1</v>
      </c>
      <c r="M705" t="n">
        <v>0</v>
      </c>
    </row>
    <row r="706" spans="1:13">
      <c r="A706" s="1">
        <f>HYPERLINK("http://www.twitter.com/NathanBLawrence/status/1000710610399657984", "1000710610399657984")</f>
        <v/>
      </c>
      <c r="B706" s="2" t="n">
        <v>43247.50666666667</v>
      </c>
      <c r="C706" t="n">
        <v>0</v>
      </c>
      <c r="D706" t="n">
        <v>294</v>
      </c>
      <c r="E706" t="s">
        <v>717</v>
      </c>
      <c r="F706" t="s"/>
      <c r="G706" t="s"/>
      <c r="H706" t="s"/>
      <c r="I706" t="s"/>
      <c r="J706" t="n">
        <v>0.7096</v>
      </c>
      <c r="K706" t="n">
        <v>0</v>
      </c>
      <c r="L706" t="n">
        <v>0.781</v>
      </c>
      <c r="M706" t="n">
        <v>0.219</v>
      </c>
    </row>
    <row r="707" spans="1:13">
      <c r="A707" s="1">
        <f>HYPERLINK("http://www.twitter.com/NathanBLawrence/status/1000710565965238272", "1000710565965238272")</f>
        <v/>
      </c>
      <c r="B707" s="2" t="n">
        <v>43247.50653935185</v>
      </c>
      <c r="C707" t="n">
        <v>0</v>
      </c>
      <c r="D707" t="n">
        <v>2</v>
      </c>
      <c r="E707" t="s">
        <v>718</v>
      </c>
      <c r="F707" t="s"/>
      <c r="G707" t="s"/>
      <c r="H707" t="s"/>
      <c r="I707" t="s"/>
      <c r="J707" t="n">
        <v>0</v>
      </c>
      <c r="K707" t="n">
        <v>0</v>
      </c>
      <c r="L707" t="n">
        <v>1</v>
      </c>
      <c r="M707" t="n">
        <v>0</v>
      </c>
    </row>
    <row r="708" spans="1:13">
      <c r="A708" s="1">
        <f>HYPERLINK("http://www.twitter.com/NathanBLawrence/status/1000710538417115136", "1000710538417115136")</f>
        <v/>
      </c>
      <c r="B708" s="2" t="n">
        <v>43247.50646990741</v>
      </c>
      <c r="C708" t="n">
        <v>0</v>
      </c>
      <c r="D708" t="n">
        <v>187</v>
      </c>
      <c r="E708" t="s">
        <v>719</v>
      </c>
      <c r="F708">
        <f>HYPERLINK("http://pbs.twimg.com/media/DeM1XJDXkAAh_qz.jpg", "http://pbs.twimg.com/media/DeM1XJDXkAAh_qz.jpg")</f>
        <v/>
      </c>
      <c r="G708" t="s"/>
      <c r="H708" t="s"/>
      <c r="I708" t="s"/>
      <c r="J708" t="n">
        <v>0.743</v>
      </c>
      <c r="K708" t="n">
        <v>0</v>
      </c>
      <c r="L708" t="n">
        <v>0.733</v>
      </c>
      <c r="M708" t="n">
        <v>0.267</v>
      </c>
    </row>
    <row r="709" spans="1:13">
      <c r="A709" s="1">
        <f>HYPERLINK("http://www.twitter.com/NathanBLawrence/status/1000710497187127298", "1000710497187127298")</f>
        <v/>
      </c>
      <c r="B709" s="2" t="n">
        <v>43247.50635416667</v>
      </c>
      <c r="C709" t="n">
        <v>0</v>
      </c>
      <c r="D709" t="n">
        <v>2391</v>
      </c>
      <c r="E709" t="s">
        <v>720</v>
      </c>
      <c r="F709" t="s"/>
      <c r="G709" t="s"/>
      <c r="H709" t="s"/>
      <c r="I709" t="s"/>
      <c r="J709" t="n">
        <v>-0.8957000000000001</v>
      </c>
      <c r="K709" t="n">
        <v>0.375</v>
      </c>
      <c r="L709" t="n">
        <v>0.625</v>
      </c>
      <c r="M709" t="n">
        <v>0</v>
      </c>
    </row>
    <row r="710" spans="1:13">
      <c r="A710" s="1">
        <f>HYPERLINK("http://www.twitter.com/NathanBLawrence/status/1000710469261385728", "1000710469261385728")</f>
        <v/>
      </c>
      <c r="B710" s="2" t="n">
        <v>43247.50627314814</v>
      </c>
      <c r="C710" t="n">
        <v>0</v>
      </c>
      <c r="D710" t="n">
        <v>3192</v>
      </c>
      <c r="E710" t="s">
        <v>721</v>
      </c>
      <c r="F710" t="s"/>
      <c r="G710" t="s"/>
      <c r="H710" t="s"/>
      <c r="I710" t="s"/>
      <c r="J710" t="n">
        <v>-0.5719</v>
      </c>
      <c r="K710" t="n">
        <v>0.198</v>
      </c>
      <c r="L710" t="n">
        <v>0.802</v>
      </c>
      <c r="M710" t="n">
        <v>0</v>
      </c>
    </row>
    <row r="711" spans="1:13">
      <c r="A711" s="1">
        <f>HYPERLINK("http://www.twitter.com/NathanBLawrence/status/1000710409496776704", "1000710409496776704")</f>
        <v/>
      </c>
      <c r="B711" s="2" t="n">
        <v>43247.50611111111</v>
      </c>
      <c r="C711" t="n">
        <v>0</v>
      </c>
      <c r="D711" t="n">
        <v>8</v>
      </c>
      <c r="E711" t="s">
        <v>722</v>
      </c>
      <c r="F711" t="s"/>
      <c r="G711" t="s"/>
      <c r="H711" t="s"/>
      <c r="I711" t="s"/>
      <c r="J711" t="n">
        <v>0</v>
      </c>
      <c r="K711" t="n">
        <v>0</v>
      </c>
      <c r="L711" t="n">
        <v>1</v>
      </c>
      <c r="M711" t="n">
        <v>0</v>
      </c>
    </row>
    <row r="712" spans="1:13">
      <c r="A712" s="1">
        <f>HYPERLINK("http://www.twitter.com/NathanBLawrence/status/1000710378941239296", "1000710378941239296")</f>
        <v/>
      </c>
      <c r="B712" s="2" t="n">
        <v>43247.50603009259</v>
      </c>
      <c r="C712" t="n">
        <v>0</v>
      </c>
      <c r="D712" t="n">
        <v>3</v>
      </c>
      <c r="E712" t="s">
        <v>723</v>
      </c>
      <c r="F712" t="s"/>
      <c r="G712" t="s"/>
      <c r="H712" t="s"/>
      <c r="I712" t="s"/>
      <c r="J712" t="n">
        <v>-0.4019</v>
      </c>
      <c r="K712" t="n">
        <v>0.278</v>
      </c>
      <c r="L712" t="n">
        <v>0.722</v>
      </c>
      <c r="M712" t="n">
        <v>0</v>
      </c>
    </row>
    <row r="713" spans="1:13">
      <c r="A713" s="1">
        <f>HYPERLINK("http://www.twitter.com/NathanBLawrence/status/1000710272896716802", "1000710272896716802")</f>
        <v/>
      </c>
      <c r="B713" s="2" t="n">
        <v>43247.50574074074</v>
      </c>
      <c r="C713" t="n">
        <v>0</v>
      </c>
      <c r="D713" t="n">
        <v>654</v>
      </c>
      <c r="E713" t="s">
        <v>724</v>
      </c>
      <c r="F713">
        <f>HYPERLINK("https://video.twimg.com/amplify_video/1000384494073995264/vid/1280x720/bpUMFiEBxOzNtGyY.mp4?tag=2", "https://video.twimg.com/amplify_video/1000384494073995264/vid/1280x720/bpUMFiEBxOzNtGyY.mp4?tag=2")</f>
        <v/>
      </c>
      <c r="G713" t="s"/>
      <c r="H713" t="s"/>
      <c r="I713" t="s"/>
      <c r="J713" t="n">
        <v>0</v>
      </c>
      <c r="K713" t="n">
        <v>0</v>
      </c>
      <c r="L713" t="n">
        <v>1</v>
      </c>
      <c r="M713" t="n">
        <v>0</v>
      </c>
    </row>
    <row r="714" spans="1:13">
      <c r="A714" s="1">
        <f>HYPERLINK("http://www.twitter.com/NathanBLawrence/status/1000710117363539968", "1000710117363539968")</f>
        <v/>
      </c>
      <c r="B714" s="2" t="n">
        <v>43247.50530092593</v>
      </c>
      <c r="C714" t="n">
        <v>0</v>
      </c>
      <c r="D714" t="n">
        <v>338</v>
      </c>
      <c r="E714" t="s">
        <v>725</v>
      </c>
      <c r="F714">
        <f>HYPERLINK("http://pbs.twimg.com/media/DeKoJKwXkAEpE2n.jpg", "http://pbs.twimg.com/media/DeKoJKwXkAEpE2n.jpg")</f>
        <v/>
      </c>
      <c r="G714" t="s"/>
      <c r="H714" t="s"/>
      <c r="I714" t="s"/>
      <c r="J714" t="n">
        <v>0.5994</v>
      </c>
      <c r="K714" t="n">
        <v>0</v>
      </c>
      <c r="L714" t="n">
        <v>0.55</v>
      </c>
      <c r="M714" t="n">
        <v>0.45</v>
      </c>
    </row>
    <row r="715" spans="1:13">
      <c r="A715" s="1">
        <f>HYPERLINK("http://www.twitter.com/NathanBLawrence/status/1000710051634524160", "1000710051634524160")</f>
        <v/>
      </c>
      <c r="B715" s="2" t="n">
        <v>43247.50512731481</v>
      </c>
      <c r="C715" t="n">
        <v>0</v>
      </c>
      <c r="D715" t="n">
        <v>5139</v>
      </c>
      <c r="E715" t="s">
        <v>726</v>
      </c>
      <c r="F715" t="s"/>
      <c r="G715" t="s"/>
      <c r="H715" t="s"/>
      <c r="I715" t="s"/>
      <c r="J715" t="n">
        <v>0.3182</v>
      </c>
      <c r="K715" t="n">
        <v>0</v>
      </c>
      <c r="L715" t="n">
        <v>0.901</v>
      </c>
      <c r="M715" t="n">
        <v>0.099</v>
      </c>
    </row>
    <row r="716" spans="1:13">
      <c r="A716" s="1">
        <f>HYPERLINK("http://www.twitter.com/NathanBLawrence/status/1000710018478542850", "1000710018478542850")</f>
        <v/>
      </c>
      <c r="B716" s="2" t="n">
        <v>43247.50503472222</v>
      </c>
      <c r="C716" t="n">
        <v>0</v>
      </c>
      <c r="D716" t="n">
        <v>1489</v>
      </c>
      <c r="E716" t="s">
        <v>727</v>
      </c>
      <c r="F716" t="s"/>
      <c r="G716" t="s"/>
      <c r="H716" t="s"/>
      <c r="I716" t="s"/>
      <c r="J716" t="n">
        <v>-0.636</v>
      </c>
      <c r="K716" t="n">
        <v>0.245</v>
      </c>
      <c r="L716" t="n">
        <v>0.755</v>
      </c>
      <c r="M716" t="n">
        <v>0</v>
      </c>
    </row>
    <row r="717" spans="1:13">
      <c r="A717" s="1">
        <f>HYPERLINK("http://www.twitter.com/NathanBLawrence/status/1000709946256871424", "1000709946256871424")</f>
        <v/>
      </c>
      <c r="B717" s="2" t="n">
        <v>43247.50483796297</v>
      </c>
      <c r="C717" t="n">
        <v>0</v>
      </c>
      <c r="D717" t="n">
        <v>977</v>
      </c>
      <c r="E717" t="s">
        <v>728</v>
      </c>
      <c r="F717">
        <f>HYPERLINK("https://video.twimg.com/amplify_video/1000701122162708480/vid/1280x720/91Qp7GYflYTm7NuE.mp4?tag=2", "https://video.twimg.com/amplify_video/1000701122162708480/vid/1280x720/91Qp7GYflYTm7NuE.mp4?tag=2")</f>
        <v/>
      </c>
      <c r="G717" t="s"/>
      <c r="H717" t="s"/>
      <c r="I717" t="s"/>
      <c r="J717" t="n">
        <v>0</v>
      </c>
      <c r="K717" t="n">
        <v>0</v>
      </c>
      <c r="L717" t="n">
        <v>1</v>
      </c>
      <c r="M717" t="n">
        <v>0</v>
      </c>
    </row>
    <row r="718" spans="1:13">
      <c r="A718" s="1">
        <f>HYPERLINK("http://www.twitter.com/NathanBLawrence/status/1000709897821007872", "1000709897821007872")</f>
        <v/>
      </c>
      <c r="B718" s="2" t="n">
        <v>43247.50469907407</v>
      </c>
      <c r="C718" t="n">
        <v>0</v>
      </c>
      <c r="D718" t="n">
        <v>951</v>
      </c>
      <c r="E718" t="s">
        <v>729</v>
      </c>
      <c r="F718" t="s"/>
      <c r="G718" t="s"/>
      <c r="H718" t="s"/>
      <c r="I718" t="s"/>
      <c r="J718" t="n">
        <v>0</v>
      </c>
      <c r="K718" t="n">
        <v>0</v>
      </c>
      <c r="L718" t="n">
        <v>1</v>
      </c>
      <c r="M718" t="n">
        <v>0</v>
      </c>
    </row>
    <row r="719" spans="1:13">
      <c r="A719" s="1">
        <f>HYPERLINK("http://www.twitter.com/NathanBLawrence/status/1000709600314830848", "1000709600314830848")</f>
        <v/>
      </c>
      <c r="B719" s="2" t="n">
        <v>43247.50387731481</v>
      </c>
      <c r="C719" t="n">
        <v>0</v>
      </c>
      <c r="D719" t="n">
        <v>663</v>
      </c>
      <c r="E719" t="s">
        <v>730</v>
      </c>
      <c r="F719" t="s"/>
      <c r="G719" t="s"/>
      <c r="H719" t="s"/>
      <c r="I719" t="s"/>
      <c r="J719" t="n">
        <v>0.4939</v>
      </c>
      <c r="K719" t="n">
        <v>0</v>
      </c>
      <c r="L719" t="n">
        <v>0.862</v>
      </c>
      <c r="M719" t="n">
        <v>0.138</v>
      </c>
    </row>
    <row r="720" spans="1:13">
      <c r="A720" s="1">
        <f>HYPERLINK("http://www.twitter.com/NathanBLawrence/status/1000709488121405440", "1000709488121405440")</f>
        <v/>
      </c>
      <c r="B720" s="2" t="n">
        <v>43247.50356481481</v>
      </c>
      <c r="C720" t="n">
        <v>0</v>
      </c>
      <c r="D720" t="n">
        <v>124</v>
      </c>
      <c r="E720" t="s">
        <v>731</v>
      </c>
      <c r="F720">
        <f>HYPERLINK("http://pbs.twimg.com/media/DeKpWadVwAA6n2c.jpg", "http://pbs.twimg.com/media/DeKpWadVwAA6n2c.jpg")</f>
        <v/>
      </c>
      <c r="G720" t="s"/>
      <c r="H720" t="s"/>
      <c r="I720" t="s"/>
      <c r="J720" t="n">
        <v>0.5487</v>
      </c>
      <c r="K720" t="n">
        <v>0</v>
      </c>
      <c r="L720" t="n">
        <v>0.843</v>
      </c>
      <c r="M720" t="n">
        <v>0.157</v>
      </c>
    </row>
    <row r="721" spans="1:13">
      <c r="A721" s="1">
        <f>HYPERLINK("http://www.twitter.com/NathanBLawrence/status/1000709452289495040", "1000709452289495040")</f>
        <v/>
      </c>
      <c r="B721" s="2" t="n">
        <v>43247.50347222222</v>
      </c>
      <c r="C721" t="n">
        <v>0</v>
      </c>
      <c r="D721" t="n">
        <v>710</v>
      </c>
      <c r="E721" t="s">
        <v>732</v>
      </c>
      <c r="F721">
        <f>HYPERLINK("http://pbs.twimg.com/media/DeK72lBVwAAao-L.jpg", "http://pbs.twimg.com/media/DeK72lBVwAAao-L.jpg")</f>
        <v/>
      </c>
      <c r="G721">
        <f>HYPERLINK("http://pbs.twimg.com/media/DeK72lBV4AECnTE.jpg", "http://pbs.twimg.com/media/DeK72lBV4AECnTE.jpg")</f>
        <v/>
      </c>
      <c r="H721">
        <f>HYPERLINK("http://pbs.twimg.com/media/DeK72k5VQAAlDlj.jpg", "http://pbs.twimg.com/media/DeK72k5VQAAlDlj.jpg")</f>
        <v/>
      </c>
      <c r="I721" t="s"/>
      <c r="J721" t="n">
        <v>0</v>
      </c>
      <c r="K721" t="n">
        <v>0</v>
      </c>
      <c r="L721" t="n">
        <v>1</v>
      </c>
      <c r="M721" t="n">
        <v>0</v>
      </c>
    </row>
    <row r="722" spans="1:13">
      <c r="A722" s="1">
        <f>HYPERLINK("http://www.twitter.com/NathanBLawrence/status/1000709354079817729", "1000709354079817729")</f>
        <v/>
      </c>
      <c r="B722" s="2" t="n">
        <v>43247.50319444444</v>
      </c>
      <c r="C722" t="n">
        <v>0</v>
      </c>
      <c r="D722" t="n">
        <v>37</v>
      </c>
      <c r="E722" t="s">
        <v>733</v>
      </c>
      <c r="F722">
        <f>HYPERLINK("http://pbs.twimg.com/media/DeMUkMIWsAAXMrd.jpg", "http://pbs.twimg.com/media/DeMUkMIWsAAXMrd.jpg")</f>
        <v/>
      </c>
      <c r="G722" t="s"/>
      <c r="H722" t="s"/>
      <c r="I722" t="s"/>
      <c r="J722" t="n">
        <v>0.7351</v>
      </c>
      <c r="K722" t="n">
        <v>0</v>
      </c>
      <c r="L722" t="n">
        <v>0.754</v>
      </c>
      <c r="M722" t="n">
        <v>0.246</v>
      </c>
    </row>
    <row r="723" spans="1:13">
      <c r="A723" s="1">
        <f>HYPERLINK("http://www.twitter.com/NathanBLawrence/status/1000698854663172096", "1000698854663172096")</f>
        <v/>
      </c>
      <c r="B723" s="2" t="n">
        <v>43247.47422453704</v>
      </c>
      <c r="C723" t="n">
        <v>0</v>
      </c>
      <c r="D723" t="n">
        <v>0</v>
      </c>
      <c r="E723" t="s">
        <v>734</v>
      </c>
      <c r="F723" t="s"/>
      <c r="G723" t="s"/>
      <c r="H723" t="s"/>
      <c r="I723" t="s"/>
      <c r="J723" t="n">
        <v>-0.2023</v>
      </c>
      <c r="K723" t="n">
        <v>0.039</v>
      </c>
      <c r="L723" t="n">
        <v>0.961</v>
      </c>
      <c r="M723" t="n">
        <v>0</v>
      </c>
    </row>
    <row r="724" spans="1:13">
      <c r="A724" s="1">
        <f>HYPERLINK("http://www.twitter.com/NathanBLawrence/status/1000698111130521600", "1000698111130521600")</f>
        <v/>
      </c>
      <c r="B724" s="2" t="n">
        <v>43247.47217592593</v>
      </c>
      <c r="C724" t="n">
        <v>0</v>
      </c>
      <c r="D724" t="n">
        <v>131</v>
      </c>
      <c r="E724" t="s">
        <v>735</v>
      </c>
      <c r="F724" t="s"/>
      <c r="G724" t="s"/>
      <c r="H724" t="s"/>
      <c r="I724" t="s"/>
      <c r="J724" t="n">
        <v>0</v>
      </c>
      <c r="K724" t="n">
        <v>0</v>
      </c>
      <c r="L724" t="n">
        <v>1</v>
      </c>
      <c r="M724" t="n">
        <v>0</v>
      </c>
    </row>
    <row r="725" spans="1:13">
      <c r="A725" s="1">
        <f>HYPERLINK("http://www.twitter.com/NathanBLawrence/status/1000697968176123904", "1000697968176123904")</f>
        <v/>
      </c>
      <c r="B725" s="2" t="n">
        <v>43247.47178240741</v>
      </c>
      <c r="C725" t="n">
        <v>0</v>
      </c>
      <c r="D725" t="n">
        <v>1192</v>
      </c>
      <c r="E725" t="s">
        <v>736</v>
      </c>
      <c r="F725">
        <f>HYPERLINK("http://pbs.twimg.com/media/DeKjVEhVAAA00DC.jpg", "http://pbs.twimg.com/media/DeKjVEhVAAA00DC.jpg")</f>
        <v/>
      </c>
      <c r="G725" t="s"/>
      <c r="H725" t="s"/>
      <c r="I725" t="s"/>
      <c r="J725" t="n">
        <v>0</v>
      </c>
      <c r="K725" t="n">
        <v>0</v>
      </c>
      <c r="L725" t="n">
        <v>1</v>
      </c>
      <c r="M725" t="n">
        <v>0</v>
      </c>
    </row>
    <row r="726" spans="1:13">
      <c r="A726" s="1">
        <f>HYPERLINK("http://www.twitter.com/NathanBLawrence/status/1000697864467730433", "1000697864467730433")</f>
        <v/>
      </c>
      <c r="B726" s="2" t="n">
        <v>43247.47149305556</v>
      </c>
      <c r="C726" t="n">
        <v>0</v>
      </c>
      <c r="D726" t="n">
        <v>1917</v>
      </c>
      <c r="E726" t="s">
        <v>737</v>
      </c>
      <c r="F726">
        <f>HYPERLINK("http://pbs.twimg.com/media/DL-MhkeXkAEkguG.jpg", "http://pbs.twimg.com/media/DL-MhkeXkAEkguG.jpg")</f>
        <v/>
      </c>
      <c r="G726" t="s"/>
      <c r="H726" t="s"/>
      <c r="I726" t="s"/>
      <c r="J726" t="n">
        <v>0</v>
      </c>
      <c r="K726" t="n">
        <v>0</v>
      </c>
      <c r="L726" t="n">
        <v>1</v>
      </c>
      <c r="M726" t="n">
        <v>0</v>
      </c>
    </row>
    <row r="727" spans="1:13">
      <c r="A727" s="1">
        <f>HYPERLINK("http://www.twitter.com/NathanBLawrence/status/1000697816971276288", "1000697816971276288")</f>
        <v/>
      </c>
      <c r="B727" s="2" t="n">
        <v>43247.47136574074</v>
      </c>
      <c r="C727" t="n">
        <v>0</v>
      </c>
      <c r="D727" t="n">
        <v>143</v>
      </c>
      <c r="E727" t="s">
        <v>738</v>
      </c>
      <c r="F727" t="s"/>
      <c r="G727" t="s"/>
      <c r="H727" t="s"/>
      <c r="I727" t="s"/>
      <c r="J727" t="n">
        <v>0</v>
      </c>
      <c r="K727" t="n">
        <v>0</v>
      </c>
      <c r="L727" t="n">
        <v>1</v>
      </c>
      <c r="M727" t="n">
        <v>0</v>
      </c>
    </row>
    <row r="728" spans="1:13">
      <c r="A728" s="1">
        <f>HYPERLINK("http://www.twitter.com/NathanBLawrence/status/1000697597806379008", "1000697597806379008")</f>
        <v/>
      </c>
      <c r="B728" s="2" t="n">
        <v>43247.47076388889</v>
      </c>
      <c r="C728" t="n">
        <v>1</v>
      </c>
      <c r="D728" t="n">
        <v>1</v>
      </c>
      <c r="E728" t="s">
        <v>739</v>
      </c>
      <c r="F728" t="s"/>
      <c r="G728" t="s"/>
      <c r="H728" t="s"/>
      <c r="I728" t="s"/>
      <c r="J728" t="n">
        <v>0</v>
      </c>
      <c r="K728" t="n">
        <v>0</v>
      </c>
      <c r="L728" t="n">
        <v>1</v>
      </c>
      <c r="M728" t="n">
        <v>0</v>
      </c>
    </row>
    <row r="729" spans="1:13">
      <c r="A729" s="1">
        <f>HYPERLINK("http://www.twitter.com/NathanBLawrence/status/1000697452650029057", "1000697452650029057")</f>
        <v/>
      </c>
      <c r="B729" s="2" t="n">
        <v>43247.47035879629</v>
      </c>
      <c r="C729" t="n">
        <v>0</v>
      </c>
      <c r="D729" t="n">
        <v>307</v>
      </c>
      <c r="E729" t="s">
        <v>740</v>
      </c>
      <c r="F729">
        <f>HYPERLINK("http://pbs.twimg.com/media/DeESs-6WsAA4RsQ.jpg", "http://pbs.twimg.com/media/DeESs-6WsAA4RsQ.jpg")</f>
        <v/>
      </c>
      <c r="G729" t="s"/>
      <c r="H729" t="s"/>
      <c r="I729" t="s"/>
      <c r="J729" t="n">
        <v>0</v>
      </c>
      <c r="K729" t="n">
        <v>0</v>
      </c>
      <c r="L729" t="n">
        <v>1</v>
      </c>
      <c r="M729" t="n">
        <v>0</v>
      </c>
    </row>
    <row r="730" spans="1:13">
      <c r="A730" s="1">
        <f>HYPERLINK("http://www.twitter.com/NathanBLawrence/status/1000697389433409537", "1000697389433409537")</f>
        <v/>
      </c>
      <c r="B730" s="2" t="n">
        <v>43247.47018518519</v>
      </c>
      <c r="C730" t="n">
        <v>0</v>
      </c>
      <c r="D730" t="n">
        <v>2</v>
      </c>
      <c r="E730" t="s">
        <v>741</v>
      </c>
      <c r="F730" t="s"/>
      <c r="G730" t="s"/>
      <c r="H730" t="s"/>
      <c r="I730" t="s"/>
      <c r="J730" t="n">
        <v>0.8398</v>
      </c>
      <c r="K730" t="n">
        <v>0.07000000000000001</v>
      </c>
      <c r="L730" t="n">
        <v>0.5629999999999999</v>
      </c>
      <c r="M730" t="n">
        <v>0.367</v>
      </c>
    </row>
    <row r="731" spans="1:13">
      <c r="A731" s="1">
        <f>HYPERLINK("http://www.twitter.com/NathanBLawrence/status/1000697360379412480", "1000697360379412480")</f>
        <v/>
      </c>
      <c r="B731" s="2" t="n">
        <v>43247.47010416666</v>
      </c>
      <c r="C731" t="n">
        <v>0</v>
      </c>
      <c r="D731" t="n">
        <v>3850</v>
      </c>
      <c r="E731" t="s">
        <v>742</v>
      </c>
      <c r="F731">
        <f>HYPERLINK("https://video.twimg.com/ext_tw_video/1000143654198104064/pu/vid/720x1280/OMLEUHr2Vk5Q8-3O.mp4?tag=3", "https://video.twimg.com/ext_tw_video/1000143654198104064/pu/vid/720x1280/OMLEUHr2Vk5Q8-3O.mp4?tag=3")</f>
        <v/>
      </c>
      <c r="G731" t="s"/>
      <c r="H731" t="s"/>
      <c r="I731" t="s"/>
      <c r="J731" t="n">
        <v>-0.7178</v>
      </c>
      <c r="K731" t="n">
        <v>0.316</v>
      </c>
      <c r="L731" t="n">
        <v>0.6840000000000001</v>
      </c>
      <c r="M731" t="n">
        <v>0</v>
      </c>
    </row>
    <row r="732" spans="1:13">
      <c r="A732" s="1">
        <f>HYPERLINK("http://www.twitter.com/NathanBLawrence/status/1000697137578106880", "1000697137578106880")</f>
        <v/>
      </c>
      <c r="B732" s="2" t="n">
        <v>43247.46949074074</v>
      </c>
      <c r="C732" t="n">
        <v>0</v>
      </c>
      <c r="D732" t="n">
        <v>3137</v>
      </c>
      <c r="E732" t="s">
        <v>743</v>
      </c>
      <c r="F732" t="s"/>
      <c r="G732" t="s"/>
      <c r="H732" t="s"/>
      <c r="I732" t="s"/>
      <c r="J732" t="n">
        <v>0.5266999999999999</v>
      </c>
      <c r="K732" t="n">
        <v>0.076</v>
      </c>
      <c r="L732" t="n">
        <v>0.729</v>
      </c>
      <c r="M732" t="n">
        <v>0.194</v>
      </c>
    </row>
    <row r="733" spans="1:13">
      <c r="A733" s="1">
        <f>HYPERLINK("http://www.twitter.com/NathanBLawrence/status/1000697022893223937", "1000697022893223937")</f>
        <v/>
      </c>
      <c r="B733" s="2" t="n">
        <v>43247.46916666667</v>
      </c>
      <c r="C733" t="n">
        <v>1</v>
      </c>
      <c r="D733" t="n">
        <v>0</v>
      </c>
      <c r="E733" t="s">
        <v>744</v>
      </c>
      <c r="F733" t="s"/>
      <c r="G733" t="s"/>
      <c r="H733" t="s"/>
      <c r="I733" t="s"/>
      <c r="J733" t="n">
        <v>0</v>
      </c>
      <c r="K733" t="n">
        <v>0</v>
      </c>
      <c r="L733" t="n">
        <v>1</v>
      </c>
      <c r="M733" t="n">
        <v>0</v>
      </c>
    </row>
    <row r="734" spans="1:13">
      <c r="A734" s="1">
        <f>HYPERLINK("http://www.twitter.com/NathanBLawrence/status/1000696669787295744", "1000696669787295744")</f>
        <v/>
      </c>
      <c r="B734" s="2" t="n">
        <v>43247.46819444445</v>
      </c>
      <c r="C734" t="n">
        <v>0</v>
      </c>
      <c r="D734" t="n">
        <v>20</v>
      </c>
      <c r="E734" t="s">
        <v>745</v>
      </c>
      <c r="F734">
        <f>HYPERLINK("http://pbs.twimg.com/media/DeL9ELqX0AA3PDj.jpg", "http://pbs.twimg.com/media/DeL9ELqX0AA3PDj.jpg")</f>
        <v/>
      </c>
      <c r="G734" t="s"/>
      <c r="H734" t="s"/>
      <c r="I734" t="s"/>
      <c r="J734" t="n">
        <v>0</v>
      </c>
      <c r="K734" t="n">
        <v>0</v>
      </c>
      <c r="L734" t="n">
        <v>1</v>
      </c>
      <c r="M734" t="n">
        <v>0</v>
      </c>
    </row>
    <row r="735" spans="1:13">
      <c r="A735" s="1">
        <f>HYPERLINK("http://www.twitter.com/NathanBLawrence/status/1000696621477384192", "1000696621477384192")</f>
        <v/>
      </c>
      <c r="B735" s="2" t="n">
        <v>43247.46806712963</v>
      </c>
      <c r="C735" t="n">
        <v>0</v>
      </c>
      <c r="D735" t="n">
        <v>1</v>
      </c>
      <c r="E735" t="s">
        <v>746</v>
      </c>
      <c r="F735" t="s"/>
      <c r="G735" t="s"/>
      <c r="H735" t="s"/>
      <c r="I735" t="s"/>
      <c r="J735" t="n">
        <v>0</v>
      </c>
      <c r="K735" t="n">
        <v>0</v>
      </c>
      <c r="L735" t="n">
        <v>1</v>
      </c>
      <c r="M735" t="n">
        <v>0</v>
      </c>
    </row>
    <row r="736" spans="1:13">
      <c r="A736" s="1">
        <f>HYPERLINK("http://www.twitter.com/NathanBLawrence/status/1000696562773823488", "1000696562773823488")</f>
        <v/>
      </c>
      <c r="B736" s="2" t="n">
        <v>43247.46790509259</v>
      </c>
      <c r="C736" t="n">
        <v>0</v>
      </c>
      <c r="D736" t="n">
        <v>8</v>
      </c>
      <c r="E736" t="s">
        <v>747</v>
      </c>
      <c r="F736" t="s"/>
      <c r="G736" t="s"/>
      <c r="H736" t="s"/>
      <c r="I736" t="s"/>
      <c r="J736" t="n">
        <v>0.25</v>
      </c>
      <c r="K736" t="n">
        <v>0.145</v>
      </c>
      <c r="L736" t="n">
        <v>0.709</v>
      </c>
      <c r="M736" t="n">
        <v>0.145</v>
      </c>
    </row>
    <row r="737" spans="1:13">
      <c r="A737" s="1">
        <f>HYPERLINK("http://www.twitter.com/NathanBLawrence/status/1000696451150827522", "1000696451150827522")</f>
        <v/>
      </c>
      <c r="B737" s="2" t="n">
        <v>43247.46759259259</v>
      </c>
      <c r="C737" t="n">
        <v>0</v>
      </c>
      <c r="D737" t="n">
        <v>809</v>
      </c>
      <c r="E737" t="s">
        <v>748</v>
      </c>
      <c r="F737">
        <f>HYPERLINK("https://video.twimg.com/ext_tw_video/1000501924171575296/pu/vid/1280x720/zai4wPbM9ss5hvbs.mp4?tag=3", "https://video.twimg.com/ext_tw_video/1000501924171575296/pu/vid/1280x720/zai4wPbM9ss5hvbs.mp4?tag=3")</f>
        <v/>
      </c>
      <c r="G737" t="s"/>
      <c r="H737" t="s"/>
      <c r="I737" t="s"/>
      <c r="J737" t="n">
        <v>0.4019</v>
      </c>
      <c r="K737" t="n">
        <v>0</v>
      </c>
      <c r="L737" t="n">
        <v>0.881</v>
      </c>
      <c r="M737" t="n">
        <v>0.119</v>
      </c>
    </row>
    <row r="738" spans="1:13">
      <c r="A738" s="1">
        <f>HYPERLINK("http://www.twitter.com/NathanBLawrence/status/1000696239376257024", "1000696239376257024")</f>
        <v/>
      </c>
      <c r="B738" s="2" t="n">
        <v>43247.46701388889</v>
      </c>
      <c r="C738" t="n">
        <v>0</v>
      </c>
      <c r="D738" t="n">
        <v>1</v>
      </c>
      <c r="E738" t="s">
        <v>749</v>
      </c>
      <c r="F738" t="s"/>
      <c r="G738" t="s"/>
      <c r="H738" t="s"/>
      <c r="I738" t="s"/>
      <c r="J738" t="n">
        <v>0</v>
      </c>
      <c r="K738" t="n">
        <v>0</v>
      </c>
      <c r="L738" t="n">
        <v>1</v>
      </c>
      <c r="M738" t="n">
        <v>0</v>
      </c>
    </row>
    <row r="739" spans="1:13">
      <c r="A739" s="1">
        <f>HYPERLINK("http://www.twitter.com/NathanBLawrence/status/1000695902888218624", "1000695902888218624")</f>
        <v/>
      </c>
      <c r="B739" s="2" t="n">
        <v>43247.46607638889</v>
      </c>
      <c r="C739" t="n">
        <v>0</v>
      </c>
      <c r="D739" t="n">
        <v>544</v>
      </c>
      <c r="E739" t="s">
        <v>750</v>
      </c>
      <c r="F739" t="s"/>
      <c r="G739" t="s"/>
      <c r="H739" t="s"/>
      <c r="I739" t="s"/>
      <c r="J739" t="n">
        <v>0.3182</v>
      </c>
      <c r="K739" t="n">
        <v>0</v>
      </c>
      <c r="L739" t="n">
        <v>0.85</v>
      </c>
      <c r="M739" t="n">
        <v>0.15</v>
      </c>
    </row>
    <row r="740" spans="1:13">
      <c r="A740" s="1">
        <f>HYPERLINK("http://www.twitter.com/NathanBLawrence/status/1000695327341645824", "1000695327341645824")</f>
        <v/>
      </c>
      <c r="B740" s="2" t="n">
        <v>43247.46449074074</v>
      </c>
      <c r="C740" t="n">
        <v>0</v>
      </c>
      <c r="D740" t="n">
        <v>996</v>
      </c>
      <c r="E740" t="s">
        <v>751</v>
      </c>
      <c r="F740" t="s"/>
      <c r="G740" t="s"/>
      <c r="H740" t="s"/>
      <c r="I740" t="s"/>
      <c r="J740" t="n">
        <v>0.4767</v>
      </c>
      <c r="K740" t="n">
        <v>0</v>
      </c>
      <c r="L740" t="n">
        <v>0.871</v>
      </c>
      <c r="M740" t="n">
        <v>0.129</v>
      </c>
    </row>
    <row r="741" spans="1:13">
      <c r="A741" s="1">
        <f>HYPERLINK("http://www.twitter.com/NathanBLawrence/status/1000695243166093313", "1000695243166093313")</f>
        <v/>
      </c>
      <c r="B741" s="2" t="n">
        <v>43247.46425925926</v>
      </c>
      <c r="C741" t="n">
        <v>0</v>
      </c>
      <c r="D741" t="n">
        <v>4291</v>
      </c>
      <c r="E741" t="s">
        <v>752</v>
      </c>
      <c r="F741" t="s"/>
      <c r="G741" t="s"/>
      <c r="H741" t="s"/>
      <c r="I741" t="s"/>
      <c r="J741" t="n">
        <v>-0.4824</v>
      </c>
      <c r="K741" t="n">
        <v>0.139</v>
      </c>
      <c r="L741" t="n">
        <v>0.795</v>
      </c>
      <c r="M741" t="n">
        <v>0.066</v>
      </c>
    </row>
    <row r="742" spans="1:13">
      <c r="A742" s="1">
        <f>HYPERLINK("http://www.twitter.com/NathanBLawrence/status/1000694027224846336", "1000694027224846336")</f>
        <v/>
      </c>
      <c r="B742" s="2" t="n">
        <v>43247.46090277778</v>
      </c>
      <c r="C742" t="n">
        <v>0</v>
      </c>
      <c r="D742" t="n">
        <v>0</v>
      </c>
      <c r="E742" t="s">
        <v>753</v>
      </c>
      <c r="F742" t="s"/>
      <c r="G742" t="s"/>
      <c r="H742" t="s"/>
      <c r="I742" t="s"/>
      <c r="J742" t="n">
        <v>-0.4404</v>
      </c>
      <c r="K742" t="n">
        <v>0.153</v>
      </c>
      <c r="L742" t="n">
        <v>0.847</v>
      </c>
      <c r="M742" t="n">
        <v>0</v>
      </c>
    </row>
    <row r="743" spans="1:13">
      <c r="A743" s="1">
        <f>HYPERLINK("http://www.twitter.com/NathanBLawrence/status/1000693608394231808", "1000693608394231808")</f>
        <v/>
      </c>
      <c r="B743" s="2" t="n">
        <v>43247.45974537037</v>
      </c>
      <c r="C743" t="n">
        <v>0</v>
      </c>
      <c r="D743" t="n">
        <v>183</v>
      </c>
      <c r="E743" t="s">
        <v>754</v>
      </c>
      <c r="F743" t="s"/>
      <c r="G743" t="s"/>
      <c r="H743" t="s"/>
      <c r="I743" t="s"/>
      <c r="J743" t="n">
        <v>-0.4456</v>
      </c>
      <c r="K743" t="n">
        <v>0.194</v>
      </c>
      <c r="L743" t="n">
        <v>0.711</v>
      </c>
      <c r="M743" t="n">
        <v>0.095</v>
      </c>
    </row>
    <row r="744" spans="1:13">
      <c r="A744" s="1">
        <f>HYPERLINK("http://www.twitter.com/NathanBLawrence/status/1000692778479833089", "1000692778479833089")</f>
        <v/>
      </c>
      <c r="B744" s="2" t="n">
        <v>43247.45746527778</v>
      </c>
      <c r="C744" t="n">
        <v>14</v>
      </c>
      <c r="D744" t="n">
        <v>12</v>
      </c>
      <c r="E744" t="s">
        <v>755</v>
      </c>
      <c r="F744" t="s"/>
      <c r="G744" t="s"/>
      <c r="H744" t="s"/>
      <c r="I744" t="s"/>
      <c r="J744" t="n">
        <v>0.9062</v>
      </c>
      <c r="K744" t="n">
        <v>0.104</v>
      </c>
      <c r="L744" t="n">
        <v>0.614</v>
      </c>
      <c r="M744" t="n">
        <v>0.282</v>
      </c>
    </row>
    <row r="745" spans="1:13">
      <c r="A745" s="1">
        <f>HYPERLINK("http://www.twitter.com/NathanBLawrence/status/1000690723518406656", "1000690723518406656")</f>
        <v/>
      </c>
      <c r="B745" s="2" t="n">
        <v>43247.45179398148</v>
      </c>
      <c r="C745" t="n">
        <v>0</v>
      </c>
      <c r="D745" t="n">
        <v>13</v>
      </c>
      <c r="E745" t="s">
        <v>756</v>
      </c>
      <c r="F745" t="s"/>
      <c r="G745" t="s"/>
      <c r="H745" t="s"/>
      <c r="I745" t="s"/>
      <c r="J745" t="n">
        <v>0.4019</v>
      </c>
      <c r="K745" t="n">
        <v>0</v>
      </c>
      <c r="L745" t="n">
        <v>0.803</v>
      </c>
      <c r="M745" t="n">
        <v>0.197</v>
      </c>
    </row>
    <row r="746" spans="1:13">
      <c r="A746" s="1">
        <f>HYPERLINK("http://www.twitter.com/NathanBLawrence/status/1000690576369553408", "1000690576369553408")</f>
        <v/>
      </c>
      <c r="B746" s="2" t="n">
        <v>43247.45137731481</v>
      </c>
      <c r="C746" t="n">
        <v>0</v>
      </c>
      <c r="D746" t="n">
        <v>1549</v>
      </c>
      <c r="E746" t="s">
        <v>757</v>
      </c>
      <c r="F746">
        <f>HYPERLINK("https://video.twimg.com/ext_tw_video/1000390016143581184/pu/vid/1280x720/j2JDf-FEbpvt55Iy.mp4?tag=3", "https://video.twimg.com/ext_tw_video/1000390016143581184/pu/vid/1280x720/j2JDf-FEbpvt55Iy.mp4?tag=3")</f>
        <v/>
      </c>
      <c r="G746" t="s"/>
      <c r="H746" t="s"/>
      <c r="I746" t="s"/>
      <c r="J746" t="n">
        <v>-0.5106000000000001</v>
      </c>
      <c r="K746" t="n">
        <v>0.229</v>
      </c>
      <c r="L746" t="n">
        <v>0.672</v>
      </c>
      <c r="M746" t="n">
        <v>0.099</v>
      </c>
    </row>
    <row r="747" spans="1:13">
      <c r="A747" s="1">
        <f>HYPERLINK("http://www.twitter.com/NathanBLawrence/status/1000690418852548608", "1000690418852548608")</f>
        <v/>
      </c>
      <c r="B747" s="2" t="n">
        <v>43247.45094907407</v>
      </c>
      <c r="C747" t="n">
        <v>2</v>
      </c>
      <c r="D747" t="n">
        <v>0</v>
      </c>
      <c r="E747" t="s">
        <v>758</v>
      </c>
      <c r="F747" t="s"/>
      <c r="G747" t="s"/>
      <c r="H747" t="s"/>
      <c r="I747" t="s"/>
      <c r="J747" t="n">
        <v>0.5367</v>
      </c>
      <c r="K747" t="n">
        <v>0</v>
      </c>
      <c r="L747" t="n">
        <v>0.722</v>
      </c>
      <c r="M747" t="n">
        <v>0.278</v>
      </c>
    </row>
    <row r="748" spans="1:13">
      <c r="A748" s="1">
        <f>HYPERLINK("http://www.twitter.com/NathanBLawrence/status/1000690141512511490", "1000690141512511490")</f>
        <v/>
      </c>
      <c r="B748" s="2" t="n">
        <v>43247.45018518518</v>
      </c>
      <c r="C748" t="n">
        <v>0</v>
      </c>
      <c r="D748" t="n">
        <v>1</v>
      </c>
      <c r="E748" t="s">
        <v>759</v>
      </c>
      <c r="F748">
        <f>HYPERLINK("http://pbs.twimg.com/media/DeLYPpmXkAEVGuS.jpg", "http://pbs.twimg.com/media/DeLYPpmXkAEVGuS.jpg")</f>
        <v/>
      </c>
      <c r="G748" t="s"/>
      <c r="H748" t="s"/>
      <c r="I748" t="s"/>
      <c r="J748" t="n">
        <v>0.5719</v>
      </c>
      <c r="K748" t="n">
        <v>0</v>
      </c>
      <c r="L748" t="n">
        <v>0.802</v>
      </c>
      <c r="M748" t="n">
        <v>0.198</v>
      </c>
    </row>
    <row r="749" spans="1:13">
      <c r="A749" s="1">
        <f>HYPERLINK("http://www.twitter.com/NathanBLawrence/status/1000597619222171648", "1000597619222171648")</f>
        <v/>
      </c>
      <c r="B749" s="2" t="n">
        <v>43247.19487268518</v>
      </c>
      <c r="C749" t="n">
        <v>0</v>
      </c>
      <c r="D749" t="n">
        <v>801</v>
      </c>
      <c r="E749" t="s">
        <v>760</v>
      </c>
      <c r="F749" t="s"/>
      <c r="G749" t="s"/>
      <c r="H749" t="s"/>
      <c r="I749" t="s"/>
      <c r="J749" t="n">
        <v>0</v>
      </c>
      <c r="K749" t="n">
        <v>0</v>
      </c>
      <c r="L749" t="n">
        <v>1</v>
      </c>
      <c r="M749" t="n">
        <v>0</v>
      </c>
    </row>
    <row r="750" spans="1:13">
      <c r="A750" s="1">
        <f>HYPERLINK("http://www.twitter.com/NathanBLawrence/status/1000597482307571713", "1000597482307571713")</f>
        <v/>
      </c>
      <c r="B750" s="2" t="n">
        <v>43247.19449074074</v>
      </c>
      <c r="C750" t="n">
        <v>0</v>
      </c>
      <c r="D750" t="n">
        <v>0</v>
      </c>
      <c r="E750" t="s">
        <v>761</v>
      </c>
      <c r="F750" t="s"/>
      <c r="G750" t="s"/>
      <c r="H750" t="s"/>
      <c r="I750" t="s"/>
      <c r="J750" t="n">
        <v>0.1007</v>
      </c>
      <c r="K750" t="n">
        <v>0</v>
      </c>
      <c r="L750" t="n">
        <v>0.928</v>
      </c>
      <c r="M750" t="n">
        <v>0.07199999999999999</v>
      </c>
    </row>
    <row r="751" spans="1:13">
      <c r="A751" s="1">
        <f>HYPERLINK("http://www.twitter.com/NathanBLawrence/status/1000596924729356288", "1000596924729356288")</f>
        <v/>
      </c>
      <c r="B751" s="2" t="n">
        <v>43247.19295138889</v>
      </c>
      <c r="C751" t="n">
        <v>0</v>
      </c>
      <c r="D751" t="n">
        <v>814</v>
      </c>
      <c r="E751" t="s">
        <v>762</v>
      </c>
      <c r="F751" t="s"/>
      <c r="G751" t="s"/>
      <c r="H751" t="s"/>
      <c r="I751" t="s"/>
      <c r="J751" t="n">
        <v>0</v>
      </c>
      <c r="K751" t="n">
        <v>0</v>
      </c>
      <c r="L751" t="n">
        <v>1</v>
      </c>
      <c r="M751" t="n">
        <v>0</v>
      </c>
    </row>
    <row r="752" spans="1:13">
      <c r="A752" s="1">
        <f>HYPERLINK("http://www.twitter.com/NathanBLawrence/status/1000596783008026624", "1000596783008026624")</f>
        <v/>
      </c>
      <c r="B752" s="2" t="n">
        <v>43247.19255787037</v>
      </c>
      <c r="C752" t="n">
        <v>0</v>
      </c>
      <c r="D752" t="n">
        <v>368</v>
      </c>
      <c r="E752" t="s">
        <v>763</v>
      </c>
      <c r="F752">
        <f>HYPERLINK("http://pbs.twimg.com/media/DeKTSr-VAAAEXqc.jpg", "http://pbs.twimg.com/media/DeKTSr-VAAAEXqc.jpg")</f>
        <v/>
      </c>
      <c r="G752" t="s"/>
      <c r="H752" t="s"/>
      <c r="I752" t="s"/>
      <c r="J752" t="n">
        <v>0.636</v>
      </c>
      <c r="K752" t="n">
        <v>0</v>
      </c>
      <c r="L752" t="n">
        <v>0.634</v>
      </c>
      <c r="M752" t="n">
        <v>0.366</v>
      </c>
    </row>
    <row r="753" spans="1:13">
      <c r="A753" s="1">
        <f>HYPERLINK("http://www.twitter.com/NathanBLawrence/status/1000596733271924736", "1000596733271924736")</f>
        <v/>
      </c>
      <c r="B753" s="2" t="n">
        <v>43247.19243055556</v>
      </c>
      <c r="C753" t="n">
        <v>0</v>
      </c>
      <c r="D753" t="n">
        <v>7</v>
      </c>
      <c r="E753" t="s">
        <v>764</v>
      </c>
      <c r="F753" t="s"/>
      <c r="G753" t="s"/>
      <c r="H753" t="s"/>
      <c r="I753" t="s"/>
      <c r="J753" t="n">
        <v>-0.2755</v>
      </c>
      <c r="K753" t="n">
        <v>0.11</v>
      </c>
      <c r="L753" t="n">
        <v>0.89</v>
      </c>
      <c r="M753" t="n">
        <v>0</v>
      </c>
    </row>
    <row r="754" spans="1:13">
      <c r="A754" s="1">
        <f>HYPERLINK("http://www.twitter.com/NathanBLawrence/status/1000596640733057030", "1000596640733057030")</f>
        <v/>
      </c>
      <c r="B754" s="2" t="n">
        <v>43247.19216435185</v>
      </c>
      <c r="C754" t="n">
        <v>0</v>
      </c>
      <c r="D754" t="n">
        <v>4268</v>
      </c>
      <c r="E754" t="s">
        <v>765</v>
      </c>
      <c r="F754" t="s"/>
      <c r="G754" t="s"/>
      <c r="H754" t="s"/>
      <c r="I754" t="s"/>
      <c r="J754" t="n">
        <v>-0.8221000000000001</v>
      </c>
      <c r="K754" t="n">
        <v>0.301</v>
      </c>
      <c r="L754" t="n">
        <v>0.594</v>
      </c>
      <c r="M754" t="n">
        <v>0.105</v>
      </c>
    </row>
    <row r="755" spans="1:13">
      <c r="A755" s="1">
        <f>HYPERLINK("http://www.twitter.com/NathanBLawrence/status/1000596379578793984", "1000596379578793984")</f>
        <v/>
      </c>
      <c r="B755" s="2" t="n">
        <v>43247.19144675926</v>
      </c>
      <c r="C755" t="n">
        <v>0</v>
      </c>
      <c r="D755" t="n">
        <v>16</v>
      </c>
      <c r="E755" t="s">
        <v>766</v>
      </c>
      <c r="F755" t="s"/>
      <c r="G755" t="s"/>
      <c r="H755" t="s"/>
      <c r="I755" t="s"/>
      <c r="J755" t="n">
        <v>0</v>
      </c>
      <c r="K755" t="n">
        <v>0</v>
      </c>
      <c r="L755" t="n">
        <v>1</v>
      </c>
      <c r="M755" t="n">
        <v>0</v>
      </c>
    </row>
    <row r="756" spans="1:13">
      <c r="A756" s="1">
        <f>HYPERLINK("http://www.twitter.com/NathanBLawrence/status/1000596275576889344", "1000596275576889344")</f>
        <v/>
      </c>
      <c r="B756" s="2" t="n">
        <v>43247.1911574074</v>
      </c>
      <c r="C756" t="n">
        <v>0</v>
      </c>
      <c r="D756" t="n">
        <v>1</v>
      </c>
      <c r="E756" t="s">
        <v>767</v>
      </c>
      <c r="F756" t="s"/>
      <c r="G756" t="s"/>
      <c r="H756" t="s"/>
      <c r="I756" t="s"/>
      <c r="J756" t="n">
        <v>0</v>
      </c>
      <c r="K756" t="n">
        <v>0</v>
      </c>
      <c r="L756" t="n">
        <v>1</v>
      </c>
      <c r="M756" t="n">
        <v>0</v>
      </c>
    </row>
    <row r="757" spans="1:13">
      <c r="A757" s="1">
        <f>HYPERLINK("http://www.twitter.com/NathanBLawrence/status/1000596216147841024", "1000596216147841024")</f>
        <v/>
      </c>
      <c r="B757" s="2" t="n">
        <v>43247.19099537037</v>
      </c>
      <c r="C757" t="n">
        <v>0</v>
      </c>
      <c r="D757" t="n">
        <v>973</v>
      </c>
      <c r="E757" t="s">
        <v>768</v>
      </c>
      <c r="F757">
        <f>HYPERLINK("https://video.twimg.com/amplify_video/999029342972841985/vid/720x720/yc3Zl5nyIfLSzoEl.mp4?tag=2", "https://video.twimg.com/amplify_video/999029342972841985/vid/720x720/yc3Zl5nyIfLSzoEl.mp4?tag=2")</f>
        <v/>
      </c>
      <c r="G757" t="s"/>
      <c r="H757" t="s"/>
      <c r="I757" t="s"/>
      <c r="J757" t="n">
        <v>-0.2023</v>
      </c>
      <c r="K757" t="n">
        <v>0.076</v>
      </c>
      <c r="L757" t="n">
        <v>0.924</v>
      </c>
      <c r="M757" t="n">
        <v>0</v>
      </c>
    </row>
    <row r="758" spans="1:13">
      <c r="A758" s="1">
        <f>HYPERLINK("http://www.twitter.com/NathanBLawrence/status/1000596108614275072", "1000596108614275072")</f>
        <v/>
      </c>
      <c r="B758" s="2" t="n">
        <v>43247.19070601852</v>
      </c>
      <c r="C758" t="n">
        <v>0</v>
      </c>
      <c r="D758" t="n">
        <v>178</v>
      </c>
      <c r="E758" t="s">
        <v>769</v>
      </c>
      <c r="F758" t="s"/>
      <c r="G758" t="s"/>
      <c r="H758" t="s"/>
      <c r="I758" t="s"/>
      <c r="J758" t="n">
        <v>0</v>
      </c>
      <c r="K758" t="n">
        <v>0</v>
      </c>
      <c r="L758" t="n">
        <v>1</v>
      </c>
      <c r="M758" t="n">
        <v>0</v>
      </c>
    </row>
    <row r="759" spans="1:13">
      <c r="A759" s="1">
        <f>HYPERLINK("http://www.twitter.com/NathanBLawrence/status/1000596070500626432", "1000596070500626432")</f>
        <v/>
      </c>
      <c r="B759" s="2" t="n">
        <v>43247.19060185185</v>
      </c>
      <c r="C759" t="n">
        <v>0</v>
      </c>
      <c r="D759" t="n">
        <v>132</v>
      </c>
      <c r="E759" t="s">
        <v>770</v>
      </c>
      <c r="F759" t="s"/>
      <c r="G759" t="s"/>
      <c r="H759" t="s"/>
      <c r="I759" t="s"/>
      <c r="J759" t="n">
        <v>0</v>
      </c>
      <c r="K759" t="n">
        <v>0</v>
      </c>
      <c r="L759" t="n">
        <v>1</v>
      </c>
      <c r="M759" t="n">
        <v>0</v>
      </c>
    </row>
    <row r="760" spans="1:13">
      <c r="A760" s="1">
        <f>HYPERLINK("http://www.twitter.com/NathanBLawrence/status/1000596007611224065", "1000596007611224065")</f>
        <v/>
      </c>
      <c r="B760" s="2" t="n">
        <v>43247.19042824074</v>
      </c>
      <c r="C760" t="n">
        <v>0</v>
      </c>
      <c r="D760" t="n">
        <v>274</v>
      </c>
      <c r="E760" t="s">
        <v>771</v>
      </c>
      <c r="F760" t="s"/>
      <c r="G760" t="s"/>
      <c r="H760" t="s"/>
      <c r="I760" t="s"/>
      <c r="J760" t="n">
        <v>0.6514</v>
      </c>
      <c r="K760" t="n">
        <v>0</v>
      </c>
      <c r="L760" t="n">
        <v>0.836</v>
      </c>
      <c r="M760" t="n">
        <v>0.164</v>
      </c>
    </row>
    <row r="761" spans="1:13">
      <c r="A761" s="1">
        <f>HYPERLINK("http://www.twitter.com/NathanBLawrence/status/1000595875327029248", "1000595875327029248")</f>
        <v/>
      </c>
      <c r="B761" s="2" t="n">
        <v>43247.19005787037</v>
      </c>
      <c r="C761" t="n">
        <v>0</v>
      </c>
      <c r="D761" t="n">
        <v>23743</v>
      </c>
      <c r="E761" t="s">
        <v>772</v>
      </c>
      <c r="F761" t="s"/>
      <c r="G761" t="s"/>
      <c r="H761" t="s"/>
      <c r="I761" t="s"/>
      <c r="J761" t="n">
        <v>0.2023</v>
      </c>
      <c r="K761" t="n">
        <v>0</v>
      </c>
      <c r="L761" t="n">
        <v>0.9330000000000001</v>
      </c>
      <c r="M761" t="n">
        <v>0.067</v>
      </c>
    </row>
    <row r="762" spans="1:13">
      <c r="A762" s="1">
        <f>HYPERLINK("http://www.twitter.com/NathanBLawrence/status/1000595800718761984", "1000595800718761984")</f>
        <v/>
      </c>
      <c r="B762" s="2" t="n">
        <v>43247.18984953704</v>
      </c>
      <c r="C762" t="n">
        <v>0</v>
      </c>
      <c r="D762" t="n">
        <v>23</v>
      </c>
      <c r="E762" t="s">
        <v>773</v>
      </c>
      <c r="F762" t="s"/>
      <c r="G762" t="s"/>
      <c r="H762" t="s"/>
      <c r="I762" t="s"/>
      <c r="J762" t="n">
        <v>0</v>
      </c>
      <c r="K762" t="n">
        <v>0</v>
      </c>
      <c r="L762" t="n">
        <v>1</v>
      </c>
      <c r="M762" t="n">
        <v>0</v>
      </c>
    </row>
    <row r="763" spans="1:13">
      <c r="A763" s="1">
        <f>HYPERLINK("http://www.twitter.com/NathanBLawrence/status/1000595741591601153", "1000595741591601153")</f>
        <v/>
      </c>
      <c r="B763" s="2" t="n">
        <v>43247.1896875</v>
      </c>
      <c r="C763" t="n">
        <v>0</v>
      </c>
      <c r="D763" t="n">
        <v>1</v>
      </c>
      <c r="E763" t="s">
        <v>774</v>
      </c>
      <c r="F763" t="s"/>
      <c r="G763" t="s"/>
      <c r="H763" t="s"/>
      <c r="I763" t="s"/>
      <c r="J763" t="n">
        <v>0.296</v>
      </c>
      <c r="K763" t="n">
        <v>0</v>
      </c>
      <c r="L763" t="n">
        <v>0.845</v>
      </c>
      <c r="M763" t="n">
        <v>0.155</v>
      </c>
    </row>
    <row r="764" spans="1:13">
      <c r="A764" s="1">
        <f>HYPERLINK("http://www.twitter.com/NathanBLawrence/status/1000592307559784448", "1000592307559784448")</f>
        <v/>
      </c>
      <c r="B764" s="2" t="n">
        <v>43247.18020833333</v>
      </c>
      <c r="C764" t="n">
        <v>0</v>
      </c>
      <c r="D764" t="n">
        <v>130</v>
      </c>
      <c r="E764" t="s">
        <v>775</v>
      </c>
      <c r="F764" t="s"/>
      <c r="G764" t="s"/>
      <c r="H764" t="s"/>
      <c r="I764" t="s"/>
      <c r="J764" t="n">
        <v>0</v>
      </c>
      <c r="K764" t="n">
        <v>0</v>
      </c>
      <c r="L764" t="n">
        <v>1</v>
      </c>
      <c r="M764" t="n">
        <v>0</v>
      </c>
    </row>
    <row r="765" spans="1:13">
      <c r="A765" s="1">
        <f>HYPERLINK("http://www.twitter.com/NathanBLawrence/status/1000592173497188354", "1000592173497188354")</f>
        <v/>
      </c>
      <c r="B765" s="2" t="n">
        <v>43247.17983796296</v>
      </c>
      <c r="C765" t="n">
        <v>0</v>
      </c>
      <c r="D765" t="n">
        <v>0</v>
      </c>
      <c r="E765" t="s">
        <v>776</v>
      </c>
      <c r="F765" t="s"/>
      <c r="G765" t="s"/>
      <c r="H765" t="s"/>
      <c r="I765" t="s"/>
      <c r="J765" t="n">
        <v>0</v>
      </c>
      <c r="K765" t="n">
        <v>0</v>
      </c>
      <c r="L765" t="n">
        <v>1</v>
      </c>
      <c r="M765" t="n">
        <v>0</v>
      </c>
    </row>
    <row r="766" spans="1:13">
      <c r="A766" s="1">
        <f>HYPERLINK("http://www.twitter.com/NathanBLawrence/status/1000591899311443968", "1000591899311443968")</f>
        <v/>
      </c>
      <c r="B766" s="2" t="n">
        <v>43247.17908564815</v>
      </c>
      <c r="C766" t="n">
        <v>0</v>
      </c>
      <c r="D766" t="n">
        <v>204</v>
      </c>
      <c r="E766" t="s">
        <v>777</v>
      </c>
      <c r="F766" t="s"/>
      <c r="G766" t="s"/>
      <c r="H766" t="s"/>
      <c r="I766" t="s"/>
      <c r="J766" t="n">
        <v>0</v>
      </c>
      <c r="K766" t="n">
        <v>0</v>
      </c>
      <c r="L766" t="n">
        <v>1</v>
      </c>
      <c r="M766" t="n">
        <v>0</v>
      </c>
    </row>
    <row r="767" spans="1:13">
      <c r="A767" s="1">
        <f>HYPERLINK("http://www.twitter.com/NathanBLawrence/status/1000591741936984064", "1000591741936984064")</f>
        <v/>
      </c>
      <c r="B767" s="2" t="n">
        <v>43247.17865740741</v>
      </c>
      <c r="C767" t="n">
        <v>0</v>
      </c>
      <c r="D767" t="n">
        <v>33</v>
      </c>
      <c r="E767" t="s">
        <v>778</v>
      </c>
      <c r="F767" t="s"/>
      <c r="G767" t="s"/>
      <c r="H767" t="s"/>
      <c r="I767" t="s"/>
      <c r="J767" t="n">
        <v>-0.4767</v>
      </c>
      <c r="K767" t="n">
        <v>0.119</v>
      </c>
      <c r="L767" t="n">
        <v>0.881</v>
      </c>
      <c r="M767" t="n">
        <v>0</v>
      </c>
    </row>
    <row r="768" spans="1:13">
      <c r="A768" s="1">
        <f>HYPERLINK("http://www.twitter.com/NathanBLawrence/status/1000591697385017347", "1000591697385017347")</f>
        <v/>
      </c>
      <c r="B768" s="2" t="n">
        <v>43247.17853009259</v>
      </c>
      <c r="C768" t="n">
        <v>0</v>
      </c>
      <c r="D768" t="n">
        <v>4929</v>
      </c>
      <c r="E768" t="s">
        <v>779</v>
      </c>
      <c r="F768">
        <f>HYPERLINK("https://video.twimg.com/ext_tw_video/1000290913304829952/pu/vid/1280x720/TxHGaMHSsiT2_40p.mp4?tag=3", "https://video.twimg.com/ext_tw_video/1000290913304829952/pu/vid/1280x720/TxHGaMHSsiT2_40p.mp4?tag=3")</f>
        <v/>
      </c>
      <c r="G768" t="s"/>
      <c r="H768" t="s"/>
      <c r="I768" t="s"/>
      <c r="J768" t="n">
        <v>-0.2732</v>
      </c>
      <c r="K768" t="n">
        <v>0.07000000000000001</v>
      </c>
      <c r="L768" t="n">
        <v>0.93</v>
      </c>
      <c r="M768" t="n">
        <v>0</v>
      </c>
    </row>
    <row r="769" spans="1:13">
      <c r="A769" s="1">
        <f>HYPERLINK("http://www.twitter.com/NathanBLawrence/status/1000591668825993216", "1000591668825993216")</f>
        <v/>
      </c>
      <c r="B769" s="2" t="n">
        <v>43247.17844907408</v>
      </c>
      <c r="C769" t="n">
        <v>0</v>
      </c>
      <c r="D769" t="n">
        <v>17036</v>
      </c>
      <c r="E769" t="s">
        <v>780</v>
      </c>
      <c r="F769" t="s"/>
      <c r="G769" t="s"/>
      <c r="H769" t="s"/>
      <c r="I769" t="s"/>
      <c r="J769" t="n">
        <v>0</v>
      </c>
      <c r="K769" t="n">
        <v>0</v>
      </c>
      <c r="L769" t="n">
        <v>1</v>
      </c>
      <c r="M769" t="n">
        <v>0</v>
      </c>
    </row>
    <row r="770" spans="1:13">
      <c r="A770" s="1">
        <f>HYPERLINK("http://www.twitter.com/NathanBLawrence/status/1000591576559685632", "1000591576559685632")</f>
        <v/>
      </c>
      <c r="B770" s="2" t="n">
        <v>43247.17819444444</v>
      </c>
      <c r="C770" t="n">
        <v>0</v>
      </c>
      <c r="D770" t="n">
        <v>83</v>
      </c>
      <c r="E770" t="s">
        <v>781</v>
      </c>
      <c r="F770" t="s"/>
      <c r="G770" t="s"/>
      <c r="H770" t="s"/>
      <c r="I770" t="s"/>
      <c r="J770" t="n">
        <v>0.4753</v>
      </c>
      <c r="K770" t="n">
        <v>0</v>
      </c>
      <c r="L770" t="n">
        <v>0.694</v>
      </c>
      <c r="M770" t="n">
        <v>0.306</v>
      </c>
    </row>
    <row r="771" spans="1:13">
      <c r="A771" s="1">
        <f>HYPERLINK("http://www.twitter.com/NathanBLawrence/status/1000591347785654277", "1000591347785654277")</f>
        <v/>
      </c>
      <c r="B771" s="2" t="n">
        <v>43247.17756944444</v>
      </c>
      <c r="C771" t="n">
        <v>0</v>
      </c>
      <c r="D771" t="n">
        <v>700</v>
      </c>
      <c r="E771" t="s">
        <v>782</v>
      </c>
      <c r="F771" t="s"/>
      <c r="G771" t="s"/>
      <c r="H771" t="s"/>
      <c r="I771" t="s"/>
      <c r="J771" t="n">
        <v>-0.2263</v>
      </c>
      <c r="K771" t="n">
        <v>0.134</v>
      </c>
      <c r="L771" t="n">
        <v>0.782</v>
      </c>
      <c r="M771" t="n">
        <v>0.08400000000000001</v>
      </c>
    </row>
    <row r="772" spans="1:13">
      <c r="A772" s="1">
        <f>HYPERLINK("http://www.twitter.com/NathanBLawrence/status/1000591312578662400", "1000591312578662400")</f>
        <v/>
      </c>
      <c r="B772" s="2" t="n">
        <v>43247.17746527777</v>
      </c>
      <c r="C772" t="n">
        <v>0</v>
      </c>
      <c r="D772" t="n">
        <v>397</v>
      </c>
      <c r="E772" t="s">
        <v>783</v>
      </c>
      <c r="F772" t="s"/>
      <c r="G772" t="s"/>
      <c r="H772" t="s"/>
      <c r="I772" t="s"/>
      <c r="J772" t="n">
        <v>0.5984</v>
      </c>
      <c r="K772" t="n">
        <v>0</v>
      </c>
      <c r="L772" t="n">
        <v>0.6919999999999999</v>
      </c>
      <c r="M772" t="n">
        <v>0.308</v>
      </c>
    </row>
    <row r="773" spans="1:13">
      <c r="A773" s="1">
        <f>HYPERLINK("http://www.twitter.com/NathanBLawrence/status/1000591251702468609", "1000591251702468609")</f>
        <v/>
      </c>
      <c r="B773" s="2" t="n">
        <v>43247.17730324074</v>
      </c>
      <c r="C773" t="n">
        <v>3</v>
      </c>
      <c r="D773" t="n">
        <v>0</v>
      </c>
      <c r="E773" t="s">
        <v>784</v>
      </c>
      <c r="F773" t="s"/>
      <c r="G773" t="s"/>
      <c r="H773" t="s"/>
      <c r="I773" t="s"/>
      <c r="J773" t="n">
        <v>0</v>
      </c>
      <c r="K773" t="n">
        <v>0</v>
      </c>
      <c r="L773" t="n">
        <v>1</v>
      </c>
      <c r="M773" t="n">
        <v>0</v>
      </c>
    </row>
    <row r="774" spans="1:13">
      <c r="A774" s="1">
        <f>HYPERLINK("http://www.twitter.com/NathanBLawrence/status/1000590146117488640", "1000590146117488640")</f>
        <v/>
      </c>
      <c r="B774" s="2" t="n">
        <v>43247.17424768519</v>
      </c>
      <c r="C774" t="n">
        <v>0</v>
      </c>
      <c r="D774" t="n">
        <v>2331</v>
      </c>
      <c r="E774" t="s">
        <v>785</v>
      </c>
      <c r="F774" t="s"/>
      <c r="G774" t="s"/>
      <c r="H774" t="s"/>
      <c r="I774" t="s"/>
      <c r="J774" t="n">
        <v>-0.34</v>
      </c>
      <c r="K774" t="n">
        <v>0.211</v>
      </c>
      <c r="L774" t="n">
        <v>0.789</v>
      </c>
      <c r="M774" t="n">
        <v>0</v>
      </c>
    </row>
    <row r="775" spans="1:13">
      <c r="A775" s="1">
        <f>HYPERLINK("http://www.twitter.com/NathanBLawrence/status/1000590111896231936", "1000590111896231936")</f>
        <v/>
      </c>
      <c r="B775" s="2" t="n">
        <v>43247.17415509259</v>
      </c>
      <c r="C775" t="n">
        <v>0</v>
      </c>
      <c r="D775" t="n">
        <v>11942</v>
      </c>
      <c r="E775" t="s">
        <v>786</v>
      </c>
      <c r="F775" t="s"/>
      <c r="G775" t="s"/>
      <c r="H775" t="s"/>
      <c r="I775" t="s"/>
      <c r="J775" t="n">
        <v>0</v>
      </c>
      <c r="K775" t="n">
        <v>0</v>
      </c>
      <c r="L775" t="n">
        <v>1</v>
      </c>
      <c r="M775" t="n">
        <v>0</v>
      </c>
    </row>
    <row r="776" spans="1:13">
      <c r="A776" s="1">
        <f>HYPERLINK("http://www.twitter.com/NathanBLawrence/status/1000590042648150016", "1000590042648150016")</f>
        <v/>
      </c>
      <c r="B776" s="2" t="n">
        <v>43247.17395833333</v>
      </c>
      <c r="C776" t="n">
        <v>0</v>
      </c>
      <c r="D776" t="n">
        <v>1994</v>
      </c>
      <c r="E776" t="s">
        <v>787</v>
      </c>
      <c r="F776" t="s"/>
      <c r="G776" t="s"/>
      <c r="H776" t="s"/>
      <c r="I776" t="s"/>
      <c r="J776" t="n">
        <v>0</v>
      </c>
      <c r="K776" t="n">
        <v>0</v>
      </c>
      <c r="L776" t="n">
        <v>1</v>
      </c>
      <c r="M776" t="n">
        <v>0</v>
      </c>
    </row>
    <row r="777" spans="1:13">
      <c r="A777" s="1">
        <f>HYPERLINK("http://www.twitter.com/NathanBLawrence/status/1000589821641936896", "1000589821641936896")</f>
        <v/>
      </c>
      <c r="B777" s="2" t="n">
        <v>43247.17335648148</v>
      </c>
      <c r="C777" t="n">
        <v>0</v>
      </c>
      <c r="D777" t="n">
        <v>81</v>
      </c>
      <c r="E777" t="s">
        <v>788</v>
      </c>
      <c r="F777" t="s"/>
      <c r="G777" t="s"/>
      <c r="H777" t="s"/>
      <c r="I777" t="s"/>
      <c r="J777" t="n">
        <v>0</v>
      </c>
      <c r="K777" t="n">
        <v>0</v>
      </c>
      <c r="L777" t="n">
        <v>1</v>
      </c>
      <c r="M777" t="n">
        <v>0</v>
      </c>
    </row>
    <row r="778" spans="1:13">
      <c r="A778" s="1">
        <f>HYPERLINK("http://www.twitter.com/NathanBLawrence/status/1000589660832321537", "1000589660832321537")</f>
        <v/>
      </c>
      <c r="B778" s="2" t="n">
        <v>43247.17290509259</v>
      </c>
      <c r="C778" t="n">
        <v>0</v>
      </c>
      <c r="D778" t="n">
        <v>1361</v>
      </c>
      <c r="E778" t="s">
        <v>789</v>
      </c>
      <c r="F778" t="s"/>
      <c r="G778" t="s"/>
      <c r="H778" t="s"/>
      <c r="I778" t="s"/>
      <c r="J778" t="n">
        <v>-0.2023</v>
      </c>
      <c r="K778" t="n">
        <v>0.08699999999999999</v>
      </c>
      <c r="L778" t="n">
        <v>0.913</v>
      </c>
      <c r="M778" t="n">
        <v>0</v>
      </c>
    </row>
    <row r="779" spans="1:13">
      <c r="A779" s="1">
        <f>HYPERLINK("http://www.twitter.com/NathanBLawrence/status/1000589254467227649", "1000589254467227649")</f>
        <v/>
      </c>
      <c r="B779" s="2" t="n">
        <v>43247.17178240741</v>
      </c>
      <c r="C779" t="n">
        <v>0</v>
      </c>
      <c r="D779" t="n">
        <v>123</v>
      </c>
      <c r="E779" t="s">
        <v>790</v>
      </c>
      <c r="F779" t="s"/>
      <c r="G779" t="s"/>
      <c r="H779" t="s"/>
      <c r="I779" t="s"/>
      <c r="J779" t="n">
        <v>0</v>
      </c>
      <c r="K779" t="n">
        <v>0</v>
      </c>
      <c r="L779" t="n">
        <v>1</v>
      </c>
      <c r="M779" t="n">
        <v>0</v>
      </c>
    </row>
    <row r="780" spans="1:13">
      <c r="A780" s="1">
        <f>HYPERLINK("http://www.twitter.com/NathanBLawrence/status/1000589162570027008", "1000589162570027008")</f>
        <v/>
      </c>
      <c r="B780" s="2" t="n">
        <v>43247.17153935185</v>
      </c>
      <c r="C780" t="n">
        <v>0</v>
      </c>
      <c r="D780" t="n">
        <v>139</v>
      </c>
      <c r="E780" t="s">
        <v>791</v>
      </c>
      <c r="F780" t="s"/>
      <c r="G780" t="s"/>
      <c r="H780" t="s"/>
      <c r="I780" t="s"/>
      <c r="J780" t="n">
        <v>-0.7906</v>
      </c>
      <c r="K780" t="n">
        <v>0.467</v>
      </c>
      <c r="L780" t="n">
        <v>0.533</v>
      </c>
      <c r="M780" t="n">
        <v>0</v>
      </c>
    </row>
    <row r="781" spans="1:13">
      <c r="A781" s="1">
        <f>HYPERLINK("http://www.twitter.com/NathanBLawrence/status/1000588390788628480", "1000588390788628480")</f>
        <v/>
      </c>
      <c r="B781" s="2" t="n">
        <v>43247.16940972222</v>
      </c>
      <c r="C781" t="n">
        <v>0</v>
      </c>
      <c r="D781" t="n">
        <v>31</v>
      </c>
      <c r="E781" t="s">
        <v>792</v>
      </c>
      <c r="F781" t="s"/>
      <c r="G781" t="s"/>
      <c r="H781" t="s"/>
      <c r="I781" t="s"/>
      <c r="J781" t="n">
        <v>0.296</v>
      </c>
      <c r="K781" t="n">
        <v>0.115</v>
      </c>
      <c r="L781" t="n">
        <v>0.706</v>
      </c>
      <c r="M781" t="n">
        <v>0.179</v>
      </c>
    </row>
    <row r="782" spans="1:13">
      <c r="A782" s="1">
        <f>HYPERLINK("http://www.twitter.com/NathanBLawrence/status/1000588345880268800", "1000588345880268800")</f>
        <v/>
      </c>
      <c r="B782" s="2" t="n">
        <v>43247.16928240741</v>
      </c>
      <c r="C782" t="n">
        <v>0</v>
      </c>
      <c r="D782" t="n">
        <v>9</v>
      </c>
      <c r="E782" t="s">
        <v>793</v>
      </c>
      <c r="F782" t="s"/>
      <c r="G782" t="s"/>
      <c r="H782" t="s"/>
      <c r="I782" t="s"/>
      <c r="J782" t="n">
        <v>0.4404</v>
      </c>
      <c r="K782" t="n">
        <v>0</v>
      </c>
      <c r="L782" t="n">
        <v>0.838</v>
      </c>
      <c r="M782" t="n">
        <v>0.162</v>
      </c>
    </row>
    <row r="783" spans="1:13">
      <c r="A783" s="1">
        <f>HYPERLINK("http://www.twitter.com/NathanBLawrence/status/1000588307716300800", "1000588307716300800")</f>
        <v/>
      </c>
      <c r="B783" s="2" t="n">
        <v>43247.16917824074</v>
      </c>
      <c r="C783" t="n">
        <v>0</v>
      </c>
      <c r="D783" t="n">
        <v>4</v>
      </c>
      <c r="E783" t="s">
        <v>794</v>
      </c>
      <c r="F783" t="s"/>
      <c r="G783" t="s"/>
      <c r="H783" t="s"/>
      <c r="I783" t="s"/>
      <c r="J783" t="n">
        <v>0</v>
      </c>
      <c r="K783" t="n">
        <v>0</v>
      </c>
      <c r="L783" t="n">
        <v>1</v>
      </c>
      <c r="M783" t="n">
        <v>0</v>
      </c>
    </row>
    <row r="784" spans="1:13">
      <c r="A784" s="1">
        <f>HYPERLINK("http://www.twitter.com/NathanBLawrence/status/1000588275097243648", "1000588275097243648")</f>
        <v/>
      </c>
      <c r="B784" s="2" t="n">
        <v>43247.16908564815</v>
      </c>
      <c r="C784" t="n">
        <v>0</v>
      </c>
      <c r="D784" t="n">
        <v>691</v>
      </c>
      <c r="E784" t="s">
        <v>795</v>
      </c>
      <c r="F784" t="s"/>
      <c r="G784" t="s"/>
      <c r="H784" t="s"/>
      <c r="I784" t="s"/>
      <c r="J784" t="n">
        <v>-0.882</v>
      </c>
      <c r="K784" t="n">
        <v>0.318</v>
      </c>
      <c r="L784" t="n">
        <v>0.6820000000000001</v>
      </c>
      <c r="M784" t="n">
        <v>0</v>
      </c>
    </row>
    <row r="785" spans="1:13">
      <c r="A785" s="1">
        <f>HYPERLINK("http://www.twitter.com/NathanBLawrence/status/1000588233871450112", "1000588233871450112")</f>
        <v/>
      </c>
      <c r="B785" s="2" t="n">
        <v>43247.1689699074</v>
      </c>
      <c r="C785" t="n">
        <v>0</v>
      </c>
      <c r="D785" t="n">
        <v>1</v>
      </c>
      <c r="E785" t="s">
        <v>796</v>
      </c>
      <c r="F785" t="s"/>
      <c r="G785" t="s"/>
      <c r="H785" t="s"/>
      <c r="I785" t="s"/>
      <c r="J785" t="n">
        <v>0.886</v>
      </c>
      <c r="K785" t="n">
        <v>0</v>
      </c>
      <c r="L785" t="n">
        <v>0.669</v>
      </c>
      <c r="M785" t="n">
        <v>0.331</v>
      </c>
    </row>
    <row r="786" spans="1:13">
      <c r="A786" s="1">
        <f>HYPERLINK("http://www.twitter.com/NathanBLawrence/status/1000588075783872512", "1000588075783872512")</f>
        <v/>
      </c>
      <c r="B786" s="2" t="n">
        <v>43247.16853009259</v>
      </c>
      <c r="C786" t="n">
        <v>0</v>
      </c>
      <c r="D786" t="n">
        <v>24</v>
      </c>
      <c r="E786" t="s">
        <v>797</v>
      </c>
      <c r="F786" t="s"/>
      <c r="G786" t="s"/>
      <c r="H786" t="s"/>
      <c r="I786" t="s"/>
      <c r="J786" t="n">
        <v>-0.3704</v>
      </c>
      <c r="K786" t="n">
        <v>0.189</v>
      </c>
      <c r="L786" t="n">
        <v>0.712</v>
      </c>
      <c r="M786" t="n">
        <v>0.099</v>
      </c>
    </row>
    <row r="787" spans="1:13">
      <c r="A787" s="1">
        <f>HYPERLINK("http://www.twitter.com/NathanBLawrence/status/1000588056477470720", "1000588056477470720")</f>
        <v/>
      </c>
      <c r="B787" s="2" t="n">
        <v>43247.1684837963</v>
      </c>
      <c r="C787" t="n">
        <v>0</v>
      </c>
      <c r="D787" t="n">
        <v>253</v>
      </c>
      <c r="E787" t="s">
        <v>798</v>
      </c>
      <c r="F787" t="s"/>
      <c r="G787" t="s"/>
      <c r="H787" t="s"/>
      <c r="I787" t="s"/>
      <c r="J787" t="n">
        <v>-0.5423</v>
      </c>
      <c r="K787" t="n">
        <v>0.164</v>
      </c>
      <c r="L787" t="n">
        <v>0.836</v>
      </c>
      <c r="M787" t="n">
        <v>0</v>
      </c>
    </row>
    <row r="788" spans="1:13">
      <c r="A788" s="1">
        <f>HYPERLINK("http://www.twitter.com/NathanBLawrence/status/1000588009589354496", "1000588009589354496")</f>
        <v/>
      </c>
      <c r="B788" s="2" t="n">
        <v>43247.16835648148</v>
      </c>
      <c r="C788" t="n">
        <v>0</v>
      </c>
      <c r="D788" t="n">
        <v>53</v>
      </c>
      <c r="E788" t="s">
        <v>799</v>
      </c>
      <c r="F788" t="s"/>
      <c r="G788" t="s"/>
      <c r="H788" t="s"/>
      <c r="I788" t="s"/>
      <c r="J788" t="n">
        <v>0.1655</v>
      </c>
      <c r="K788" t="n">
        <v>0</v>
      </c>
      <c r="L788" t="n">
        <v>0.912</v>
      </c>
      <c r="M788" t="n">
        <v>0.08799999999999999</v>
      </c>
    </row>
    <row r="789" spans="1:13">
      <c r="A789" s="1">
        <f>HYPERLINK("http://www.twitter.com/NathanBLawrence/status/1000587870770552832", "1000587870770552832")</f>
        <v/>
      </c>
      <c r="B789" s="2" t="n">
        <v>43247.16797453703</v>
      </c>
      <c r="C789" t="n">
        <v>0</v>
      </c>
      <c r="D789" t="n">
        <v>783</v>
      </c>
      <c r="E789" t="s">
        <v>800</v>
      </c>
      <c r="F789" t="s"/>
      <c r="G789" t="s"/>
      <c r="H789" t="s"/>
      <c r="I789" t="s"/>
      <c r="J789" t="n">
        <v>0.1613</v>
      </c>
      <c r="K789" t="n">
        <v>0.099</v>
      </c>
      <c r="L789" t="n">
        <v>0.779</v>
      </c>
      <c r="M789" t="n">
        <v>0.122</v>
      </c>
    </row>
    <row r="790" spans="1:13">
      <c r="A790" s="1">
        <f>HYPERLINK("http://www.twitter.com/NathanBLawrence/status/1000587836419133440", "1000587836419133440")</f>
        <v/>
      </c>
      <c r="B790" s="2" t="n">
        <v>43247.16787037037</v>
      </c>
      <c r="C790" t="n">
        <v>0</v>
      </c>
      <c r="D790" t="n">
        <v>59</v>
      </c>
      <c r="E790" t="s">
        <v>801</v>
      </c>
      <c r="F790" t="s"/>
      <c r="G790" t="s"/>
      <c r="H790" t="s"/>
      <c r="I790" t="s"/>
      <c r="J790" t="n">
        <v>-0.7269</v>
      </c>
      <c r="K790" t="n">
        <v>0.234</v>
      </c>
      <c r="L790" t="n">
        <v>0.766</v>
      </c>
      <c r="M790" t="n">
        <v>0</v>
      </c>
    </row>
    <row r="791" spans="1:13">
      <c r="A791" s="1">
        <f>HYPERLINK("http://www.twitter.com/NathanBLawrence/status/1000587774993543169", "1000587774993543169")</f>
        <v/>
      </c>
      <c r="B791" s="2" t="n">
        <v>43247.16770833333</v>
      </c>
      <c r="C791" t="n">
        <v>0</v>
      </c>
      <c r="D791" t="n">
        <v>18</v>
      </c>
      <c r="E791" t="s">
        <v>802</v>
      </c>
      <c r="F791" t="s"/>
      <c r="G791" t="s"/>
      <c r="H791" t="s"/>
      <c r="I791" t="s"/>
      <c r="J791" t="n">
        <v>0</v>
      </c>
      <c r="K791" t="n">
        <v>0</v>
      </c>
      <c r="L791" t="n">
        <v>1</v>
      </c>
      <c r="M791" t="n">
        <v>0</v>
      </c>
    </row>
    <row r="792" spans="1:13">
      <c r="A792" s="1">
        <f>HYPERLINK("http://www.twitter.com/NathanBLawrence/status/1000587720950009856", "1000587720950009856")</f>
        <v/>
      </c>
      <c r="B792" s="2" t="n">
        <v>43247.16755787037</v>
      </c>
      <c r="C792" t="n">
        <v>0</v>
      </c>
      <c r="D792" t="n">
        <v>82</v>
      </c>
      <c r="E792" t="s">
        <v>803</v>
      </c>
      <c r="F792" t="s"/>
      <c r="G792" t="s"/>
      <c r="H792" t="s"/>
      <c r="I792" t="s"/>
      <c r="J792" t="n">
        <v>0.6369</v>
      </c>
      <c r="K792" t="n">
        <v>0</v>
      </c>
      <c r="L792" t="n">
        <v>0.488</v>
      </c>
      <c r="M792" t="n">
        <v>0.512</v>
      </c>
    </row>
    <row r="793" spans="1:13">
      <c r="A793" s="1">
        <f>HYPERLINK("http://www.twitter.com/NathanBLawrence/status/1000587673323655170", "1000587673323655170")</f>
        <v/>
      </c>
      <c r="B793" s="2" t="n">
        <v>43247.16741898148</v>
      </c>
      <c r="C793" t="n">
        <v>0</v>
      </c>
      <c r="D793" t="n">
        <v>22</v>
      </c>
      <c r="E793" t="s">
        <v>804</v>
      </c>
      <c r="F793" t="s"/>
      <c r="G793" t="s"/>
      <c r="H793" t="s"/>
      <c r="I793" t="s"/>
      <c r="J793" t="n">
        <v>0.8658</v>
      </c>
      <c r="K793" t="n">
        <v>0</v>
      </c>
      <c r="L793" t="n">
        <v>0.65</v>
      </c>
      <c r="M793" t="n">
        <v>0.35</v>
      </c>
    </row>
    <row r="794" spans="1:13">
      <c r="A794" s="1">
        <f>HYPERLINK("http://www.twitter.com/NathanBLawrence/status/1000587531921100800", "1000587531921100800")</f>
        <v/>
      </c>
      <c r="B794" s="2" t="n">
        <v>43247.16703703703</v>
      </c>
      <c r="C794" t="n">
        <v>0</v>
      </c>
      <c r="D794" t="n">
        <v>0</v>
      </c>
      <c r="E794" t="s">
        <v>805</v>
      </c>
      <c r="F794" t="s"/>
      <c r="G794" t="s"/>
      <c r="H794" t="s"/>
      <c r="I794" t="s"/>
      <c r="J794" t="n">
        <v>0</v>
      </c>
      <c r="K794" t="n">
        <v>0</v>
      </c>
      <c r="L794" t="n">
        <v>1</v>
      </c>
      <c r="M794" t="n">
        <v>0</v>
      </c>
    </row>
    <row r="795" spans="1:13">
      <c r="A795" s="1">
        <f>HYPERLINK("http://www.twitter.com/NathanBLawrence/status/1000587239624204289", "1000587239624204289")</f>
        <v/>
      </c>
      <c r="B795" s="2" t="n">
        <v>43247.16622685185</v>
      </c>
      <c r="C795" t="n">
        <v>0</v>
      </c>
      <c r="D795" t="n">
        <v>208</v>
      </c>
      <c r="E795" t="s">
        <v>806</v>
      </c>
      <c r="F795" t="s"/>
      <c r="G795" t="s"/>
      <c r="H795" t="s"/>
      <c r="I795" t="s"/>
      <c r="J795" t="n">
        <v>0</v>
      </c>
      <c r="K795" t="n">
        <v>0</v>
      </c>
      <c r="L795" t="n">
        <v>1</v>
      </c>
      <c r="M795" t="n">
        <v>0</v>
      </c>
    </row>
    <row r="796" spans="1:13">
      <c r="A796" s="1">
        <f>HYPERLINK("http://www.twitter.com/NathanBLawrence/status/1000587219596390400", "1000587219596390400")</f>
        <v/>
      </c>
      <c r="B796" s="2" t="n">
        <v>43247.16616898148</v>
      </c>
      <c r="C796" t="n">
        <v>0</v>
      </c>
      <c r="D796" t="n">
        <v>810</v>
      </c>
      <c r="E796" t="s">
        <v>807</v>
      </c>
      <c r="F796" t="s"/>
      <c r="G796" t="s"/>
      <c r="H796" t="s"/>
      <c r="I796" t="s"/>
      <c r="J796" t="n">
        <v>-0.2263</v>
      </c>
      <c r="K796" t="n">
        <v>0.223</v>
      </c>
      <c r="L796" t="n">
        <v>0.581</v>
      </c>
      <c r="M796" t="n">
        <v>0.196</v>
      </c>
    </row>
    <row r="797" spans="1:13">
      <c r="A797" s="1">
        <f>HYPERLINK("http://www.twitter.com/NathanBLawrence/status/1000587184074907648", "1000587184074907648")</f>
        <v/>
      </c>
      <c r="B797" s="2" t="n">
        <v>43247.16607638889</v>
      </c>
      <c r="C797" t="n">
        <v>0</v>
      </c>
      <c r="D797" t="n">
        <v>150</v>
      </c>
      <c r="E797" t="s">
        <v>808</v>
      </c>
      <c r="F797" t="s"/>
      <c r="G797" t="s"/>
      <c r="H797" t="s"/>
      <c r="I797" t="s"/>
      <c r="J797" t="n">
        <v>-0.5859</v>
      </c>
      <c r="K797" t="n">
        <v>0.206</v>
      </c>
      <c r="L797" t="n">
        <v>0.706</v>
      </c>
      <c r="M797" t="n">
        <v>0.089</v>
      </c>
    </row>
    <row r="798" spans="1:13">
      <c r="A798" s="1">
        <f>HYPERLINK("http://www.twitter.com/NathanBLawrence/status/1000587147253047297", "1000587147253047297")</f>
        <v/>
      </c>
      <c r="B798" s="2" t="n">
        <v>43247.16597222222</v>
      </c>
      <c r="C798" t="n">
        <v>0</v>
      </c>
      <c r="D798" t="n">
        <v>785</v>
      </c>
      <c r="E798" t="s">
        <v>809</v>
      </c>
      <c r="F798" t="s"/>
      <c r="G798" t="s"/>
      <c r="H798" t="s"/>
      <c r="I798" t="s"/>
      <c r="J798" t="n">
        <v>-0.5622</v>
      </c>
      <c r="K798" t="n">
        <v>0.238</v>
      </c>
      <c r="L798" t="n">
        <v>0.762</v>
      </c>
      <c r="M798" t="n">
        <v>0</v>
      </c>
    </row>
    <row r="799" spans="1:13">
      <c r="A799" s="1">
        <f>HYPERLINK("http://www.twitter.com/NathanBLawrence/status/1000587098875973632", "1000587098875973632")</f>
        <v/>
      </c>
      <c r="B799" s="2" t="n">
        <v>43247.16584490741</v>
      </c>
      <c r="C799" t="n">
        <v>0</v>
      </c>
      <c r="D799" t="n">
        <v>340</v>
      </c>
      <c r="E799" t="s">
        <v>810</v>
      </c>
      <c r="F799">
        <f>HYPERLINK("http://pbs.twimg.com/media/DeJkYkDXkAIkcku.jpg", "http://pbs.twimg.com/media/DeJkYkDXkAIkcku.jpg")</f>
        <v/>
      </c>
      <c r="G799">
        <f>HYPERLINK("http://pbs.twimg.com/media/DeJka73XkAAah7T.jpg", "http://pbs.twimg.com/media/DeJka73XkAAah7T.jpg")</f>
        <v/>
      </c>
      <c r="H799" t="s"/>
      <c r="I799" t="s"/>
      <c r="J799" t="n">
        <v>0</v>
      </c>
      <c r="K799" t="n">
        <v>0</v>
      </c>
      <c r="L799" t="n">
        <v>1</v>
      </c>
      <c r="M799" t="n">
        <v>0</v>
      </c>
    </row>
    <row r="800" spans="1:13">
      <c r="A800" s="1">
        <f>HYPERLINK("http://www.twitter.com/NathanBLawrence/status/1000587069113200640", "1000587069113200640")</f>
        <v/>
      </c>
      <c r="B800" s="2" t="n">
        <v>43247.16575231482</v>
      </c>
      <c r="C800" t="n">
        <v>0</v>
      </c>
      <c r="D800" t="n">
        <v>308</v>
      </c>
      <c r="E800" t="s">
        <v>811</v>
      </c>
      <c r="F800" t="s"/>
      <c r="G800" t="s"/>
      <c r="H800" t="s"/>
      <c r="I800" t="s"/>
      <c r="J800" t="n">
        <v>0.3612</v>
      </c>
      <c r="K800" t="n">
        <v>0</v>
      </c>
      <c r="L800" t="n">
        <v>0.906</v>
      </c>
      <c r="M800" t="n">
        <v>0.094</v>
      </c>
    </row>
    <row r="801" spans="1:13">
      <c r="A801" s="1">
        <f>HYPERLINK("http://www.twitter.com/NathanBLawrence/status/1000587041720209408", "1000587041720209408")</f>
        <v/>
      </c>
      <c r="B801" s="2" t="n">
        <v>43247.16568287037</v>
      </c>
      <c r="C801" t="n">
        <v>0</v>
      </c>
      <c r="D801" t="n">
        <v>307</v>
      </c>
      <c r="E801" t="s">
        <v>812</v>
      </c>
      <c r="F801">
        <f>HYPERLINK("http://pbs.twimg.com/media/DeJvTn1XUAAyz1Q.jpg", "http://pbs.twimg.com/media/DeJvTn1XUAAyz1Q.jpg")</f>
        <v/>
      </c>
      <c r="G801" t="s"/>
      <c r="H801" t="s"/>
      <c r="I801" t="s"/>
      <c r="J801" t="n">
        <v>0.5859</v>
      </c>
      <c r="K801" t="n">
        <v>0</v>
      </c>
      <c r="L801" t="n">
        <v>0.648</v>
      </c>
      <c r="M801" t="n">
        <v>0.352</v>
      </c>
    </row>
    <row r="802" spans="1:13">
      <c r="A802" s="1">
        <f>HYPERLINK("http://www.twitter.com/NathanBLawrence/status/1000587014083895296", "1000587014083895296")</f>
        <v/>
      </c>
      <c r="B802" s="2" t="n">
        <v>43247.16560185186</v>
      </c>
      <c r="C802" t="n">
        <v>0</v>
      </c>
      <c r="D802" t="n">
        <v>75</v>
      </c>
      <c r="E802" t="s">
        <v>813</v>
      </c>
      <c r="F802" t="s"/>
      <c r="G802" t="s"/>
      <c r="H802" t="s"/>
      <c r="I802" t="s"/>
      <c r="J802" t="n">
        <v>0</v>
      </c>
      <c r="K802" t="n">
        <v>0</v>
      </c>
      <c r="L802" t="n">
        <v>1</v>
      </c>
      <c r="M802" t="n">
        <v>0</v>
      </c>
    </row>
    <row r="803" spans="1:13">
      <c r="A803" s="1">
        <f>HYPERLINK("http://www.twitter.com/NathanBLawrence/status/1000586989463326720", "1000586989463326720")</f>
        <v/>
      </c>
      <c r="B803" s="2" t="n">
        <v>43247.16553240741</v>
      </c>
      <c r="C803" t="n">
        <v>0</v>
      </c>
      <c r="D803" t="n">
        <v>359</v>
      </c>
      <c r="E803" t="s">
        <v>814</v>
      </c>
      <c r="F803">
        <f>HYPERLINK("http://pbs.twimg.com/media/DeJ0_9XW4AAuKFi.jpg", "http://pbs.twimg.com/media/DeJ0_9XW4AAuKFi.jpg")</f>
        <v/>
      </c>
      <c r="G803" t="s"/>
      <c r="H803" t="s"/>
      <c r="I803" t="s"/>
      <c r="J803" t="n">
        <v>-0.2093</v>
      </c>
      <c r="K803" t="n">
        <v>0.17</v>
      </c>
      <c r="L803" t="n">
        <v>0.6919999999999999</v>
      </c>
      <c r="M803" t="n">
        <v>0.138</v>
      </c>
    </row>
    <row r="804" spans="1:13">
      <c r="A804" s="1">
        <f>HYPERLINK("http://www.twitter.com/NathanBLawrence/status/1000586945687425024", "1000586945687425024")</f>
        <v/>
      </c>
      <c r="B804" s="2" t="n">
        <v>43247.16541666666</v>
      </c>
      <c r="C804" t="n">
        <v>0</v>
      </c>
      <c r="D804" t="n">
        <v>2425</v>
      </c>
      <c r="E804" t="s">
        <v>815</v>
      </c>
      <c r="F804" t="s"/>
      <c r="G804" t="s"/>
      <c r="H804" t="s"/>
      <c r="I804" t="s"/>
      <c r="J804" t="n">
        <v>0.489</v>
      </c>
      <c r="K804" t="n">
        <v>0.067</v>
      </c>
      <c r="L804" t="n">
        <v>0.737</v>
      </c>
      <c r="M804" t="n">
        <v>0.196</v>
      </c>
    </row>
    <row r="805" spans="1:13">
      <c r="A805" s="1">
        <f>HYPERLINK("http://www.twitter.com/NathanBLawrence/status/1000586902687371264", "1000586902687371264")</f>
        <v/>
      </c>
      <c r="B805" s="2" t="n">
        <v>43247.16530092592</v>
      </c>
      <c r="C805" t="n">
        <v>0</v>
      </c>
      <c r="D805" t="n">
        <v>1062</v>
      </c>
      <c r="E805" t="s">
        <v>816</v>
      </c>
      <c r="F805" t="s"/>
      <c r="G805" t="s"/>
      <c r="H805" t="s"/>
      <c r="I805" t="s"/>
      <c r="J805" t="n">
        <v>-0.7717000000000001</v>
      </c>
      <c r="K805" t="n">
        <v>0.226</v>
      </c>
      <c r="L805" t="n">
        <v>0.774</v>
      </c>
      <c r="M805" t="n">
        <v>0</v>
      </c>
    </row>
    <row r="806" spans="1:13">
      <c r="A806" s="1">
        <f>HYPERLINK("http://www.twitter.com/NathanBLawrence/status/1000586799864074241", "1000586799864074241")</f>
        <v/>
      </c>
      <c r="B806" s="2" t="n">
        <v>43247.16501157408</v>
      </c>
      <c r="C806" t="n">
        <v>0</v>
      </c>
      <c r="D806" t="n">
        <v>39</v>
      </c>
      <c r="E806" t="s">
        <v>817</v>
      </c>
      <c r="F806" t="s"/>
      <c r="G806" t="s"/>
      <c r="H806" t="s"/>
      <c r="I806" t="s"/>
      <c r="J806" t="n">
        <v>0</v>
      </c>
      <c r="K806" t="n">
        <v>0</v>
      </c>
      <c r="L806" t="n">
        <v>1</v>
      </c>
      <c r="M806" t="n">
        <v>0</v>
      </c>
    </row>
    <row r="807" spans="1:13">
      <c r="A807" s="1">
        <f>HYPERLINK("http://www.twitter.com/NathanBLawrence/status/1000579813701246976", "1000579813701246976")</f>
        <v/>
      </c>
      <c r="B807" s="2" t="n">
        <v>43247.14574074074</v>
      </c>
      <c r="C807" t="n">
        <v>0</v>
      </c>
      <c r="D807" t="n">
        <v>680</v>
      </c>
      <c r="E807" t="s">
        <v>818</v>
      </c>
      <c r="F807" t="s"/>
      <c r="G807" t="s"/>
      <c r="H807" t="s"/>
      <c r="I807" t="s"/>
      <c r="J807" t="n">
        <v>-0.4019</v>
      </c>
      <c r="K807" t="n">
        <v>0.114</v>
      </c>
      <c r="L807" t="n">
        <v>0.886</v>
      </c>
      <c r="M807" t="n">
        <v>0</v>
      </c>
    </row>
    <row r="808" spans="1:13">
      <c r="A808" s="1">
        <f>HYPERLINK("http://www.twitter.com/NathanBLawrence/status/1000579687477891073", "1000579687477891073")</f>
        <v/>
      </c>
      <c r="B808" s="2" t="n">
        <v>43247.14539351852</v>
      </c>
      <c r="C808" t="n">
        <v>0</v>
      </c>
      <c r="D808" t="n">
        <v>881</v>
      </c>
      <c r="E808" t="s">
        <v>819</v>
      </c>
      <c r="F808" t="s"/>
      <c r="G808" t="s"/>
      <c r="H808" t="s"/>
      <c r="I808" t="s"/>
      <c r="J808" t="n">
        <v>0</v>
      </c>
      <c r="K808" t="n">
        <v>0</v>
      </c>
      <c r="L808" t="n">
        <v>1</v>
      </c>
      <c r="M808" t="n">
        <v>0</v>
      </c>
    </row>
    <row r="809" spans="1:13">
      <c r="A809" s="1">
        <f>HYPERLINK("http://www.twitter.com/NathanBLawrence/status/1000579464449970176", "1000579464449970176")</f>
        <v/>
      </c>
      <c r="B809" s="2" t="n">
        <v>43247.14476851852</v>
      </c>
      <c r="C809" t="n">
        <v>0</v>
      </c>
      <c r="D809" t="n">
        <v>2409</v>
      </c>
      <c r="E809" t="s">
        <v>820</v>
      </c>
      <c r="F809" t="s"/>
      <c r="G809" t="s"/>
      <c r="H809" t="s"/>
      <c r="I809" t="s"/>
      <c r="J809" t="n">
        <v>-0.5106000000000001</v>
      </c>
      <c r="K809" t="n">
        <v>0.323</v>
      </c>
      <c r="L809" t="n">
        <v>0.677</v>
      </c>
      <c r="M809" t="n">
        <v>0</v>
      </c>
    </row>
    <row r="810" spans="1:13">
      <c r="A810" s="1">
        <f>HYPERLINK("http://www.twitter.com/NathanBLawrence/status/1000579268542390272", "1000579268542390272")</f>
        <v/>
      </c>
      <c r="B810" s="2" t="n">
        <v>43247.14423611111</v>
      </c>
      <c r="C810" t="n">
        <v>0</v>
      </c>
      <c r="D810" t="n">
        <v>715</v>
      </c>
      <c r="E810" t="s">
        <v>821</v>
      </c>
      <c r="F810">
        <f>HYPERLINK("https://video.twimg.com/amplify_video/1000159695921917957/vid/1280x720/IqnpgKHEyjtFwrcR.mp4?tag=2", "https://video.twimg.com/amplify_video/1000159695921917957/vid/1280x720/IqnpgKHEyjtFwrcR.mp4?tag=2")</f>
        <v/>
      </c>
      <c r="G810" t="s"/>
      <c r="H810" t="s"/>
      <c r="I810" t="s"/>
      <c r="J810" t="n">
        <v>0.4215</v>
      </c>
      <c r="K810" t="n">
        <v>0</v>
      </c>
      <c r="L810" t="n">
        <v>0.887</v>
      </c>
      <c r="M810" t="n">
        <v>0.113</v>
      </c>
    </row>
    <row r="811" spans="1:13">
      <c r="A811" s="1">
        <f>HYPERLINK("http://www.twitter.com/NathanBLawrence/status/1000579227912146944", "1000579227912146944")</f>
        <v/>
      </c>
      <c r="B811" s="2" t="n">
        <v>43247.14412037037</v>
      </c>
      <c r="C811" t="n">
        <v>0</v>
      </c>
      <c r="D811" t="n">
        <v>3222</v>
      </c>
      <c r="E811" t="s">
        <v>822</v>
      </c>
      <c r="F811" t="s"/>
      <c r="G811" t="s"/>
      <c r="H811" t="s"/>
      <c r="I811" t="s"/>
      <c r="J811" t="n">
        <v>-0.4019</v>
      </c>
      <c r="K811" t="n">
        <v>0.231</v>
      </c>
      <c r="L811" t="n">
        <v>0.769</v>
      </c>
      <c r="M811" t="n">
        <v>0</v>
      </c>
    </row>
    <row r="812" spans="1:13">
      <c r="A812" s="1">
        <f>HYPERLINK("http://www.twitter.com/NathanBLawrence/status/1000579097179901958", "1000579097179901958")</f>
        <v/>
      </c>
      <c r="B812" s="2" t="n">
        <v>43247.14376157407</v>
      </c>
      <c r="C812" t="n">
        <v>0</v>
      </c>
      <c r="D812" t="n">
        <v>1642</v>
      </c>
      <c r="E812" t="s">
        <v>823</v>
      </c>
      <c r="F812" t="s"/>
      <c r="G812" t="s"/>
      <c r="H812" t="s"/>
      <c r="I812" t="s"/>
      <c r="J812" t="n">
        <v>0.4588</v>
      </c>
      <c r="K812" t="n">
        <v>0.113</v>
      </c>
      <c r="L812" t="n">
        <v>0.67</v>
      </c>
      <c r="M812" t="n">
        <v>0.216</v>
      </c>
    </row>
    <row r="813" spans="1:13">
      <c r="A813" s="1">
        <f>HYPERLINK("http://www.twitter.com/NathanBLawrence/status/1000579074434195461", "1000579074434195461")</f>
        <v/>
      </c>
      <c r="B813" s="2" t="n">
        <v>43247.14369212963</v>
      </c>
      <c r="C813" t="n">
        <v>0</v>
      </c>
      <c r="D813" t="n">
        <v>969</v>
      </c>
      <c r="E813" t="s">
        <v>824</v>
      </c>
      <c r="F813" t="s"/>
      <c r="G813" t="s"/>
      <c r="H813" t="s"/>
      <c r="I813" t="s"/>
      <c r="J813" t="n">
        <v>0.5423</v>
      </c>
      <c r="K813" t="n">
        <v>0</v>
      </c>
      <c r="L813" t="n">
        <v>0.863</v>
      </c>
      <c r="M813" t="n">
        <v>0.137</v>
      </c>
    </row>
    <row r="814" spans="1:13">
      <c r="A814" s="1">
        <f>HYPERLINK("http://www.twitter.com/NathanBLawrence/status/1000578988975239169", "1000578988975239169")</f>
        <v/>
      </c>
      <c r="B814" s="2" t="n">
        <v>43247.14346064815</v>
      </c>
      <c r="C814" t="n">
        <v>0</v>
      </c>
      <c r="D814" t="n">
        <v>414</v>
      </c>
      <c r="E814" t="s">
        <v>825</v>
      </c>
      <c r="F814" t="s"/>
      <c r="G814" t="s"/>
      <c r="H814" t="s"/>
      <c r="I814" t="s"/>
      <c r="J814" t="n">
        <v>0</v>
      </c>
      <c r="K814" t="n">
        <v>0</v>
      </c>
      <c r="L814" t="n">
        <v>1</v>
      </c>
      <c r="M814" t="n">
        <v>0</v>
      </c>
    </row>
    <row r="815" spans="1:13">
      <c r="A815" s="1">
        <f>HYPERLINK("http://www.twitter.com/NathanBLawrence/status/1000578949393649664", "1000578949393649664")</f>
        <v/>
      </c>
      <c r="B815" s="2" t="n">
        <v>43247.14335648148</v>
      </c>
      <c r="C815" t="n">
        <v>0</v>
      </c>
      <c r="D815" t="n">
        <v>1233</v>
      </c>
      <c r="E815" t="s">
        <v>826</v>
      </c>
      <c r="F815" t="s"/>
      <c r="G815" t="s"/>
      <c r="H815" t="s"/>
      <c r="I815" t="s"/>
      <c r="J815" t="n">
        <v>-0.4215</v>
      </c>
      <c r="K815" t="n">
        <v>0.113</v>
      </c>
      <c r="L815" t="n">
        <v>0.887</v>
      </c>
      <c r="M815" t="n">
        <v>0</v>
      </c>
    </row>
    <row r="816" spans="1:13">
      <c r="A816" s="1">
        <f>HYPERLINK("http://www.twitter.com/NathanBLawrence/status/1000578862806429696", "1000578862806429696")</f>
        <v/>
      </c>
      <c r="B816" s="2" t="n">
        <v>43247.14311342593</v>
      </c>
      <c r="C816" t="n">
        <v>0</v>
      </c>
      <c r="D816" t="n">
        <v>1101</v>
      </c>
      <c r="E816" t="s">
        <v>827</v>
      </c>
      <c r="F816" t="s"/>
      <c r="G816" t="s"/>
      <c r="H816" t="s"/>
      <c r="I816" t="s"/>
      <c r="J816" t="n">
        <v>0.743</v>
      </c>
      <c r="K816" t="n">
        <v>0</v>
      </c>
      <c r="L816" t="n">
        <v>0.751</v>
      </c>
      <c r="M816" t="n">
        <v>0.249</v>
      </c>
    </row>
    <row r="817" spans="1:13">
      <c r="A817" s="1">
        <f>HYPERLINK("http://www.twitter.com/NathanBLawrence/status/1000578791545196544", "1000578791545196544")</f>
        <v/>
      </c>
      <c r="B817" s="2" t="n">
        <v>43247.14291666666</v>
      </c>
      <c r="C817" t="n">
        <v>0</v>
      </c>
      <c r="D817" t="n">
        <v>2587</v>
      </c>
      <c r="E817" t="s">
        <v>828</v>
      </c>
      <c r="F817" t="s"/>
      <c r="G817" t="s"/>
      <c r="H817" t="s"/>
      <c r="I817" t="s"/>
      <c r="J817" t="n">
        <v>0.5266999999999999</v>
      </c>
      <c r="K817" t="n">
        <v>0</v>
      </c>
      <c r="L817" t="n">
        <v>0.833</v>
      </c>
      <c r="M817" t="n">
        <v>0.167</v>
      </c>
    </row>
    <row r="818" spans="1:13">
      <c r="A818" s="1">
        <f>HYPERLINK("http://www.twitter.com/NathanBLawrence/status/1000578696967749632", "1000578696967749632")</f>
        <v/>
      </c>
      <c r="B818" s="2" t="n">
        <v>43247.14265046296</v>
      </c>
      <c r="C818" t="n">
        <v>0</v>
      </c>
      <c r="D818" t="n">
        <v>35</v>
      </c>
      <c r="E818" t="s">
        <v>829</v>
      </c>
      <c r="F818" t="s"/>
      <c r="G818" t="s"/>
      <c r="H818" t="s"/>
      <c r="I818" t="s"/>
      <c r="J818" t="n">
        <v>0</v>
      </c>
      <c r="K818" t="n">
        <v>0</v>
      </c>
      <c r="L818" t="n">
        <v>1</v>
      </c>
      <c r="M818" t="n">
        <v>0</v>
      </c>
    </row>
    <row r="819" spans="1:13">
      <c r="A819" s="1">
        <f>HYPERLINK("http://www.twitter.com/NathanBLawrence/status/1000578533322842113", "1000578533322842113")</f>
        <v/>
      </c>
      <c r="B819" s="2" t="n">
        <v>43247.14219907407</v>
      </c>
      <c r="C819" t="n">
        <v>0</v>
      </c>
      <c r="D819" t="n">
        <v>1</v>
      </c>
      <c r="E819" t="s">
        <v>830</v>
      </c>
      <c r="F819" t="s"/>
      <c r="G819" t="s"/>
      <c r="H819" t="s"/>
      <c r="I819" t="s"/>
      <c r="J819" t="n">
        <v>-0.4588</v>
      </c>
      <c r="K819" t="n">
        <v>0.294</v>
      </c>
      <c r="L819" t="n">
        <v>0.5669999999999999</v>
      </c>
      <c r="M819" t="n">
        <v>0.139</v>
      </c>
    </row>
    <row r="820" spans="1:13">
      <c r="A820" s="1">
        <f>HYPERLINK("http://www.twitter.com/NathanBLawrence/status/1000578489081266176", "1000578489081266176")</f>
        <v/>
      </c>
      <c r="B820" s="2" t="n">
        <v>43247.14208333333</v>
      </c>
      <c r="C820" t="n">
        <v>0</v>
      </c>
      <c r="D820" t="n">
        <v>3</v>
      </c>
      <c r="E820" t="s">
        <v>831</v>
      </c>
      <c r="F820" t="s"/>
      <c r="G820" t="s"/>
      <c r="H820" t="s"/>
      <c r="I820" t="s"/>
      <c r="J820" t="n">
        <v>-0.7184</v>
      </c>
      <c r="K820" t="n">
        <v>0.373</v>
      </c>
      <c r="L820" t="n">
        <v>0.508</v>
      </c>
      <c r="M820" t="n">
        <v>0.119</v>
      </c>
    </row>
    <row r="821" spans="1:13">
      <c r="A821" s="1">
        <f>HYPERLINK("http://www.twitter.com/NathanBLawrence/status/1000578391760932864", "1000578391760932864")</f>
        <v/>
      </c>
      <c r="B821" s="2" t="n">
        <v>43247.14181712963</v>
      </c>
      <c r="C821" t="n">
        <v>0</v>
      </c>
      <c r="D821" t="n">
        <v>6520</v>
      </c>
      <c r="E821" t="s">
        <v>832</v>
      </c>
      <c r="F821">
        <f>HYPERLINK("http://pbs.twimg.com/media/DcOjEr_X4AYz2Ge.jpg", "http://pbs.twimg.com/media/DcOjEr_X4AYz2Ge.jpg")</f>
        <v/>
      </c>
      <c r="G821" t="s"/>
      <c r="H821" t="s"/>
      <c r="I821" t="s"/>
      <c r="J821" t="n">
        <v>0.4019</v>
      </c>
      <c r="K821" t="n">
        <v>0</v>
      </c>
      <c r="L821" t="n">
        <v>0.748</v>
      </c>
      <c r="M821" t="n">
        <v>0.252</v>
      </c>
    </row>
    <row r="822" spans="1:13">
      <c r="A822" s="1">
        <f>HYPERLINK("http://www.twitter.com/NathanBLawrence/status/1000578015607312390", "1000578015607312390")</f>
        <v/>
      </c>
      <c r="B822" s="2" t="n">
        <v>43247.14077546296</v>
      </c>
      <c r="C822" t="n">
        <v>0</v>
      </c>
      <c r="D822" t="n">
        <v>54</v>
      </c>
      <c r="E822" t="s">
        <v>833</v>
      </c>
      <c r="F822" t="s"/>
      <c r="G822" t="s"/>
      <c r="H822" t="s"/>
      <c r="I822" t="s"/>
      <c r="J822" t="n">
        <v>0.7783</v>
      </c>
      <c r="K822" t="n">
        <v>0</v>
      </c>
      <c r="L822" t="n">
        <v>0.732</v>
      </c>
      <c r="M822" t="n">
        <v>0.268</v>
      </c>
    </row>
    <row r="823" spans="1:13">
      <c r="A823" s="1">
        <f>HYPERLINK("http://www.twitter.com/NathanBLawrence/status/1000577926193131520", "1000577926193131520")</f>
        <v/>
      </c>
      <c r="B823" s="2" t="n">
        <v>43247.14053240741</v>
      </c>
      <c r="C823" t="n">
        <v>0</v>
      </c>
      <c r="D823" t="n">
        <v>112</v>
      </c>
      <c r="E823" t="s">
        <v>834</v>
      </c>
      <c r="F823">
        <f>HYPERLINK("http://pbs.twimg.com/media/DeJfdJNWsAAOf85.jpg", "http://pbs.twimg.com/media/DeJfdJNWsAAOf85.jpg")</f>
        <v/>
      </c>
      <c r="G823" t="s"/>
      <c r="H823" t="s"/>
      <c r="I823" t="s"/>
      <c r="J823" t="n">
        <v>0</v>
      </c>
      <c r="K823" t="n">
        <v>0</v>
      </c>
      <c r="L823" t="n">
        <v>1</v>
      </c>
      <c r="M823" t="n">
        <v>0</v>
      </c>
    </row>
    <row r="824" spans="1:13">
      <c r="A824" s="1">
        <f>HYPERLINK("http://www.twitter.com/NathanBLawrence/status/1000577901346066432", "1000577901346066432")</f>
        <v/>
      </c>
      <c r="B824" s="2" t="n">
        <v>43247.14046296296</v>
      </c>
      <c r="C824" t="n">
        <v>0</v>
      </c>
      <c r="D824" t="n">
        <v>98</v>
      </c>
      <c r="E824" t="s">
        <v>835</v>
      </c>
      <c r="F824" t="s"/>
      <c r="G824" t="s"/>
      <c r="H824" t="s"/>
      <c r="I824" t="s"/>
      <c r="J824" t="n">
        <v>0.75</v>
      </c>
      <c r="K824" t="n">
        <v>0</v>
      </c>
      <c r="L824" t="n">
        <v>0.738</v>
      </c>
      <c r="M824" t="n">
        <v>0.262</v>
      </c>
    </row>
    <row r="825" spans="1:13">
      <c r="A825" s="1">
        <f>HYPERLINK("http://www.twitter.com/NathanBLawrence/status/1000577788385136640", "1000577788385136640")</f>
        <v/>
      </c>
      <c r="B825" s="2" t="n">
        <v>43247.14015046296</v>
      </c>
      <c r="C825" t="n">
        <v>0</v>
      </c>
      <c r="D825" t="n">
        <v>185</v>
      </c>
      <c r="E825" t="s">
        <v>836</v>
      </c>
      <c r="F825" t="s"/>
      <c r="G825" t="s"/>
      <c r="H825" t="s"/>
      <c r="I825" t="s"/>
      <c r="J825" t="n">
        <v>0</v>
      </c>
      <c r="K825" t="n">
        <v>0</v>
      </c>
      <c r="L825" t="n">
        <v>1</v>
      </c>
      <c r="M825" t="n">
        <v>0</v>
      </c>
    </row>
    <row r="826" spans="1:13">
      <c r="A826" s="1">
        <f>HYPERLINK("http://www.twitter.com/NathanBLawrence/status/1000577686069305344", "1000577686069305344")</f>
        <v/>
      </c>
      <c r="B826" s="2" t="n">
        <v>43247.13986111111</v>
      </c>
      <c r="C826" t="n">
        <v>0</v>
      </c>
      <c r="D826" t="n">
        <v>85</v>
      </c>
      <c r="E826" t="s">
        <v>837</v>
      </c>
      <c r="F826" t="s"/>
      <c r="G826" t="s"/>
      <c r="H826" t="s"/>
      <c r="I826" t="s"/>
      <c r="J826" t="n">
        <v>-0.5859</v>
      </c>
      <c r="K826" t="n">
        <v>0.142</v>
      </c>
      <c r="L826" t="n">
        <v>0.858</v>
      </c>
      <c r="M826" t="n">
        <v>0</v>
      </c>
    </row>
    <row r="827" spans="1:13">
      <c r="A827" s="1">
        <f>HYPERLINK("http://www.twitter.com/NathanBLawrence/status/1000577237631094784", "1000577237631094784")</f>
        <v/>
      </c>
      <c r="B827" s="2" t="n">
        <v>43247.13862268518</v>
      </c>
      <c r="C827" t="n">
        <v>0</v>
      </c>
      <c r="D827" t="n">
        <v>218</v>
      </c>
      <c r="E827" t="s">
        <v>838</v>
      </c>
      <c r="F827" t="s"/>
      <c r="G827" t="s"/>
      <c r="H827" t="s"/>
      <c r="I827" t="s"/>
      <c r="J827" t="n">
        <v>-0.7345</v>
      </c>
      <c r="K827" t="n">
        <v>0.285</v>
      </c>
      <c r="L827" t="n">
        <v>0.715</v>
      </c>
      <c r="M827" t="n">
        <v>0</v>
      </c>
    </row>
    <row r="828" spans="1:13">
      <c r="A828" s="1">
        <f>HYPERLINK("http://www.twitter.com/NathanBLawrence/status/1000577124095397888", "1000577124095397888")</f>
        <v/>
      </c>
      <c r="B828" s="2" t="n">
        <v>43247.13831018518</v>
      </c>
      <c r="C828" t="n">
        <v>0</v>
      </c>
      <c r="D828" t="n">
        <v>67</v>
      </c>
      <c r="E828" t="s">
        <v>839</v>
      </c>
      <c r="F828" t="s"/>
      <c r="G828" t="s"/>
      <c r="H828" t="s"/>
      <c r="I828" t="s"/>
      <c r="J828" t="n">
        <v>0</v>
      </c>
      <c r="K828" t="n">
        <v>0</v>
      </c>
      <c r="L828" t="n">
        <v>1</v>
      </c>
      <c r="M828" t="n">
        <v>0</v>
      </c>
    </row>
    <row r="829" spans="1:13">
      <c r="A829" s="1">
        <f>HYPERLINK("http://www.twitter.com/NathanBLawrence/status/1000577123642433541", "1000577123642433541")</f>
        <v/>
      </c>
      <c r="B829" s="2" t="n">
        <v>43247.13831018518</v>
      </c>
      <c r="C829" t="n">
        <v>0</v>
      </c>
      <c r="D829" t="n">
        <v>3660</v>
      </c>
      <c r="E829" t="s">
        <v>840</v>
      </c>
      <c r="F829">
        <f>HYPERLINK("https://video.twimg.com/ext_tw_video/1000515013868736512/pu/vid/1280x720/Zmj6I7HdQglM0zWQ.mp4?tag=3", "https://video.twimg.com/ext_tw_video/1000515013868736512/pu/vid/1280x720/Zmj6I7HdQglM0zWQ.mp4?tag=3")</f>
        <v/>
      </c>
      <c r="G829" t="s"/>
      <c r="H829" t="s"/>
      <c r="I829" t="s"/>
      <c r="J829" t="n">
        <v>0</v>
      </c>
      <c r="K829" t="n">
        <v>0</v>
      </c>
      <c r="L829" t="n">
        <v>1</v>
      </c>
      <c r="M829" t="n">
        <v>0</v>
      </c>
    </row>
    <row r="830" spans="1:13">
      <c r="A830" s="1">
        <f>HYPERLINK("http://www.twitter.com/NathanBLawrence/status/1000577123197882369", "1000577123197882369")</f>
        <v/>
      </c>
      <c r="B830" s="2" t="n">
        <v>43247.13831018518</v>
      </c>
      <c r="C830" t="n">
        <v>0</v>
      </c>
      <c r="D830" t="n">
        <v>111</v>
      </c>
      <c r="E830" t="s">
        <v>841</v>
      </c>
      <c r="F830" t="s"/>
      <c r="G830" t="s"/>
      <c r="H830" t="s"/>
      <c r="I830" t="s"/>
      <c r="J830" t="n">
        <v>0.6199</v>
      </c>
      <c r="K830" t="n">
        <v>0</v>
      </c>
      <c r="L830" t="n">
        <v>0.85</v>
      </c>
      <c r="M830" t="n">
        <v>0.15</v>
      </c>
    </row>
    <row r="831" spans="1:13">
      <c r="A831" s="1">
        <f>HYPERLINK("http://www.twitter.com/NathanBLawrence/status/1000577122396712961", "1000577122396712961")</f>
        <v/>
      </c>
      <c r="B831" s="2" t="n">
        <v>43247.13831018518</v>
      </c>
      <c r="C831" t="n">
        <v>0</v>
      </c>
      <c r="D831" t="n">
        <v>628</v>
      </c>
      <c r="E831" t="s">
        <v>842</v>
      </c>
      <c r="F831" t="s"/>
      <c r="G831" t="s"/>
      <c r="H831" t="s"/>
      <c r="I831" t="s"/>
      <c r="J831" t="n">
        <v>0.4019</v>
      </c>
      <c r="K831" t="n">
        <v>0</v>
      </c>
      <c r="L831" t="n">
        <v>0.891</v>
      </c>
      <c r="M831" t="n">
        <v>0.109</v>
      </c>
    </row>
    <row r="832" spans="1:13">
      <c r="A832" s="1">
        <f>HYPERLINK("http://www.twitter.com/NathanBLawrence/status/1000576512360439808", "1000576512360439808")</f>
        <v/>
      </c>
      <c r="B832" s="2" t="n">
        <v>43247.13663194444</v>
      </c>
      <c r="C832" t="n">
        <v>0</v>
      </c>
      <c r="D832" t="n">
        <v>148</v>
      </c>
      <c r="E832" t="s">
        <v>843</v>
      </c>
      <c r="F832" t="s"/>
      <c r="G832" t="s"/>
      <c r="H832" t="s"/>
      <c r="I832" t="s"/>
      <c r="J832" t="n">
        <v>0.296</v>
      </c>
      <c r="K832" t="n">
        <v>0.152</v>
      </c>
      <c r="L832" t="n">
        <v>0.652</v>
      </c>
      <c r="M832" t="n">
        <v>0.196</v>
      </c>
    </row>
    <row r="833" spans="1:13">
      <c r="A833" s="1">
        <f>HYPERLINK("http://www.twitter.com/NathanBLawrence/status/1000576468605423616", "1000576468605423616")</f>
        <v/>
      </c>
      <c r="B833" s="2" t="n">
        <v>43247.13650462963</v>
      </c>
      <c r="C833" t="n">
        <v>0</v>
      </c>
      <c r="D833" t="n">
        <v>170</v>
      </c>
      <c r="E833" t="s">
        <v>844</v>
      </c>
      <c r="F833">
        <f>HYPERLINK("http://pbs.twimg.com/media/DeKj03KVwAA262V.jpg", "http://pbs.twimg.com/media/DeKj03KVwAA262V.jpg")</f>
        <v/>
      </c>
      <c r="G833" t="s"/>
      <c r="H833" t="s"/>
      <c r="I833" t="s"/>
      <c r="J833" t="n">
        <v>0</v>
      </c>
      <c r="K833" t="n">
        <v>0</v>
      </c>
      <c r="L833" t="n">
        <v>1</v>
      </c>
      <c r="M833" t="n">
        <v>0</v>
      </c>
    </row>
    <row r="834" spans="1:13">
      <c r="A834" s="1">
        <f>HYPERLINK("http://www.twitter.com/NathanBLawrence/status/1000576428583239680", "1000576428583239680")</f>
        <v/>
      </c>
      <c r="B834" s="2" t="n">
        <v>43247.13640046296</v>
      </c>
      <c r="C834" t="n">
        <v>0</v>
      </c>
      <c r="D834" t="n">
        <v>328</v>
      </c>
      <c r="E834" t="s">
        <v>845</v>
      </c>
      <c r="F834">
        <f>HYPERLINK("http://pbs.twimg.com/media/DeKfGf5VwAAVHBi.jpg", "http://pbs.twimg.com/media/DeKfGf5VwAAVHBi.jpg")</f>
        <v/>
      </c>
      <c r="G834" t="s"/>
      <c r="H834" t="s"/>
      <c r="I834" t="s"/>
      <c r="J834" t="n">
        <v>0.1882</v>
      </c>
      <c r="K834" t="n">
        <v>0.08599999999999999</v>
      </c>
      <c r="L834" t="n">
        <v>0.8</v>
      </c>
      <c r="M834" t="n">
        <v>0.114</v>
      </c>
    </row>
    <row r="835" spans="1:13">
      <c r="A835" s="1">
        <f>HYPERLINK("http://www.twitter.com/NathanBLawrence/status/1000576401475502081", "1000576401475502081")</f>
        <v/>
      </c>
      <c r="B835" s="2" t="n">
        <v>43247.13631944444</v>
      </c>
      <c r="C835" t="n">
        <v>0</v>
      </c>
      <c r="D835" t="n">
        <v>256</v>
      </c>
      <c r="E835" t="s">
        <v>846</v>
      </c>
      <c r="F835" t="s"/>
      <c r="G835" t="s"/>
      <c r="H835" t="s"/>
      <c r="I835" t="s"/>
      <c r="J835" t="n">
        <v>0</v>
      </c>
      <c r="K835" t="n">
        <v>0</v>
      </c>
      <c r="L835" t="n">
        <v>1</v>
      </c>
      <c r="M835" t="n">
        <v>0</v>
      </c>
    </row>
    <row r="836" spans="1:13">
      <c r="A836" s="1">
        <f>HYPERLINK("http://www.twitter.com/NathanBLawrence/status/1000576359108956160", "1000576359108956160")</f>
        <v/>
      </c>
      <c r="B836" s="2" t="n">
        <v>43247.1362037037</v>
      </c>
      <c r="C836" t="n">
        <v>0</v>
      </c>
      <c r="D836" t="n">
        <v>344</v>
      </c>
      <c r="E836" t="s">
        <v>847</v>
      </c>
      <c r="F836" t="s"/>
      <c r="G836" t="s"/>
      <c r="H836" t="s"/>
      <c r="I836" t="s"/>
      <c r="J836" t="n">
        <v>0.5574</v>
      </c>
      <c r="K836" t="n">
        <v>0</v>
      </c>
      <c r="L836" t="n">
        <v>0.796</v>
      </c>
      <c r="M836" t="n">
        <v>0.204</v>
      </c>
    </row>
    <row r="837" spans="1:13">
      <c r="A837" s="1">
        <f>HYPERLINK("http://www.twitter.com/NathanBLawrence/status/1000576335213940736", "1000576335213940736")</f>
        <v/>
      </c>
      <c r="B837" s="2" t="n">
        <v>43247.13613425926</v>
      </c>
      <c r="C837" t="n">
        <v>0</v>
      </c>
      <c r="D837" t="n">
        <v>186</v>
      </c>
      <c r="E837" t="s">
        <v>848</v>
      </c>
      <c r="F837">
        <f>HYPERLINK("http://pbs.twimg.com/media/DeKdLC5V4AABfet.jpg", "http://pbs.twimg.com/media/DeKdLC5V4AABfet.jpg")</f>
        <v/>
      </c>
      <c r="G837">
        <f>HYPERLINK("http://pbs.twimg.com/media/DeKdO5oU0AAsPc7.jpg", "http://pbs.twimg.com/media/DeKdO5oU0AAsPc7.jpg")</f>
        <v/>
      </c>
      <c r="H837" t="s"/>
      <c r="I837" t="s"/>
      <c r="J837" t="n">
        <v>-0.3947</v>
      </c>
      <c r="K837" t="n">
        <v>0.113</v>
      </c>
      <c r="L837" t="n">
        <v>0.887</v>
      </c>
      <c r="M837" t="n">
        <v>0</v>
      </c>
    </row>
    <row r="838" spans="1:13">
      <c r="A838" s="1">
        <f>HYPERLINK("http://www.twitter.com/NathanBLawrence/status/1000576281807851520", "1000576281807851520")</f>
        <v/>
      </c>
      <c r="B838" s="2" t="n">
        <v>43247.13599537037</v>
      </c>
      <c r="C838" t="n">
        <v>0</v>
      </c>
      <c r="D838" t="n">
        <v>267</v>
      </c>
      <c r="E838" t="s">
        <v>849</v>
      </c>
      <c r="F838">
        <f>HYPERLINK("http://pbs.twimg.com/media/DeKcrhIVwAAKISX.jpg", "http://pbs.twimg.com/media/DeKcrhIVwAAKISX.jpg")</f>
        <v/>
      </c>
      <c r="G838" t="s"/>
      <c r="H838" t="s"/>
      <c r="I838" t="s"/>
      <c r="J838" t="n">
        <v>0</v>
      </c>
      <c r="K838" t="n">
        <v>0</v>
      </c>
      <c r="L838" t="n">
        <v>1</v>
      </c>
      <c r="M838" t="n">
        <v>0</v>
      </c>
    </row>
    <row r="839" spans="1:13">
      <c r="A839" s="1">
        <f>HYPERLINK("http://www.twitter.com/NathanBLawrence/status/1000576249243361280", "1000576249243361280")</f>
        <v/>
      </c>
      <c r="B839" s="2" t="n">
        <v>43247.13590277778</v>
      </c>
      <c r="C839" t="n">
        <v>0</v>
      </c>
      <c r="D839" t="n">
        <v>195</v>
      </c>
      <c r="E839" t="s">
        <v>850</v>
      </c>
      <c r="F839" t="s"/>
      <c r="G839" t="s"/>
      <c r="H839" t="s"/>
      <c r="I839" t="s"/>
      <c r="J839" t="n">
        <v>0</v>
      </c>
      <c r="K839" t="n">
        <v>0</v>
      </c>
      <c r="L839" t="n">
        <v>1</v>
      </c>
      <c r="M839" t="n">
        <v>0</v>
      </c>
    </row>
    <row r="840" spans="1:13">
      <c r="A840" s="1">
        <f>HYPERLINK("http://www.twitter.com/NathanBLawrence/status/1000576237801177089", "1000576237801177089")</f>
        <v/>
      </c>
      <c r="B840" s="2" t="n">
        <v>43247.13586805556</v>
      </c>
      <c r="C840" t="n">
        <v>0</v>
      </c>
      <c r="D840" t="n">
        <v>189</v>
      </c>
      <c r="E840" t="s">
        <v>851</v>
      </c>
      <c r="F840" t="s"/>
      <c r="G840" t="s"/>
      <c r="H840" t="s"/>
      <c r="I840" t="s"/>
      <c r="J840" t="n">
        <v>-0.4019</v>
      </c>
      <c r="K840" t="n">
        <v>0.105</v>
      </c>
      <c r="L840" t="n">
        <v>0.895</v>
      </c>
      <c r="M840" t="n">
        <v>0</v>
      </c>
    </row>
    <row r="841" spans="1:13">
      <c r="A841" s="1">
        <f>HYPERLINK("http://www.twitter.com/NathanBLawrence/status/1000576212681527296", "1000576212681527296")</f>
        <v/>
      </c>
      <c r="B841" s="2" t="n">
        <v>43247.13579861111</v>
      </c>
      <c r="C841" t="n">
        <v>0</v>
      </c>
      <c r="D841" t="n">
        <v>160</v>
      </c>
      <c r="E841" t="s">
        <v>852</v>
      </c>
      <c r="F841" t="s"/>
      <c r="G841" t="s"/>
      <c r="H841" t="s"/>
      <c r="I841" t="s"/>
      <c r="J841" t="n">
        <v>0</v>
      </c>
      <c r="K841" t="n">
        <v>0</v>
      </c>
      <c r="L841" t="n">
        <v>1</v>
      </c>
      <c r="M841" t="n">
        <v>0</v>
      </c>
    </row>
    <row r="842" spans="1:13">
      <c r="A842" s="1">
        <f>HYPERLINK("http://www.twitter.com/NathanBLawrence/status/1000576166829309952", "1000576166829309952")</f>
        <v/>
      </c>
      <c r="B842" s="2" t="n">
        <v>43247.1356712963</v>
      </c>
      <c r="C842" t="n">
        <v>0</v>
      </c>
      <c r="D842" t="n">
        <v>229</v>
      </c>
      <c r="E842" t="s">
        <v>853</v>
      </c>
      <c r="F842" t="s"/>
      <c r="G842" t="s"/>
      <c r="H842" t="s"/>
      <c r="I842" t="s"/>
      <c r="J842" t="n">
        <v>-0.0516</v>
      </c>
      <c r="K842" t="n">
        <v>0.099</v>
      </c>
      <c r="L842" t="n">
        <v>0.8110000000000001</v>
      </c>
      <c r="M842" t="n">
        <v>0.09</v>
      </c>
    </row>
    <row r="843" spans="1:13">
      <c r="A843" s="1">
        <f>HYPERLINK("http://www.twitter.com/NathanBLawrence/status/1000576132775927808", "1000576132775927808")</f>
        <v/>
      </c>
      <c r="B843" s="2" t="n">
        <v>43247.1355787037</v>
      </c>
      <c r="C843" t="n">
        <v>0</v>
      </c>
      <c r="D843" t="n">
        <v>200</v>
      </c>
      <c r="E843" t="s">
        <v>854</v>
      </c>
      <c r="F843" t="s"/>
      <c r="G843" t="s"/>
      <c r="H843" t="s"/>
      <c r="I843" t="s"/>
      <c r="J843" t="n">
        <v>0</v>
      </c>
      <c r="K843" t="n">
        <v>0</v>
      </c>
      <c r="L843" t="n">
        <v>1</v>
      </c>
      <c r="M843" t="n">
        <v>0</v>
      </c>
    </row>
    <row r="844" spans="1:13">
      <c r="A844" s="1">
        <f>HYPERLINK("http://www.twitter.com/NathanBLawrence/status/1000576103692558336", "1000576103692558336")</f>
        <v/>
      </c>
      <c r="B844" s="2" t="n">
        <v>43247.13549768519</v>
      </c>
      <c r="C844" t="n">
        <v>0</v>
      </c>
      <c r="D844" t="n">
        <v>228</v>
      </c>
      <c r="E844" t="s">
        <v>855</v>
      </c>
      <c r="F844" t="s"/>
      <c r="G844" t="s"/>
      <c r="H844" t="s"/>
      <c r="I844" t="s"/>
      <c r="J844" t="n">
        <v>0.4019</v>
      </c>
      <c r="K844" t="n">
        <v>0</v>
      </c>
      <c r="L844" t="n">
        <v>0.899</v>
      </c>
      <c r="M844" t="n">
        <v>0.101</v>
      </c>
    </row>
    <row r="845" spans="1:13">
      <c r="A845" s="1">
        <f>HYPERLINK("http://www.twitter.com/NathanBLawrence/status/1000576088710565889", "1000576088710565889")</f>
        <v/>
      </c>
      <c r="B845" s="2" t="n">
        <v>43247.13546296296</v>
      </c>
      <c r="C845" t="n">
        <v>0</v>
      </c>
      <c r="D845" t="n">
        <v>187</v>
      </c>
      <c r="E845" t="s">
        <v>856</v>
      </c>
      <c r="F845" t="s"/>
      <c r="G845" t="s"/>
      <c r="H845" t="s"/>
      <c r="I845" t="s"/>
      <c r="J845" t="n">
        <v>0.0258</v>
      </c>
      <c r="K845" t="n">
        <v>0</v>
      </c>
      <c r="L845" t="n">
        <v>0.95</v>
      </c>
      <c r="M845" t="n">
        <v>0.05</v>
      </c>
    </row>
    <row r="846" spans="1:13">
      <c r="A846" s="1">
        <f>HYPERLINK("http://www.twitter.com/NathanBLawrence/status/1000576068078768128", "1000576068078768128")</f>
        <v/>
      </c>
      <c r="B846" s="2" t="n">
        <v>43247.13540509259</v>
      </c>
      <c r="C846" t="n">
        <v>0</v>
      </c>
      <c r="D846" t="n">
        <v>207</v>
      </c>
      <c r="E846" t="s">
        <v>857</v>
      </c>
      <c r="F846" t="s"/>
      <c r="G846" t="s"/>
      <c r="H846" t="s"/>
      <c r="I846" t="s"/>
      <c r="J846" t="n">
        <v>0</v>
      </c>
      <c r="K846" t="n">
        <v>0</v>
      </c>
      <c r="L846" t="n">
        <v>1</v>
      </c>
      <c r="M846" t="n">
        <v>0</v>
      </c>
    </row>
    <row r="847" spans="1:13">
      <c r="A847" s="1">
        <f>HYPERLINK("http://www.twitter.com/NathanBLawrence/status/1000575888327675905", "1000575888327675905")</f>
        <v/>
      </c>
      <c r="B847" s="2" t="n">
        <v>43247.13490740741</v>
      </c>
      <c r="C847" t="n">
        <v>0</v>
      </c>
      <c r="D847" t="n">
        <v>314</v>
      </c>
      <c r="E847" t="s">
        <v>858</v>
      </c>
      <c r="F847">
        <f>HYPERLINK("http://pbs.twimg.com/media/DeKX2GGUwAAhIlk.jpg", "http://pbs.twimg.com/media/DeKX2GGUwAAhIlk.jpg")</f>
        <v/>
      </c>
      <c r="G847" t="s"/>
      <c r="H847" t="s"/>
      <c r="I847" t="s"/>
      <c r="J847" t="n">
        <v>0</v>
      </c>
      <c r="K847" t="n">
        <v>0</v>
      </c>
      <c r="L847" t="n">
        <v>1</v>
      </c>
      <c r="M847" t="n">
        <v>0</v>
      </c>
    </row>
    <row r="848" spans="1:13">
      <c r="A848" s="1">
        <f>HYPERLINK("http://www.twitter.com/NathanBLawrence/status/1000575847416451072", "1000575847416451072")</f>
        <v/>
      </c>
      <c r="B848" s="2" t="n">
        <v>43247.13479166666</v>
      </c>
      <c r="C848" t="n">
        <v>0</v>
      </c>
      <c r="D848" t="n">
        <v>292</v>
      </c>
      <c r="E848" t="s">
        <v>859</v>
      </c>
      <c r="F848" t="s"/>
      <c r="G848" t="s"/>
      <c r="H848" t="s"/>
      <c r="I848" t="s"/>
      <c r="J848" t="n">
        <v>-0.5023</v>
      </c>
      <c r="K848" t="n">
        <v>0.14</v>
      </c>
      <c r="L848" t="n">
        <v>0.86</v>
      </c>
      <c r="M848" t="n">
        <v>0</v>
      </c>
    </row>
    <row r="849" spans="1:13">
      <c r="A849" s="1">
        <f>HYPERLINK("http://www.twitter.com/NathanBLawrence/status/1000575820652515328", "1000575820652515328")</f>
        <v/>
      </c>
      <c r="B849" s="2" t="n">
        <v>43247.13472222222</v>
      </c>
      <c r="C849" t="n">
        <v>0</v>
      </c>
      <c r="D849" t="n">
        <v>305</v>
      </c>
      <c r="E849" t="s">
        <v>860</v>
      </c>
      <c r="F849" t="s"/>
      <c r="G849" t="s"/>
      <c r="H849" t="s"/>
      <c r="I849" t="s"/>
      <c r="J849" t="n">
        <v>-0.7351</v>
      </c>
      <c r="K849" t="n">
        <v>0.212</v>
      </c>
      <c r="L849" t="n">
        <v>0.788</v>
      </c>
      <c r="M849" t="n">
        <v>0</v>
      </c>
    </row>
    <row r="850" spans="1:13">
      <c r="A850" s="1">
        <f>HYPERLINK("http://www.twitter.com/NathanBLawrence/status/1000575775022731264", "1000575775022731264")</f>
        <v/>
      </c>
      <c r="B850" s="2" t="n">
        <v>43247.13459490741</v>
      </c>
      <c r="C850" t="n">
        <v>0</v>
      </c>
      <c r="D850" t="n">
        <v>269</v>
      </c>
      <c r="E850" t="s">
        <v>861</v>
      </c>
      <c r="F850" t="s"/>
      <c r="G850" t="s"/>
      <c r="H850" t="s"/>
      <c r="I850" t="s"/>
      <c r="J850" t="n">
        <v>0</v>
      </c>
      <c r="K850" t="n">
        <v>0</v>
      </c>
      <c r="L850" t="n">
        <v>1</v>
      </c>
      <c r="M850" t="n">
        <v>0</v>
      </c>
    </row>
    <row r="851" spans="1:13">
      <c r="A851" s="1">
        <f>HYPERLINK("http://www.twitter.com/NathanBLawrence/status/1000575738335125504", "1000575738335125504")</f>
        <v/>
      </c>
      <c r="B851" s="2" t="n">
        <v>43247.13449074074</v>
      </c>
      <c r="C851" t="n">
        <v>0</v>
      </c>
      <c r="D851" t="n">
        <v>353</v>
      </c>
      <c r="E851" t="s">
        <v>862</v>
      </c>
      <c r="F851">
        <f>HYPERLINK("http://pbs.twimg.com/media/DeKV-PbVMAAqK4i.jpg", "http://pbs.twimg.com/media/DeKV-PbVMAAqK4i.jpg")</f>
        <v/>
      </c>
      <c r="G851" t="s"/>
      <c r="H851" t="s"/>
      <c r="I851" t="s"/>
      <c r="J851" t="n">
        <v>0.6124000000000001</v>
      </c>
      <c r="K851" t="n">
        <v>0</v>
      </c>
      <c r="L851" t="n">
        <v>0.8149999999999999</v>
      </c>
      <c r="M851" t="n">
        <v>0.185</v>
      </c>
    </row>
    <row r="852" spans="1:13">
      <c r="A852" s="1">
        <f>HYPERLINK("http://www.twitter.com/NathanBLawrence/status/1000575380472950784", "1000575380472950784")</f>
        <v/>
      </c>
      <c r="B852" s="2" t="n">
        <v>43247.13350694445</v>
      </c>
      <c r="C852" t="n">
        <v>0</v>
      </c>
      <c r="D852" t="n">
        <v>15</v>
      </c>
      <c r="E852" t="s">
        <v>863</v>
      </c>
      <c r="F852" t="s"/>
      <c r="G852" t="s"/>
      <c r="H852" t="s"/>
      <c r="I852" t="s"/>
      <c r="J852" t="n">
        <v>-0.8442</v>
      </c>
      <c r="K852" t="n">
        <v>0.412</v>
      </c>
      <c r="L852" t="n">
        <v>0.588</v>
      </c>
      <c r="M852" t="n">
        <v>0</v>
      </c>
    </row>
    <row r="853" spans="1:13">
      <c r="A853" s="1">
        <f>HYPERLINK("http://www.twitter.com/NathanBLawrence/status/1000575108799451136", "1000575108799451136")</f>
        <v/>
      </c>
      <c r="B853" s="2" t="n">
        <v>43247.13275462963</v>
      </c>
      <c r="C853" t="n">
        <v>0</v>
      </c>
      <c r="D853" t="n">
        <v>40</v>
      </c>
      <c r="E853" t="s">
        <v>864</v>
      </c>
      <c r="F853" t="s"/>
      <c r="G853" t="s"/>
      <c r="H853" t="s"/>
      <c r="I853" t="s"/>
      <c r="J853" t="n">
        <v>0</v>
      </c>
      <c r="K853" t="n">
        <v>0</v>
      </c>
      <c r="L853" t="n">
        <v>1</v>
      </c>
      <c r="M853" t="n">
        <v>0</v>
      </c>
    </row>
    <row r="854" spans="1:13">
      <c r="A854" s="1">
        <f>HYPERLINK("http://www.twitter.com/NathanBLawrence/status/1000574887747039232", "1000574887747039232")</f>
        <v/>
      </c>
      <c r="B854" s="2" t="n">
        <v>43247.13214120371</v>
      </c>
      <c r="C854" t="n">
        <v>0</v>
      </c>
      <c r="D854" t="n">
        <v>152</v>
      </c>
      <c r="E854" t="s">
        <v>865</v>
      </c>
      <c r="F854" t="s"/>
      <c r="G854" t="s"/>
      <c r="H854" t="s"/>
      <c r="I854" t="s"/>
      <c r="J854" t="n">
        <v>0</v>
      </c>
      <c r="K854" t="n">
        <v>0</v>
      </c>
      <c r="L854" t="n">
        <v>1</v>
      </c>
      <c r="M854" t="n">
        <v>0</v>
      </c>
    </row>
    <row r="855" spans="1:13">
      <c r="A855" s="1">
        <f>HYPERLINK("http://www.twitter.com/NathanBLawrence/status/1000574294760583168", "1000574294760583168")</f>
        <v/>
      </c>
      <c r="B855" s="2" t="n">
        <v>43247.13050925926</v>
      </c>
      <c r="C855" t="n">
        <v>0</v>
      </c>
      <c r="D855" t="n">
        <v>51</v>
      </c>
      <c r="E855" t="s">
        <v>866</v>
      </c>
      <c r="F855" t="s"/>
      <c r="G855" t="s"/>
      <c r="H855" t="s"/>
      <c r="I855" t="s"/>
      <c r="J855" t="n">
        <v>0</v>
      </c>
      <c r="K855" t="n">
        <v>0</v>
      </c>
      <c r="L855" t="n">
        <v>1</v>
      </c>
      <c r="M855" t="n">
        <v>0</v>
      </c>
    </row>
    <row r="856" spans="1:13">
      <c r="A856" s="1">
        <f>HYPERLINK("http://www.twitter.com/NathanBLawrence/status/1000572643387564034", "1000572643387564034")</f>
        <v/>
      </c>
      <c r="B856" s="2" t="n">
        <v>43247.12594907408</v>
      </c>
      <c r="C856" t="n">
        <v>0</v>
      </c>
      <c r="D856" t="n">
        <v>162</v>
      </c>
      <c r="E856" t="s">
        <v>867</v>
      </c>
      <c r="F856">
        <f>HYPERLINK("http://pbs.twimg.com/media/DeK2GqvVwAAGz7z.jpg", "http://pbs.twimg.com/media/DeK2GqvVwAAGz7z.jpg")</f>
        <v/>
      </c>
      <c r="G856" t="s"/>
      <c r="H856" t="s"/>
      <c r="I856" t="s"/>
      <c r="J856" t="n">
        <v>0</v>
      </c>
      <c r="K856" t="n">
        <v>0</v>
      </c>
      <c r="L856" t="n">
        <v>1</v>
      </c>
      <c r="M856" t="n">
        <v>0</v>
      </c>
    </row>
    <row r="857" spans="1:13">
      <c r="A857" s="1">
        <f>HYPERLINK("http://www.twitter.com/NathanBLawrence/status/1000572617345130496", "1000572617345130496")</f>
        <v/>
      </c>
      <c r="B857" s="2" t="n">
        <v>43247.12587962963</v>
      </c>
      <c r="C857" t="n">
        <v>0</v>
      </c>
      <c r="D857" t="n">
        <v>861</v>
      </c>
      <c r="E857" t="s">
        <v>868</v>
      </c>
      <c r="F857" t="s"/>
      <c r="G857" t="s"/>
      <c r="H857" t="s"/>
      <c r="I857" t="s"/>
      <c r="J857" t="n">
        <v>-0.8176</v>
      </c>
      <c r="K857" t="n">
        <v>0.314</v>
      </c>
      <c r="L857" t="n">
        <v>0.615</v>
      </c>
      <c r="M857" t="n">
        <v>0.07099999999999999</v>
      </c>
    </row>
    <row r="858" spans="1:13">
      <c r="A858" s="1">
        <f>HYPERLINK("http://www.twitter.com/NathanBLawrence/status/1000572405515980800", "1000572405515980800")</f>
        <v/>
      </c>
      <c r="B858" s="2" t="n">
        <v>43247.12528935185</v>
      </c>
      <c r="C858" t="n">
        <v>0</v>
      </c>
      <c r="D858" t="n">
        <v>10</v>
      </c>
      <c r="E858" t="s">
        <v>869</v>
      </c>
      <c r="F858" t="s"/>
      <c r="G858" t="s"/>
      <c r="H858" t="s"/>
      <c r="I858" t="s"/>
      <c r="J858" t="n">
        <v>0.3182</v>
      </c>
      <c r="K858" t="n">
        <v>0</v>
      </c>
      <c r="L858" t="n">
        <v>0.881</v>
      </c>
      <c r="M858" t="n">
        <v>0.119</v>
      </c>
    </row>
    <row r="859" spans="1:13">
      <c r="A859" s="1">
        <f>HYPERLINK("http://www.twitter.com/NathanBLawrence/status/1000572315908919297", "1000572315908919297")</f>
        <v/>
      </c>
      <c r="B859" s="2" t="n">
        <v>43247.1250462963</v>
      </c>
      <c r="C859" t="n">
        <v>0</v>
      </c>
      <c r="D859" t="n">
        <v>50</v>
      </c>
      <c r="E859" t="s">
        <v>870</v>
      </c>
      <c r="F859" t="s"/>
      <c r="G859" t="s"/>
      <c r="H859" t="s"/>
      <c r="I859" t="s"/>
      <c r="J859" t="n">
        <v>0</v>
      </c>
      <c r="K859" t="n">
        <v>0</v>
      </c>
      <c r="L859" t="n">
        <v>1</v>
      </c>
      <c r="M859" t="n">
        <v>0</v>
      </c>
    </row>
    <row r="860" spans="1:13">
      <c r="A860" s="1">
        <f>HYPERLINK("http://www.twitter.com/NathanBLawrence/status/1000572227270606848", "1000572227270606848")</f>
        <v/>
      </c>
      <c r="B860" s="2" t="n">
        <v>43247.12480324074</v>
      </c>
      <c r="C860" t="n">
        <v>0</v>
      </c>
      <c r="D860" t="n">
        <v>1572</v>
      </c>
      <c r="E860" t="s">
        <v>871</v>
      </c>
      <c r="F860" t="s"/>
      <c r="G860" t="s"/>
      <c r="H860" t="s"/>
      <c r="I860" t="s"/>
      <c r="J860" t="n">
        <v>-0.296</v>
      </c>
      <c r="K860" t="n">
        <v>0.091</v>
      </c>
      <c r="L860" t="n">
        <v>0.909</v>
      </c>
      <c r="M860" t="n">
        <v>0</v>
      </c>
    </row>
    <row r="861" spans="1:13">
      <c r="A861" s="1">
        <f>HYPERLINK("http://www.twitter.com/NathanBLawrence/status/1000572185541578752", "1000572185541578752")</f>
        <v/>
      </c>
      <c r="B861" s="2" t="n">
        <v>43247.1246875</v>
      </c>
      <c r="C861" t="n">
        <v>0</v>
      </c>
      <c r="D861" t="n">
        <v>1113</v>
      </c>
      <c r="E861" t="s">
        <v>872</v>
      </c>
      <c r="F861" t="s"/>
      <c r="G861" t="s"/>
      <c r="H861" t="s"/>
      <c r="I861" t="s"/>
      <c r="J861" t="n">
        <v>0.5574</v>
      </c>
      <c r="K861" t="n">
        <v>0</v>
      </c>
      <c r="L861" t="n">
        <v>0.8129999999999999</v>
      </c>
      <c r="M861" t="n">
        <v>0.187</v>
      </c>
    </row>
    <row r="862" spans="1:13">
      <c r="A862" s="1">
        <f>HYPERLINK("http://www.twitter.com/NathanBLawrence/status/1000572168231677952", "1000572168231677952")</f>
        <v/>
      </c>
      <c r="B862" s="2" t="n">
        <v>43247.12464120371</v>
      </c>
      <c r="C862" t="n">
        <v>0</v>
      </c>
      <c r="D862" t="n">
        <v>1284</v>
      </c>
      <c r="E862" t="s">
        <v>873</v>
      </c>
      <c r="F862" t="s"/>
      <c r="G862" t="s"/>
      <c r="H862" t="s"/>
      <c r="I862" t="s"/>
      <c r="J862" t="n">
        <v>0.25</v>
      </c>
      <c r="K862" t="n">
        <v>0.126</v>
      </c>
      <c r="L862" t="n">
        <v>0.701</v>
      </c>
      <c r="M862" t="n">
        <v>0.173</v>
      </c>
    </row>
    <row r="863" spans="1:13">
      <c r="A863" s="1">
        <f>HYPERLINK("http://www.twitter.com/NathanBLawrence/status/1000572145045573632", "1000572145045573632")</f>
        <v/>
      </c>
      <c r="B863" s="2" t="n">
        <v>43247.12457175926</v>
      </c>
      <c r="C863" t="n">
        <v>0</v>
      </c>
      <c r="D863" t="n">
        <v>6864</v>
      </c>
      <c r="E863" t="s">
        <v>874</v>
      </c>
      <c r="F863" t="s"/>
      <c r="G863" t="s"/>
      <c r="H863" t="s"/>
      <c r="I863" t="s"/>
      <c r="J863" t="n">
        <v>0</v>
      </c>
      <c r="K863" t="n">
        <v>0</v>
      </c>
      <c r="L863" t="n">
        <v>1</v>
      </c>
      <c r="M863" t="n">
        <v>0</v>
      </c>
    </row>
    <row r="864" spans="1:13">
      <c r="A864" s="1">
        <f>HYPERLINK("http://www.twitter.com/NathanBLawrence/status/1000572004930646016", "1000572004930646016")</f>
        <v/>
      </c>
      <c r="B864" s="2" t="n">
        <v>43247.12418981481</v>
      </c>
      <c r="C864" t="n">
        <v>0</v>
      </c>
      <c r="D864" t="n">
        <v>49</v>
      </c>
      <c r="E864" t="s">
        <v>875</v>
      </c>
      <c r="F864" t="s"/>
      <c r="G864" t="s"/>
      <c r="H864" t="s"/>
      <c r="I864" t="s"/>
      <c r="J864" t="n">
        <v>0.8401999999999999</v>
      </c>
      <c r="K864" t="n">
        <v>0</v>
      </c>
      <c r="L864" t="n">
        <v>0.667</v>
      </c>
      <c r="M864" t="n">
        <v>0.333</v>
      </c>
    </row>
    <row r="865" spans="1:13">
      <c r="A865" s="1">
        <f>HYPERLINK("http://www.twitter.com/NathanBLawrence/status/1000571879697145857", "1000571879697145857")</f>
        <v/>
      </c>
      <c r="B865" s="2" t="n">
        <v>43247.12384259259</v>
      </c>
      <c r="C865" t="n">
        <v>0</v>
      </c>
      <c r="D865" t="n">
        <v>12</v>
      </c>
      <c r="E865" t="s">
        <v>876</v>
      </c>
      <c r="F865" t="s"/>
      <c r="G865" t="s"/>
      <c r="H865" t="s"/>
      <c r="I865" t="s"/>
      <c r="J865" t="n">
        <v>0</v>
      </c>
      <c r="K865" t="n">
        <v>0</v>
      </c>
      <c r="L865" t="n">
        <v>1</v>
      </c>
      <c r="M865" t="n">
        <v>0</v>
      </c>
    </row>
    <row r="866" spans="1:13">
      <c r="A866" s="1">
        <f>HYPERLINK("http://www.twitter.com/NathanBLawrence/status/1000571832246980608", "1000571832246980608")</f>
        <v/>
      </c>
      <c r="B866" s="2" t="n">
        <v>43247.12371527778</v>
      </c>
      <c r="C866" t="n">
        <v>0</v>
      </c>
      <c r="D866" t="n">
        <v>12</v>
      </c>
      <c r="E866" t="s">
        <v>877</v>
      </c>
      <c r="F866" t="s"/>
      <c r="G866" t="s"/>
      <c r="H866" t="s"/>
      <c r="I866" t="s"/>
      <c r="J866" t="n">
        <v>0</v>
      </c>
      <c r="K866" t="n">
        <v>0</v>
      </c>
      <c r="L866" t="n">
        <v>1</v>
      </c>
      <c r="M866" t="n">
        <v>0</v>
      </c>
    </row>
    <row r="867" spans="1:13">
      <c r="A867" s="1">
        <f>HYPERLINK("http://www.twitter.com/NathanBLawrence/status/1000571789876088832", "1000571789876088832")</f>
        <v/>
      </c>
      <c r="B867" s="2" t="n">
        <v>43247.12359953704</v>
      </c>
      <c r="C867" t="n">
        <v>0</v>
      </c>
      <c r="D867" t="n">
        <v>15</v>
      </c>
      <c r="E867" t="s">
        <v>878</v>
      </c>
      <c r="F867">
        <f>HYPERLINK("http://pbs.twimg.com/media/DeJ3hraU8AAUYYn.jpg", "http://pbs.twimg.com/media/DeJ3hraU8AAUYYn.jpg")</f>
        <v/>
      </c>
      <c r="G867" t="s"/>
      <c r="H867" t="s"/>
      <c r="I867" t="s"/>
      <c r="J867" t="n">
        <v>-0.4588</v>
      </c>
      <c r="K867" t="n">
        <v>0.143</v>
      </c>
      <c r="L867" t="n">
        <v>0.857</v>
      </c>
      <c r="M867" t="n">
        <v>0</v>
      </c>
    </row>
    <row r="868" spans="1:13">
      <c r="A868" s="1">
        <f>HYPERLINK("http://www.twitter.com/NathanBLawrence/status/1000571567234015232", "1000571567234015232")</f>
        <v/>
      </c>
      <c r="B868" s="2" t="n">
        <v>43247.12298611111</v>
      </c>
      <c r="C868" t="n">
        <v>0</v>
      </c>
      <c r="D868" t="n">
        <v>15</v>
      </c>
      <c r="E868" t="s">
        <v>879</v>
      </c>
      <c r="F868">
        <f>HYPERLINK("http://pbs.twimg.com/media/DeJ2oB1UwAAMAtr.jpg", "http://pbs.twimg.com/media/DeJ2oB1UwAAMAtr.jpg")</f>
        <v/>
      </c>
      <c r="G868" t="s"/>
      <c r="H868" t="s"/>
      <c r="I868" t="s"/>
      <c r="J868" t="n">
        <v>0.2732</v>
      </c>
      <c r="K868" t="n">
        <v>0</v>
      </c>
      <c r="L868" t="n">
        <v>0.92</v>
      </c>
      <c r="M868" t="n">
        <v>0.08</v>
      </c>
    </row>
    <row r="869" spans="1:13">
      <c r="A869" s="1">
        <f>HYPERLINK("http://www.twitter.com/NathanBLawrence/status/1000571518299058177", "1000571518299058177")</f>
        <v/>
      </c>
      <c r="B869" s="2" t="n">
        <v>43247.12284722222</v>
      </c>
      <c r="C869" t="n">
        <v>0</v>
      </c>
      <c r="D869" t="n">
        <v>13</v>
      </c>
      <c r="E869" t="s">
        <v>880</v>
      </c>
      <c r="F869" t="s"/>
      <c r="G869" t="s"/>
      <c r="H869" t="s"/>
      <c r="I869" t="s"/>
      <c r="J869" t="n">
        <v>0</v>
      </c>
      <c r="K869" t="n">
        <v>0</v>
      </c>
      <c r="L869" t="n">
        <v>1</v>
      </c>
      <c r="M869" t="n">
        <v>0</v>
      </c>
    </row>
    <row r="870" spans="1:13">
      <c r="A870" s="1">
        <f>HYPERLINK("http://www.twitter.com/NathanBLawrence/status/1000571076416598018", "1000571076416598018")</f>
        <v/>
      </c>
      <c r="B870" s="2" t="n">
        <v>43247.12162037037</v>
      </c>
      <c r="C870" t="n">
        <v>0</v>
      </c>
      <c r="D870" t="n">
        <v>55</v>
      </c>
      <c r="E870" t="s">
        <v>881</v>
      </c>
      <c r="F870" t="s"/>
      <c r="G870" t="s"/>
      <c r="H870" t="s"/>
      <c r="I870" t="s"/>
      <c r="J870" t="n">
        <v>-0.5994</v>
      </c>
      <c r="K870" t="n">
        <v>0.157</v>
      </c>
      <c r="L870" t="n">
        <v>0.843</v>
      </c>
      <c r="M870" t="n">
        <v>0</v>
      </c>
    </row>
    <row r="871" spans="1:13">
      <c r="A871" s="1">
        <f>HYPERLINK("http://www.twitter.com/NathanBLawrence/status/1000571043554234368", "1000571043554234368")</f>
        <v/>
      </c>
      <c r="B871" s="2" t="n">
        <v>43247.12153935185</v>
      </c>
      <c r="C871" t="n">
        <v>0</v>
      </c>
      <c r="D871" t="n">
        <v>25</v>
      </c>
      <c r="E871" t="s">
        <v>882</v>
      </c>
      <c r="F871" t="s"/>
      <c r="G871" t="s"/>
      <c r="H871" t="s"/>
      <c r="I871" t="s"/>
      <c r="J871" t="n">
        <v>0</v>
      </c>
      <c r="K871" t="n">
        <v>0</v>
      </c>
      <c r="L871" t="n">
        <v>1</v>
      </c>
      <c r="M871" t="n">
        <v>0</v>
      </c>
    </row>
    <row r="872" spans="1:13">
      <c r="A872" s="1">
        <f>HYPERLINK("http://www.twitter.com/NathanBLawrence/status/1000570977854648320", "1000570977854648320")</f>
        <v/>
      </c>
      <c r="B872" s="2" t="n">
        <v>43247.12135416667</v>
      </c>
      <c r="C872" t="n">
        <v>0</v>
      </c>
      <c r="D872" t="n">
        <v>27</v>
      </c>
      <c r="E872" t="s">
        <v>883</v>
      </c>
      <c r="F872">
        <f>HYPERLINK("http://pbs.twimg.com/media/DeDpDetUwAAR-Uq.jpg", "http://pbs.twimg.com/media/DeDpDetUwAAR-Uq.jpg")</f>
        <v/>
      </c>
      <c r="G872" t="s"/>
      <c r="H872" t="s"/>
      <c r="I872" t="s"/>
      <c r="J872" t="n">
        <v>-0.4019</v>
      </c>
      <c r="K872" t="n">
        <v>0.154</v>
      </c>
      <c r="L872" t="n">
        <v>0.751</v>
      </c>
      <c r="M872" t="n">
        <v>0.096</v>
      </c>
    </row>
    <row r="873" spans="1:13">
      <c r="A873" s="1">
        <f>HYPERLINK("http://www.twitter.com/NathanBLawrence/status/1000570948054142976", "1000570948054142976")</f>
        <v/>
      </c>
      <c r="B873" s="2" t="n">
        <v>43247.12127314815</v>
      </c>
      <c r="C873" t="n">
        <v>0</v>
      </c>
      <c r="D873" t="n">
        <v>56</v>
      </c>
      <c r="E873" t="s">
        <v>884</v>
      </c>
      <c r="F873" t="s"/>
      <c r="G873" t="s"/>
      <c r="H873" t="s"/>
      <c r="I873" t="s"/>
      <c r="J873" t="n">
        <v>-0.8270999999999999</v>
      </c>
      <c r="K873" t="n">
        <v>0.316</v>
      </c>
      <c r="L873" t="n">
        <v>0.6840000000000001</v>
      </c>
      <c r="M873" t="n">
        <v>0</v>
      </c>
    </row>
    <row r="874" spans="1:13">
      <c r="A874" s="1">
        <f>HYPERLINK("http://www.twitter.com/NathanBLawrence/status/1000569979740348417", "1000569979740348417")</f>
        <v/>
      </c>
      <c r="B874" s="2" t="n">
        <v>43247.11859953704</v>
      </c>
      <c r="C874" t="n">
        <v>0</v>
      </c>
      <c r="D874" t="n">
        <v>0</v>
      </c>
      <c r="E874" t="s">
        <v>885</v>
      </c>
      <c r="F874" t="s"/>
      <c r="G874" t="s"/>
      <c r="H874" t="s"/>
      <c r="I874" t="s"/>
      <c r="J874" t="n">
        <v>-0.1779</v>
      </c>
      <c r="K874" t="n">
        <v>0.06900000000000001</v>
      </c>
      <c r="L874" t="n">
        <v>0.876</v>
      </c>
      <c r="M874" t="n">
        <v>0.055</v>
      </c>
    </row>
    <row r="875" spans="1:13">
      <c r="A875" s="1">
        <f>HYPERLINK("http://www.twitter.com/NathanBLawrence/status/1000569701439852544", "1000569701439852544")</f>
        <v/>
      </c>
      <c r="B875" s="2" t="n">
        <v>43247.11783564815</v>
      </c>
      <c r="C875" t="n">
        <v>0</v>
      </c>
      <c r="D875" t="n">
        <v>0</v>
      </c>
      <c r="E875" t="s">
        <v>886</v>
      </c>
      <c r="F875" t="s"/>
      <c r="G875" t="s"/>
      <c r="H875" t="s"/>
      <c r="I875" t="s"/>
      <c r="J875" t="n">
        <v>-0.296</v>
      </c>
      <c r="K875" t="n">
        <v>0.059</v>
      </c>
      <c r="L875" t="n">
        <v>0.9409999999999999</v>
      </c>
      <c r="M875" t="n">
        <v>0</v>
      </c>
    </row>
    <row r="876" spans="1:13">
      <c r="A876" s="1">
        <f>HYPERLINK("http://www.twitter.com/NathanBLawrence/status/1000567623984320514", "1000567623984320514")</f>
        <v/>
      </c>
      <c r="B876" s="2" t="n">
        <v>43247.11209490741</v>
      </c>
      <c r="C876" t="n">
        <v>0</v>
      </c>
      <c r="D876" t="n">
        <v>336</v>
      </c>
      <c r="E876" t="s">
        <v>887</v>
      </c>
      <c r="F876" t="s"/>
      <c r="G876" t="s"/>
      <c r="H876" t="s"/>
      <c r="I876" t="s"/>
      <c r="J876" t="n">
        <v>0</v>
      </c>
      <c r="K876" t="n">
        <v>0</v>
      </c>
      <c r="L876" t="n">
        <v>1</v>
      </c>
      <c r="M876" t="n">
        <v>0</v>
      </c>
    </row>
    <row r="877" spans="1:13">
      <c r="A877" s="1">
        <f>HYPERLINK("http://www.twitter.com/NathanBLawrence/status/1000567489712009217", "1000567489712009217")</f>
        <v/>
      </c>
      <c r="B877" s="2" t="n">
        <v>43247.11172453704</v>
      </c>
      <c r="C877" t="n">
        <v>0</v>
      </c>
      <c r="D877" t="n">
        <v>1692</v>
      </c>
      <c r="E877" t="s">
        <v>888</v>
      </c>
      <c r="F877" t="s"/>
      <c r="G877" t="s"/>
      <c r="H877" t="s"/>
      <c r="I877" t="s"/>
      <c r="J877" t="n">
        <v>0</v>
      </c>
      <c r="K877" t="n">
        <v>0</v>
      </c>
      <c r="L877" t="n">
        <v>1</v>
      </c>
      <c r="M877" t="n">
        <v>0</v>
      </c>
    </row>
    <row r="878" spans="1:13">
      <c r="A878" s="1">
        <f>HYPERLINK("http://www.twitter.com/NathanBLawrence/status/1000565902822211585", "1000565902822211585")</f>
        <v/>
      </c>
      <c r="B878" s="2" t="n">
        <v>43247.10734953704</v>
      </c>
      <c r="C878" t="n">
        <v>0</v>
      </c>
      <c r="D878" t="n">
        <v>3025</v>
      </c>
      <c r="E878" t="s">
        <v>889</v>
      </c>
      <c r="F878" t="s"/>
      <c r="G878" t="s"/>
      <c r="H878" t="s"/>
      <c r="I878" t="s"/>
      <c r="J878" t="n">
        <v>-0.3818</v>
      </c>
      <c r="K878" t="n">
        <v>0.206</v>
      </c>
      <c r="L878" t="n">
        <v>0.794</v>
      </c>
      <c r="M878" t="n">
        <v>0</v>
      </c>
    </row>
    <row r="879" spans="1:13">
      <c r="A879" s="1">
        <f>HYPERLINK("http://www.twitter.com/NathanBLawrence/status/1000565768050958337", "1000565768050958337")</f>
        <v/>
      </c>
      <c r="B879" s="2" t="n">
        <v>43247.10697916667</v>
      </c>
      <c r="C879" t="n">
        <v>0</v>
      </c>
      <c r="D879" t="n">
        <v>1057</v>
      </c>
      <c r="E879" t="s">
        <v>890</v>
      </c>
      <c r="F879" t="s"/>
      <c r="G879" t="s"/>
      <c r="H879" t="s"/>
      <c r="I879" t="s"/>
      <c r="J879" t="n">
        <v>0</v>
      </c>
      <c r="K879" t="n">
        <v>0</v>
      </c>
      <c r="L879" t="n">
        <v>1</v>
      </c>
      <c r="M879" t="n">
        <v>0</v>
      </c>
    </row>
    <row r="880" spans="1:13">
      <c r="A880" s="1">
        <f>HYPERLINK("http://www.twitter.com/NathanBLawrence/status/1000564064286855168", "1000564064286855168")</f>
        <v/>
      </c>
      <c r="B880" s="2" t="n">
        <v>43247.10228009259</v>
      </c>
      <c r="C880" t="n">
        <v>0</v>
      </c>
      <c r="D880" t="n">
        <v>57</v>
      </c>
      <c r="E880" t="s">
        <v>891</v>
      </c>
      <c r="F880" t="s"/>
      <c r="G880" t="s"/>
      <c r="H880" t="s"/>
      <c r="I880" t="s"/>
      <c r="J880" t="n">
        <v>0</v>
      </c>
      <c r="K880" t="n">
        <v>0</v>
      </c>
      <c r="L880" t="n">
        <v>1</v>
      </c>
      <c r="M880" t="n">
        <v>0</v>
      </c>
    </row>
    <row r="881" spans="1:13">
      <c r="A881" s="1">
        <f>HYPERLINK("http://www.twitter.com/NathanBLawrence/status/1000563859567075329", "1000563859567075329")</f>
        <v/>
      </c>
      <c r="B881" s="2" t="n">
        <v>43247.10171296296</v>
      </c>
      <c r="C881" t="n">
        <v>0</v>
      </c>
      <c r="D881" t="n">
        <v>720</v>
      </c>
      <c r="E881" t="s">
        <v>892</v>
      </c>
      <c r="F881" t="s"/>
      <c r="G881" t="s"/>
      <c r="H881" t="s"/>
      <c r="I881" t="s"/>
      <c r="J881" t="n">
        <v>-0.5386</v>
      </c>
      <c r="K881" t="n">
        <v>0.225</v>
      </c>
      <c r="L881" t="n">
        <v>0.775</v>
      </c>
      <c r="M881" t="n">
        <v>0</v>
      </c>
    </row>
    <row r="882" spans="1:13">
      <c r="A882" s="1">
        <f>HYPERLINK("http://www.twitter.com/NathanBLawrence/status/1000559844062126081", "1000559844062126081")</f>
        <v/>
      </c>
      <c r="B882" s="2" t="n">
        <v>43247.090625</v>
      </c>
      <c r="C882" t="n">
        <v>0</v>
      </c>
      <c r="D882" t="n">
        <v>127</v>
      </c>
      <c r="E882" t="s">
        <v>893</v>
      </c>
      <c r="F882">
        <f>HYPERLINK("http://pbs.twimg.com/media/DeKDU5vV4AAZJom.jpg", "http://pbs.twimg.com/media/DeKDU5vV4AAZJom.jpg")</f>
        <v/>
      </c>
      <c r="G882" t="s"/>
      <c r="H882" t="s"/>
      <c r="I882" t="s"/>
      <c r="J882" t="n">
        <v>-0.8452</v>
      </c>
      <c r="K882" t="n">
        <v>0.324</v>
      </c>
      <c r="L882" t="n">
        <v>0.676</v>
      </c>
      <c r="M882" t="n">
        <v>0</v>
      </c>
    </row>
    <row r="883" spans="1:13">
      <c r="A883" s="1">
        <f>HYPERLINK("http://www.twitter.com/NathanBLawrence/status/1000559676189298688", "1000559676189298688")</f>
        <v/>
      </c>
      <c r="B883" s="2" t="n">
        <v>43247.09016203704</v>
      </c>
      <c r="C883" t="n">
        <v>0</v>
      </c>
      <c r="D883" t="n">
        <v>0</v>
      </c>
      <c r="E883" t="s">
        <v>894</v>
      </c>
      <c r="F883" t="s"/>
      <c r="G883" t="s"/>
      <c r="H883" t="s"/>
      <c r="I883" t="s"/>
      <c r="J883" t="n">
        <v>0.0772</v>
      </c>
      <c r="K883" t="n">
        <v>0.07000000000000001</v>
      </c>
      <c r="L883" t="n">
        <v>0.835</v>
      </c>
      <c r="M883" t="n">
        <v>0.095</v>
      </c>
    </row>
    <row r="884" spans="1:13">
      <c r="A884" s="1">
        <f>HYPERLINK("http://www.twitter.com/NathanBLawrence/status/1000550455334850560", "1000550455334850560")</f>
        <v/>
      </c>
      <c r="B884" s="2" t="n">
        <v>43247.06472222223</v>
      </c>
      <c r="C884" t="n">
        <v>0</v>
      </c>
      <c r="D884" t="n">
        <v>1</v>
      </c>
      <c r="E884" t="s">
        <v>895</v>
      </c>
      <c r="F884" t="s"/>
      <c r="G884" t="s"/>
      <c r="H884" t="s"/>
      <c r="I884" t="s"/>
      <c r="J884" t="n">
        <v>-0.09</v>
      </c>
      <c r="K884" t="n">
        <v>0.06</v>
      </c>
      <c r="L884" t="n">
        <v>0.9399999999999999</v>
      </c>
      <c r="M884" t="n">
        <v>0</v>
      </c>
    </row>
    <row r="885" spans="1:13">
      <c r="A885" s="1">
        <f>HYPERLINK("http://www.twitter.com/NathanBLawrence/status/1000550430575943681", "1000550430575943681")</f>
        <v/>
      </c>
      <c r="B885" s="2" t="n">
        <v>43247.06465277778</v>
      </c>
      <c r="C885" t="n">
        <v>0</v>
      </c>
      <c r="D885" t="n">
        <v>2</v>
      </c>
      <c r="E885" t="s">
        <v>896</v>
      </c>
      <c r="F885" t="s"/>
      <c r="G885" t="s"/>
      <c r="H885" t="s"/>
      <c r="I885" t="s"/>
      <c r="J885" t="n">
        <v>-0.0772</v>
      </c>
      <c r="K885" t="n">
        <v>0.131</v>
      </c>
      <c r="L885" t="n">
        <v>0.749</v>
      </c>
      <c r="M885" t="n">
        <v>0.12</v>
      </c>
    </row>
    <row r="886" spans="1:13">
      <c r="A886" s="1">
        <f>HYPERLINK("http://www.twitter.com/NathanBLawrence/status/1000539657980071944", "1000539657980071944")</f>
        <v/>
      </c>
      <c r="B886" s="2" t="n">
        <v>43247.03493055556</v>
      </c>
      <c r="C886" t="n">
        <v>0</v>
      </c>
      <c r="D886" t="n">
        <v>1785</v>
      </c>
      <c r="E886" t="s">
        <v>897</v>
      </c>
      <c r="F886" t="s"/>
      <c r="G886" t="s"/>
      <c r="H886" t="s"/>
      <c r="I886" t="s"/>
      <c r="J886" t="n">
        <v>0</v>
      </c>
      <c r="K886" t="n">
        <v>0</v>
      </c>
      <c r="L886" t="n">
        <v>1</v>
      </c>
      <c r="M886" t="n">
        <v>0</v>
      </c>
    </row>
    <row r="887" spans="1:13">
      <c r="A887" s="1">
        <f>HYPERLINK("http://www.twitter.com/NathanBLawrence/status/1000539163651866624", "1000539163651866624")</f>
        <v/>
      </c>
      <c r="B887" s="2" t="n">
        <v>43247.03356481482</v>
      </c>
      <c r="C887" t="n">
        <v>0</v>
      </c>
      <c r="D887" t="n">
        <v>0</v>
      </c>
      <c r="E887" t="s">
        <v>898</v>
      </c>
      <c r="F887" t="s"/>
      <c r="G887" t="s"/>
      <c r="H887" t="s"/>
      <c r="I887" t="s"/>
      <c r="J887" t="n">
        <v>0.8908</v>
      </c>
      <c r="K887" t="n">
        <v>0</v>
      </c>
      <c r="L887" t="n">
        <v>0.602</v>
      </c>
      <c r="M887" t="n">
        <v>0.398</v>
      </c>
    </row>
    <row r="888" spans="1:13">
      <c r="A888" s="1">
        <f>HYPERLINK("http://www.twitter.com/NathanBLawrence/status/1000538859757764609", "1000538859757764609")</f>
        <v/>
      </c>
      <c r="B888" s="2" t="n">
        <v>43247.03271990741</v>
      </c>
      <c r="C888" t="n">
        <v>1</v>
      </c>
      <c r="D888" t="n">
        <v>0</v>
      </c>
      <c r="E888" t="s">
        <v>899</v>
      </c>
      <c r="F888" t="s"/>
      <c r="G888" t="s"/>
      <c r="H888" t="s"/>
      <c r="I888" t="s"/>
      <c r="J888" t="n">
        <v>0.7355</v>
      </c>
      <c r="K888" t="n">
        <v>0</v>
      </c>
      <c r="L888" t="n">
        <v>0.801</v>
      </c>
      <c r="M888" t="n">
        <v>0.199</v>
      </c>
    </row>
    <row r="889" spans="1:13">
      <c r="A889" s="1">
        <f>HYPERLINK("http://www.twitter.com/NathanBLawrence/status/1000537965372862464", "1000537965372862464")</f>
        <v/>
      </c>
      <c r="B889" s="2" t="n">
        <v>43247.03025462963</v>
      </c>
      <c r="C889" t="n">
        <v>0</v>
      </c>
      <c r="D889" t="n">
        <v>169</v>
      </c>
      <c r="E889" t="s">
        <v>900</v>
      </c>
      <c r="F889" t="s"/>
      <c r="G889" t="s"/>
      <c r="H889" t="s"/>
      <c r="I889" t="s"/>
      <c r="J889" t="n">
        <v>-0.5106000000000001</v>
      </c>
      <c r="K889" t="n">
        <v>0.17</v>
      </c>
      <c r="L889" t="n">
        <v>0.751</v>
      </c>
      <c r="M889" t="n">
        <v>0.079</v>
      </c>
    </row>
    <row r="890" spans="1:13">
      <c r="A890" s="1">
        <f>HYPERLINK("http://www.twitter.com/NathanBLawrence/status/1000515167396990976", "1000515167396990976")</f>
        <v/>
      </c>
      <c r="B890" s="2" t="n">
        <v>43246.96734953704</v>
      </c>
      <c r="C890" t="n">
        <v>0</v>
      </c>
      <c r="D890" t="n">
        <v>54</v>
      </c>
      <c r="E890" t="s">
        <v>901</v>
      </c>
      <c r="F890">
        <f>HYPERLINK("http://pbs.twimg.com/media/Dd7dizEVAAA6-Uw.jpg", "http://pbs.twimg.com/media/Dd7dizEVAAA6-Uw.jpg")</f>
        <v/>
      </c>
      <c r="G890">
        <f>HYPERLINK("http://pbs.twimg.com/media/Dd7divUVQAAw0G1.jpg", "http://pbs.twimg.com/media/Dd7divUVQAAw0G1.jpg")</f>
        <v/>
      </c>
      <c r="H890">
        <f>HYPERLINK("http://pbs.twimg.com/media/Dd7di2SU0AAl-aw.jpg", "http://pbs.twimg.com/media/Dd7di2SU0AAl-aw.jpg")</f>
        <v/>
      </c>
      <c r="I890">
        <f>HYPERLINK("http://pbs.twimg.com/media/Dd7dirkVwAAIlAp.jpg", "http://pbs.twimg.com/media/Dd7dirkVwAAIlAp.jpg")</f>
        <v/>
      </c>
      <c r="J890" t="n">
        <v>0.4588</v>
      </c>
      <c r="K890" t="n">
        <v>0</v>
      </c>
      <c r="L890" t="n">
        <v>0.875</v>
      </c>
      <c r="M890" t="n">
        <v>0.125</v>
      </c>
    </row>
    <row r="891" spans="1:13">
      <c r="A891" s="1">
        <f>HYPERLINK("http://www.twitter.com/NathanBLawrence/status/1000515141002301440", "1000515141002301440")</f>
        <v/>
      </c>
      <c r="B891" s="2" t="n">
        <v>43246.96726851852</v>
      </c>
      <c r="C891" t="n">
        <v>0</v>
      </c>
      <c r="D891" t="n">
        <v>52</v>
      </c>
      <c r="E891" t="s">
        <v>902</v>
      </c>
      <c r="F891">
        <f>HYPERLINK("http://pbs.twimg.com/media/Dd7a2DbUQAAZXpI.jpg", "http://pbs.twimg.com/media/Dd7a2DbUQAAZXpI.jpg")</f>
        <v/>
      </c>
      <c r="G891" t="s"/>
      <c r="H891" t="s"/>
      <c r="I891" t="s"/>
      <c r="J891" t="n">
        <v>0.5983000000000001</v>
      </c>
      <c r="K891" t="n">
        <v>0.08400000000000001</v>
      </c>
      <c r="L891" t="n">
        <v>0.647</v>
      </c>
      <c r="M891" t="n">
        <v>0.27</v>
      </c>
    </row>
    <row r="892" spans="1:13">
      <c r="A892" s="1">
        <f>HYPERLINK("http://www.twitter.com/NathanBLawrence/status/1000515090817470464", "1000515090817470464")</f>
        <v/>
      </c>
      <c r="B892" s="2" t="n">
        <v>43246.96712962963</v>
      </c>
      <c r="C892" t="n">
        <v>0</v>
      </c>
      <c r="D892" t="n">
        <v>52</v>
      </c>
      <c r="E892" t="s">
        <v>903</v>
      </c>
      <c r="F892">
        <f>HYPERLINK("http://pbs.twimg.com/media/Dd7ZzNoVwAAYKb2.jpg", "http://pbs.twimg.com/media/Dd7ZzNoVwAAYKb2.jpg")</f>
        <v/>
      </c>
      <c r="G892" t="s"/>
      <c r="H892" t="s"/>
      <c r="I892" t="s"/>
      <c r="J892" t="n">
        <v>0.6269</v>
      </c>
      <c r="K892" t="n">
        <v>0</v>
      </c>
      <c r="L892" t="n">
        <v>0.829</v>
      </c>
      <c r="M892" t="n">
        <v>0.171</v>
      </c>
    </row>
    <row r="893" spans="1:13">
      <c r="A893" s="1">
        <f>HYPERLINK("http://www.twitter.com/NathanBLawrence/status/1000515070668034049", "1000515070668034049")</f>
        <v/>
      </c>
      <c r="B893" s="2" t="n">
        <v>43246.96708333334</v>
      </c>
      <c r="C893" t="n">
        <v>0</v>
      </c>
      <c r="D893" t="n">
        <v>51</v>
      </c>
      <c r="E893" t="s">
        <v>904</v>
      </c>
      <c r="F893" t="s"/>
      <c r="G893" t="s"/>
      <c r="H893" t="s"/>
      <c r="I893" t="s"/>
      <c r="J893" t="n">
        <v>0.128</v>
      </c>
      <c r="K893" t="n">
        <v>0.104</v>
      </c>
      <c r="L893" t="n">
        <v>0.769</v>
      </c>
      <c r="M893" t="n">
        <v>0.127</v>
      </c>
    </row>
    <row r="894" spans="1:13">
      <c r="A894" s="1">
        <f>HYPERLINK("http://www.twitter.com/NathanBLawrence/status/1000515011687735298", "1000515011687735298")</f>
        <v/>
      </c>
      <c r="B894" s="2" t="n">
        <v>43246.9669212963</v>
      </c>
      <c r="C894" t="n">
        <v>0</v>
      </c>
      <c r="D894" t="n">
        <v>62</v>
      </c>
      <c r="E894" t="s">
        <v>905</v>
      </c>
      <c r="F894" t="s"/>
      <c r="G894" t="s"/>
      <c r="H894" t="s"/>
      <c r="I894" t="s"/>
      <c r="J894" t="n">
        <v>-0.5228</v>
      </c>
      <c r="K894" t="n">
        <v>0.128</v>
      </c>
      <c r="L894" t="n">
        <v>0.872</v>
      </c>
      <c r="M894" t="n">
        <v>0</v>
      </c>
    </row>
    <row r="895" spans="1:13">
      <c r="A895" s="1">
        <f>HYPERLINK("http://www.twitter.com/NathanBLawrence/status/1000514991148150786", "1000514991148150786")</f>
        <v/>
      </c>
      <c r="B895" s="2" t="n">
        <v>43246.96686342593</v>
      </c>
      <c r="C895" t="n">
        <v>0</v>
      </c>
      <c r="D895" t="n">
        <v>60</v>
      </c>
      <c r="E895" t="s">
        <v>906</v>
      </c>
      <c r="F895">
        <f>HYPERLINK("http://pbs.twimg.com/media/Dd7X0m-UQAAMOvi.jpg", "http://pbs.twimg.com/media/Dd7X0m-UQAAMOvi.jpg")</f>
        <v/>
      </c>
      <c r="G895" t="s"/>
      <c r="H895" t="s"/>
      <c r="I895" t="s"/>
      <c r="J895" t="n">
        <v>0</v>
      </c>
      <c r="K895" t="n">
        <v>0</v>
      </c>
      <c r="L895" t="n">
        <v>1</v>
      </c>
      <c r="M895" t="n">
        <v>0</v>
      </c>
    </row>
    <row r="896" spans="1:13">
      <c r="A896" s="1">
        <f>HYPERLINK("http://www.twitter.com/NathanBLawrence/status/1000514975620837376", "1000514975620837376")</f>
        <v/>
      </c>
      <c r="B896" s="2" t="n">
        <v>43246.96681712963</v>
      </c>
      <c r="C896" t="n">
        <v>0</v>
      </c>
      <c r="D896" t="n">
        <v>55</v>
      </c>
      <c r="E896" t="s">
        <v>907</v>
      </c>
      <c r="F896">
        <f>HYPERLINK("http://pbs.twimg.com/media/Dd7UKeQV0AAlzsr.jpg", "http://pbs.twimg.com/media/Dd7UKeQV0AAlzsr.jpg")</f>
        <v/>
      </c>
      <c r="G896" t="s"/>
      <c r="H896" t="s"/>
      <c r="I896" t="s"/>
      <c r="J896" t="n">
        <v>0</v>
      </c>
      <c r="K896" t="n">
        <v>0</v>
      </c>
      <c r="L896" t="n">
        <v>1</v>
      </c>
      <c r="M896" t="n">
        <v>0</v>
      </c>
    </row>
    <row r="897" spans="1:13">
      <c r="A897" s="1">
        <f>HYPERLINK("http://www.twitter.com/NathanBLawrence/status/1000514946483007488", "1000514946483007488")</f>
        <v/>
      </c>
      <c r="B897" s="2" t="n">
        <v>43246.96673611111</v>
      </c>
      <c r="C897" t="n">
        <v>0</v>
      </c>
      <c r="D897" t="n">
        <v>49</v>
      </c>
      <c r="E897" t="s">
        <v>908</v>
      </c>
      <c r="F897" t="s"/>
      <c r="G897" t="s"/>
      <c r="H897" t="s"/>
      <c r="I897" t="s"/>
      <c r="J897" t="n">
        <v>0</v>
      </c>
      <c r="K897" t="n">
        <v>0</v>
      </c>
      <c r="L897" t="n">
        <v>1</v>
      </c>
      <c r="M897" t="n">
        <v>0</v>
      </c>
    </row>
    <row r="898" spans="1:13">
      <c r="A898" s="1">
        <f>HYPERLINK("http://www.twitter.com/NathanBLawrence/status/1000514932293668865", "1000514932293668865")</f>
        <v/>
      </c>
      <c r="B898" s="2" t="n">
        <v>43246.96670138889</v>
      </c>
      <c r="C898" t="n">
        <v>0</v>
      </c>
      <c r="D898" t="n">
        <v>59</v>
      </c>
      <c r="E898" t="s">
        <v>909</v>
      </c>
      <c r="F898" t="s"/>
      <c r="G898" t="s"/>
      <c r="H898" t="s"/>
      <c r="I898" t="s"/>
      <c r="J898" t="n">
        <v>0</v>
      </c>
      <c r="K898" t="n">
        <v>0</v>
      </c>
      <c r="L898" t="n">
        <v>1</v>
      </c>
      <c r="M898" t="n">
        <v>0</v>
      </c>
    </row>
    <row r="899" spans="1:13">
      <c r="A899" s="1">
        <f>HYPERLINK("http://www.twitter.com/NathanBLawrence/status/1000514914316931072", "1000514914316931072")</f>
        <v/>
      </c>
      <c r="B899" s="2" t="n">
        <v>43246.96664351852</v>
      </c>
      <c r="C899" t="n">
        <v>0</v>
      </c>
      <c r="D899" t="n">
        <v>69</v>
      </c>
      <c r="E899" t="s">
        <v>910</v>
      </c>
      <c r="F899">
        <f>HYPERLINK("http://pbs.twimg.com/media/Dd7Q6xmVAAAxfpA.jpg", "http://pbs.twimg.com/media/Dd7Q6xmVAAAxfpA.jpg")</f>
        <v/>
      </c>
      <c r="G899" t="s"/>
      <c r="H899" t="s"/>
      <c r="I899" t="s"/>
      <c r="J899" t="n">
        <v>0</v>
      </c>
      <c r="K899" t="n">
        <v>0</v>
      </c>
      <c r="L899" t="n">
        <v>1</v>
      </c>
      <c r="M899" t="n">
        <v>0</v>
      </c>
    </row>
    <row r="900" spans="1:13">
      <c r="A900" s="1">
        <f>HYPERLINK("http://www.twitter.com/NathanBLawrence/status/1000514867189645312", "1000514867189645312")</f>
        <v/>
      </c>
      <c r="B900" s="2" t="n">
        <v>43246.96651620371</v>
      </c>
      <c r="C900" t="n">
        <v>0</v>
      </c>
      <c r="D900" t="n">
        <v>94</v>
      </c>
      <c r="E900" t="s">
        <v>911</v>
      </c>
      <c r="F900">
        <f>HYPERLINK("http://pbs.twimg.com/media/Dd7QPMUVMAAhVHD.jpg", "http://pbs.twimg.com/media/Dd7QPMUVMAAhVHD.jpg")</f>
        <v/>
      </c>
      <c r="G900" t="s"/>
      <c r="H900" t="s"/>
      <c r="I900" t="s"/>
      <c r="J900" t="n">
        <v>0</v>
      </c>
      <c r="K900" t="n">
        <v>0</v>
      </c>
      <c r="L900" t="n">
        <v>1</v>
      </c>
      <c r="M900" t="n">
        <v>0</v>
      </c>
    </row>
    <row r="901" spans="1:13">
      <c r="A901" s="1">
        <f>HYPERLINK("http://www.twitter.com/NathanBLawrence/status/1000514827616489473", "1000514827616489473")</f>
        <v/>
      </c>
      <c r="B901" s="2" t="n">
        <v>43246.96641203704</v>
      </c>
      <c r="C901" t="n">
        <v>0</v>
      </c>
      <c r="D901" t="n">
        <v>86</v>
      </c>
      <c r="E901" t="s">
        <v>912</v>
      </c>
      <c r="F901" t="s"/>
      <c r="G901" t="s"/>
      <c r="H901" t="s"/>
      <c r="I901" t="s"/>
      <c r="J901" t="n">
        <v>0</v>
      </c>
      <c r="K901" t="n">
        <v>0</v>
      </c>
      <c r="L901" t="n">
        <v>1</v>
      </c>
      <c r="M901" t="n">
        <v>0</v>
      </c>
    </row>
    <row r="902" spans="1:13">
      <c r="A902" s="1">
        <f>HYPERLINK("http://www.twitter.com/NathanBLawrence/status/1000514769114288128", "1000514769114288128")</f>
        <v/>
      </c>
      <c r="B902" s="2" t="n">
        <v>43246.96625</v>
      </c>
      <c r="C902" t="n">
        <v>0</v>
      </c>
      <c r="D902" t="n">
        <v>81</v>
      </c>
      <c r="E902" t="s">
        <v>913</v>
      </c>
      <c r="F902" t="s"/>
      <c r="G902" t="s"/>
      <c r="H902" t="s"/>
      <c r="I902" t="s"/>
      <c r="J902" t="n">
        <v>0.5574</v>
      </c>
      <c r="K902" t="n">
        <v>0</v>
      </c>
      <c r="L902" t="n">
        <v>0.8129999999999999</v>
      </c>
      <c r="M902" t="n">
        <v>0.187</v>
      </c>
    </row>
    <row r="903" spans="1:13">
      <c r="A903" s="1">
        <f>HYPERLINK("http://www.twitter.com/NathanBLawrence/status/1000514723492913153", "1000514723492913153")</f>
        <v/>
      </c>
      <c r="B903" s="2" t="n">
        <v>43246.96612268518</v>
      </c>
      <c r="C903" t="n">
        <v>0</v>
      </c>
      <c r="D903" t="n">
        <v>81</v>
      </c>
      <c r="E903" t="s">
        <v>914</v>
      </c>
      <c r="F903" t="s"/>
      <c r="G903" t="s"/>
      <c r="H903" t="s"/>
      <c r="I903" t="s"/>
      <c r="J903" t="n">
        <v>-0.3612</v>
      </c>
      <c r="K903" t="n">
        <v>0.122</v>
      </c>
      <c r="L903" t="n">
        <v>0.878</v>
      </c>
      <c r="M903" t="n">
        <v>0</v>
      </c>
    </row>
    <row r="904" spans="1:13">
      <c r="A904" s="1">
        <f>HYPERLINK("http://www.twitter.com/NathanBLawrence/status/1000514696867442690", "1000514696867442690")</f>
        <v/>
      </c>
      <c r="B904" s="2" t="n">
        <v>43246.96605324074</v>
      </c>
      <c r="C904" t="n">
        <v>0</v>
      </c>
      <c r="D904" t="n">
        <v>88</v>
      </c>
      <c r="E904" t="s">
        <v>915</v>
      </c>
      <c r="F904" t="s"/>
      <c r="G904" t="s"/>
      <c r="H904" t="s"/>
      <c r="I904" t="s"/>
      <c r="J904" t="n">
        <v>0.872</v>
      </c>
      <c r="K904" t="n">
        <v>0</v>
      </c>
      <c r="L904" t="n">
        <v>0.595</v>
      </c>
      <c r="M904" t="n">
        <v>0.405</v>
      </c>
    </row>
    <row r="905" spans="1:13">
      <c r="A905" s="1">
        <f>HYPERLINK("http://www.twitter.com/NathanBLawrence/status/1000514664495755265", "1000514664495755265")</f>
        <v/>
      </c>
      <c r="B905" s="2" t="n">
        <v>43246.96596064815</v>
      </c>
      <c r="C905" t="n">
        <v>0</v>
      </c>
      <c r="D905" t="n">
        <v>91</v>
      </c>
      <c r="E905" t="s">
        <v>916</v>
      </c>
      <c r="F905" t="s"/>
      <c r="G905" t="s"/>
      <c r="H905" t="s"/>
      <c r="I905" t="s"/>
      <c r="J905" t="n">
        <v>0</v>
      </c>
      <c r="K905" t="n">
        <v>0</v>
      </c>
      <c r="L905" t="n">
        <v>1</v>
      </c>
      <c r="M905" t="n">
        <v>0</v>
      </c>
    </row>
    <row r="906" spans="1:13">
      <c r="A906" s="1">
        <f>HYPERLINK("http://www.twitter.com/NathanBLawrence/status/1000514637962596353", "1000514637962596353")</f>
        <v/>
      </c>
      <c r="B906" s="2" t="n">
        <v>43246.9658912037</v>
      </c>
      <c r="C906" t="n">
        <v>0</v>
      </c>
      <c r="D906" t="n">
        <v>74</v>
      </c>
      <c r="E906" t="s">
        <v>917</v>
      </c>
      <c r="F906" t="s"/>
      <c r="G906" t="s"/>
      <c r="H906" t="s"/>
      <c r="I906" t="s"/>
      <c r="J906" t="n">
        <v>0.6258</v>
      </c>
      <c r="K906" t="n">
        <v>0.047</v>
      </c>
      <c r="L906" t="n">
        <v>0.745</v>
      </c>
      <c r="M906" t="n">
        <v>0.208</v>
      </c>
    </row>
    <row r="907" spans="1:13">
      <c r="A907" s="1">
        <f>HYPERLINK("http://www.twitter.com/NathanBLawrence/status/1000514585722580992", "1000514585722580992")</f>
        <v/>
      </c>
      <c r="B907" s="2" t="n">
        <v>43246.96574074074</v>
      </c>
      <c r="C907" t="n">
        <v>0</v>
      </c>
      <c r="D907" t="n">
        <v>76</v>
      </c>
      <c r="E907" t="s">
        <v>918</v>
      </c>
      <c r="F907" t="s"/>
      <c r="G907" t="s"/>
      <c r="H907" t="s"/>
      <c r="I907" t="s"/>
      <c r="J907" t="n">
        <v>0</v>
      </c>
      <c r="K907" t="n">
        <v>0</v>
      </c>
      <c r="L907" t="n">
        <v>1</v>
      </c>
      <c r="M907" t="n">
        <v>0</v>
      </c>
    </row>
    <row r="908" spans="1:13">
      <c r="A908" s="1">
        <f>HYPERLINK("http://www.twitter.com/NathanBLawrence/status/1000514548967837698", "1000514548967837698")</f>
        <v/>
      </c>
      <c r="B908" s="2" t="n">
        <v>43246.96563657407</v>
      </c>
      <c r="C908" t="n">
        <v>0</v>
      </c>
      <c r="D908" t="n">
        <v>51</v>
      </c>
      <c r="E908" t="s">
        <v>919</v>
      </c>
      <c r="F908" t="s"/>
      <c r="G908" t="s"/>
      <c r="H908" t="s"/>
      <c r="I908" t="s"/>
      <c r="J908" t="n">
        <v>0</v>
      </c>
      <c r="K908" t="n">
        <v>0</v>
      </c>
      <c r="L908" t="n">
        <v>1</v>
      </c>
      <c r="M908" t="n">
        <v>0</v>
      </c>
    </row>
    <row r="909" spans="1:13">
      <c r="A909" s="1">
        <f>HYPERLINK("http://www.twitter.com/NathanBLawrence/status/1000514439202918400", "1000514439202918400")</f>
        <v/>
      </c>
      <c r="B909" s="2" t="n">
        <v>43246.96533564815</v>
      </c>
      <c r="C909" t="n">
        <v>0</v>
      </c>
      <c r="D909" t="n">
        <v>74</v>
      </c>
      <c r="E909" t="s">
        <v>920</v>
      </c>
      <c r="F909" t="s"/>
      <c r="G909" t="s"/>
      <c r="H909" t="s"/>
      <c r="I909" t="s"/>
      <c r="J909" t="n">
        <v>-0.296</v>
      </c>
      <c r="K909" t="n">
        <v>0.091</v>
      </c>
      <c r="L909" t="n">
        <v>0.909</v>
      </c>
      <c r="M909" t="n">
        <v>0</v>
      </c>
    </row>
    <row r="910" spans="1:13">
      <c r="A910" s="1">
        <f>HYPERLINK("http://www.twitter.com/NathanBLawrence/status/1000514362065543175", "1000514362065543175")</f>
        <v/>
      </c>
      <c r="B910" s="2" t="n">
        <v>43246.96512731481</v>
      </c>
      <c r="C910" t="n">
        <v>0</v>
      </c>
      <c r="D910" t="n">
        <v>63</v>
      </c>
      <c r="E910" t="s">
        <v>921</v>
      </c>
      <c r="F910" t="s"/>
      <c r="G910" t="s"/>
      <c r="H910" t="s"/>
      <c r="I910" t="s"/>
      <c r="J910" t="n">
        <v>0.7579</v>
      </c>
      <c r="K910" t="n">
        <v>0</v>
      </c>
      <c r="L910" t="n">
        <v>0.78</v>
      </c>
      <c r="M910" t="n">
        <v>0.22</v>
      </c>
    </row>
    <row r="911" spans="1:13">
      <c r="A911" s="1">
        <f>HYPERLINK("http://www.twitter.com/NathanBLawrence/status/1000514342171959296", "1000514342171959296")</f>
        <v/>
      </c>
      <c r="B911" s="2" t="n">
        <v>43246.96506944444</v>
      </c>
      <c r="C911" t="n">
        <v>0</v>
      </c>
      <c r="D911" t="n">
        <v>90</v>
      </c>
      <c r="E911" t="s">
        <v>922</v>
      </c>
      <c r="F911" t="s"/>
      <c r="G911" t="s"/>
      <c r="H911" t="s"/>
      <c r="I911" t="s"/>
      <c r="J911" t="n">
        <v>0.1779</v>
      </c>
      <c r="K911" t="n">
        <v>0.08400000000000001</v>
      </c>
      <c r="L911" t="n">
        <v>0.8</v>
      </c>
      <c r="M911" t="n">
        <v>0.116</v>
      </c>
    </row>
    <row r="912" spans="1:13">
      <c r="A912" s="1">
        <f>HYPERLINK("http://www.twitter.com/NathanBLawrence/status/1000514223494127617", "1000514223494127617")</f>
        <v/>
      </c>
      <c r="B912" s="2" t="n">
        <v>43246.96474537037</v>
      </c>
      <c r="C912" t="n">
        <v>0</v>
      </c>
      <c r="D912" t="n">
        <v>24</v>
      </c>
      <c r="E912" t="s">
        <v>923</v>
      </c>
      <c r="F912">
        <f>HYPERLINK("http://pbs.twimg.com/media/DeKICTWU8AAcUtF.jpg", "http://pbs.twimg.com/media/DeKICTWU8AAcUtF.jpg")</f>
        <v/>
      </c>
      <c r="G912" t="s"/>
      <c r="H912" t="s"/>
      <c r="I912" t="s"/>
      <c r="J912" t="n">
        <v>0</v>
      </c>
      <c r="K912" t="n">
        <v>0</v>
      </c>
      <c r="L912" t="n">
        <v>1</v>
      </c>
      <c r="M912" t="n">
        <v>0</v>
      </c>
    </row>
    <row r="913" spans="1:13">
      <c r="A913" s="1">
        <f>HYPERLINK("http://www.twitter.com/NathanBLawrence/status/1000514078308257792", "1000514078308257792")</f>
        <v/>
      </c>
      <c r="B913" s="2" t="n">
        <v>43246.96434027778</v>
      </c>
      <c r="C913" t="n">
        <v>0</v>
      </c>
      <c r="D913" t="n">
        <v>1583</v>
      </c>
      <c r="E913" t="s">
        <v>924</v>
      </c>
      <c r="F913" t="s"/>
      <c r="G913" t="s"/>
      <c r="H913" t="s"/>
      <c r="I913" t="s"/>
      <c r="J913" t="n">
        <v>0</v>
      </c>
      <c r="K913" t="n">
        <v>0</v>
      </c>
      <c r="L913" t="n">
        <v>1</v>
      </c>
      <c r="M913" t="n">
        <v>0</v>
      </c>
    </row>
    <row r="914" spans="1:13">
      <c r="A914" s="1">
        <f>HYPERLINK("http://www.twitter.com/NathanBLawrence/status/1000514054581080065", "1000514054581080065")</f>
        <v/>
      </c>
      <c r="B914" s="2" t="n">
        <v>43246.96427083333</v>
      </c>
      <c r="C914" t="n">
        <v>0</v>
      </c>
      <c r="D914" t="n">
        <v>39</v>
      </c>
      <c r="E914" t="s">
        <v>925</v>
      </c>
      <c r="F914" t="s"/>
      <c r="G914" t="s"/>
      <c r="H914" t="s"/>
      <c r="I914" t="s"/>
      <c r="J914" t="n">
        <v>-0.5209</v>
      </c>
      <c r="K914" t="n">
        <v>0.138</v>
      </c>
      <c r="L914" t="n">
        <v>0.862</v>
      </c>
      <c r="M914" t="n">
        <v>0</v>
      </c>
    </row>
    <row r="915" spans="1:13">
      <c r="A915" s="1">
        <f>HYPERLINK("http://www.twitter.com/NathanBLawrence/status/1000513894790594560", "1000513894790594560")</f>
        <v/>
      </c>
      <c r="B915" s="2" t="n">
        <v>43246.96383101852</v>
      </c>
      <c r="C915" t="n">
        <v>0</v>
      </c>
      <c r="D915" t="n">
        <v>53</v>
      </c>
      <c r="E915" t="s">
        <v>926</v>
      </c>
      <c r="F915" t="s"/>
      <c r="G915" t="s"/>
      <c r="H915" t="s"/>
      <c r="I915" t="s"/>
      <c r="J915" t="n">
        <v>0.6908</v>
      </c>
      <c r="K915" t="n">
        <v>0</v>
      </c>
      <c r="L915" t="n">
        <v>0.801</v>
      </c>
      <c r="M915" t="n">
        <v>0.199</v>
      </c>
    </row>
    <row r="916" spans="1:13">
      <c r="A916" s="1">
        <f>HYPERLINK("http://www.twitter.com/NathanBLawrence/status/1000513844148625411", "1000513844148625411")</f>
        <v/>
      </c>
      <c r="B916" s="2" t="n">
        <v>43246.96369212963</v>
      </c>
      <c r="C916" t="n">
        <v>0</v>
      </c>
      <c r="D916" t="n">
        <v>52</v>
      </c>
      <c r="E916" t="s">
        <v>927</v>
      </c>
      <c r="F916">
        <f>HYPERLINK("https://video.twimg.com/ext_tw_video/1000446161088638977/pu/vid/320x180/Sr9mzechdjejXcMZ.mp4?tag=3", "https://video.twimg.com/ext_tw_video/1000446161088638977/pu/vid/320x180/Sr9mzechdjejXcMZ.mp4?tag=3")</f>
        <v/>
      </c>
      <c r="G916" t="s"/>
      <c r="H916" t="s"/>
      <c r="I916" t="s"/>
      <c r="J916" t="n">
        <v>0.4019</v>
      </c>
      <c r="K916" t="n">
        <v>0.091</v>
      </c>
      <c r="L916" t="n">
        <v>0.711</v>
      </c>
      <c r="M916" t="n">
        <v>0.198</v>
      </c>
    </row>
    <row r="917" spans="1:13">
      <c r="A917" s="1">
        <f>HYPERLINK("http://www.twitter.com/NathanBLawrence/status/1000513634324410370", "1000513634324410370")</f>
        <v/>
      </c>
      <c r="B917" s="2" t="n">
        <v>43246.96311342593</v>
      </c>
      <c r="C917" t="n">
        <v>0</v>
      </c>
      <c r="D917" t="n">
        <v>578</v>
      </c>
      <c r="E917" t="s">
        <v>928</v>
      </c>
      <c r="F917" t="s"/>
      <c r="G917" t="s"/>
      <c r="H917" t="s"/>
      <c r="I917" t="s"/>
      <c r="J917" t="n">
        <v>-0.0516</v>
      </c>
      <c r="K917" t="n">
        <v>0.144</v>
      </c>
      <c r="L917" t="n">
        <v>0.721</v>
      </c>
      <c r="M917" t="n">
        <v>0.135</v>
      </c>
    </row>
    <row r="918" spans="1:13">
      <c r="A918" s="1">
        <f>HYPERLINK("http://www.twitter.com/NathanBLawrence/status/1000513241502580737", "1000513241502580737")</f>
        <v/>
      </c>
      <c r="B918" s="2" t="n">
        <v>43246.96203703704</v>
      </c>
      <c r="C918" t="n">
        <v>0</v>
      </c>
      <c r="D918" t="n">
        <v>0</v>
      </c>
      <c r="E918" t="s">
        <v>929</v>
      </c>
      <c r="F918" t="s"/>
      <c r="G918" t="s"/>
      <c r="H918" t="s"/>
      <c r="I918" t="s"/>
      <c r="J918" t="n">
        <v>0</v>
      </c>
      <c r="K918" t="n">
        <v>0</v>
      </c>
      <c r="L918" t="n">
        <v>1</v>
      </c>
      <c r="M918" t="n">
        <v>0</v>
      </c>
    </row>
    <row r="919" spans="1:13">
      <c r="A919" s="1">
        <f>HYPERLINK("http://www.twitter.com/NathanBLawrence/status/1000513102797000710", "1000513102797000710")</f>
        <v/>
      </c>
      <c r="B919" s="2" t="n">
        <v>43246.96164351852</v>
      </c>
      <c r="C919" t="n">
        <v>0</v>
      </c>
      <c r="D919" t="n">
        <v>0</v>
      </c>
      <c r="E919" t="s">
        <v>930</v>
      </c>
      <c r="F919" t="s"/>
      <c r="G919" t="s"/>
      <c r="H919" t="s"/>
      <c r="I919" t="s"/>
      <c r="J919" t="n">
        <v>0.1779</v>
      </c>
      <c r="K919" t="n">
        <v>0.137</v>
      </c>
      <c r="L919" t="n">
        <v>0.621</v>
      </c>
      <c r="M919" t="n">
        <v>0.242</v>
      </c>
    </row>
    <row r="920" spans="1:13">
      <c r="A920" s="1">
        <f>HYPERLINK("http://www.twitter.com/NathanBLawrence/status/1000512932684460032", "1000512932684460032")</f>
        <v/>
      </c>
      <c r="B920" s="2" t="n">
        <v>43246.96118055555</v>
      </c>
      <c r="C920" t="n">
        <v>0</v>
      </c>
      <c r="D920" t="n">
        <v>0</v>
      </c>
      <c r="E920" t="s">
        <v>931</v>
      </c>
      <c r="F920" t="s"/>
      <c r="G920" t="s"/>
      <c r="H920" t="s"/>
      <c r="I920" t="s"/>
      <c r="J920" t="n">
        <v>-0.3382</v>
      </c>
      <c r="K920" t="n">
        <v>0.112</v>
      </c>
      <c r="L920" t="n">
        <v>0.888</v>
      </c>
      <c r="M920" t="n">
        <v>0</v>
      </c>
    </row>
    <row r="921" spans="1:13">
      <c r="A921" s="1">
        <f>HYPERLINK("http://www.twitter.com/NathanBLawrence/status/1000512373680111616", "1000512373680111616")</f>
        <v/>
      </c>
      <c r="B921" s="2" t="n">
        <v>43246.95964120371</v>
      </c>
      <c r="C921" t="n">
        <v>0</v>
      </c>
      <c r="D921" t="n">
        <v>0</v>
      </c>
      <c r="E921" t="s">
        <v>932</v>
      </c>
      <c r="F921" t="s"/>
      <c r="G921" t="s"/>
      <c r="H921" t="s"/>
      <c r="I921" t="s"/>
      <c r="J921" t="n">
        <v>0.4926</v>
      </c>
      <c r="K921" t="n">
        <v>0</v>
      </c>
      <c r="L921" t="n">
        <v>0.8139999999999999</v>
      </c>
      <c r="M921" t="n">
        <v>0.186</v>
      </c>
    </row>
    <row r="922" spans="1:13">
      <c r="A922" s="1">
        <f>HYPERLINK("http://www.twitter.com/NathanBLawrence/status/1000512086521319425", "1000512086521319425")</f>
        <v/>
      </c>
      <c r="B922" s="2" t="n">
        <v>43246.95884259259</v>
      </c>
      <c r="C922" t="n">
        <v>1</v>
      </c>
      <c r="D922" t="n">
        <v>0</v>
      </c>
      <c r="E922" t="s">
        <v>933</v>
      </c>
      <c r="F922" t="s"/>
      <c r="G922" t="s"/>
      <c r="H922" t="s"/>
      <c r="I922" t="s"/>
      <c r="J922" t="n">
        <v>-0.6705</v>
      </c>
      <c r="K922" t="n">
        <v>0.297</v>
      </c>
      <c r="L922" t="n">
        <v>0.703</v>
      </c>
      <c r="M922" t="n">
        <v>0</v>
      </c>
    </row>
    <row r="923" spans="1:13">
      <c r="A923" s="1">
        <f>HYPERLINK("http://www.twitter.com/NathanBLawrence/status/1000510128842567680", "1000510128842567680")</f>
        <v/>
      </c>
      <c r="B923" s="2" t="n">
        <v>43246.9534375</v>
      </c>
      <c r="C923" t="n">
        <v>0</v>
      </c>
      <c r="D923" t="n">
        <v>0</v>
      </c>
      <c r="E923" t="s">
        <v>934</v>
      </c>
      <c r="F923" t="s"/>
      <c r="G923" t="s"/>
      <c r="H923" t="s"/>
      <c r="I923" t="s"/>
      <c r="J923" t="n">
        <v>-0.0258</v>
      </c>
      <c r="K923" t="n">
        <v>0.075</v>
      </c>
      <c r="L923" t="n">
        <v>0.853</v>
      </c>
      <c r="M923" t="n">
        <v>0.07199999999999999</v>
      </c>
    </row>
    <row r="924" spans="1:13">
      <c r="A924" s="1">
        <f>HYPERLINK("http://www.twitter.com/NathanBLawrence/status/1000509681540923393", "1000509681540923393")</f>
        <v/>
      </c>
      <c r="B924" s="2" t="n">
        <v>43246.95221064815</v>
      </c>
      <c r="C924" t="n">
        <v>0</v>
      </c>
      <c r="D924" t="n">
        <v>0</v>
      </c>
      <c r="E924" t="s">
        <v>935</v>
      </c>
      <c r="F924" t="s"/>
      <c r="G924" t="s"/>
      <c r="H924" t="s"/>
      <c r="I924" t="s"/>
      <c r="J924" t="n">
        <v>-0.4019</v>
      </c>
      <c r="K924" t="n">
        <v>0.153</v>
      </c>
      <c r="L924" t="n">
        <v>0.847</v>
      </c>
      <c r="M924" t="n">
        <v>0</v>
      </c>
    </row>
    <row r="925" spans="1:13">
      <c r="A925" s="1">
        <f>HYPERLINK("http://www.twitter.com/NathanBLawrence/status/1000506247412617217", "1000506247412617217")</f>
        <v/>
      </c>
      <c r="B925" s="2" t="n">
        <v>43246.94273148148</v>
      </c>
      <c r="C925" t="n">
        <v>0</v>
      </c>
      <c r="D925" t="n">
        <v>0</v>
      </c>
      <c r="E925" t="s">
        <v>936</v>
      </c>
      <c r="F925" t="s"/>
      <c r="G925" t="s"/>
      <c r="H925" t="s"/>
      <c r="I925" t="s"/>
      <c r="J925" t="n">
        <v>0</v>
      </c>
      <c r="K925" t="n">
        <v>0</v>
      </c>
      <c r="L925" t="n">
        <v>1</v>
      </c>
      <c r="M925" t="n">
        <v>0</v>
      </c>
    </row>
    <row r="926" spans="1:13">
      <c r="A926" s="1">
        <f>HYPERLINK("http://www.twitter.com/NathanBLawrence/status/1000490730639515649", "1000490730639515649")</f>
        <v/>
      </c>
      <c r="B926" s="2" t="n">
        <v>43246.89991898148</v>
      </c>
      <c r="C926" t="n">
        <v>0</v>
      </c>
      <c r="D926" t="n">
        <v>1</v>
      </c>
      <c r="E926" t="s">
        <v>937</v>
      </c>
      <c r="F926" t="s"/>
      <c r="G926" t="s"/>
      <c r="H926" t="s"/>
      <c r="I926" t="s"/>
      <c r="J926" t="n">
        <v>0.5661</v>
      </c>
      <c r="K926" t="n">
        <v>0</v>
      </c>
      <c r="L926" t="n">
        <v>0.8139999999999999</v>
      </c>
      <c r="M926" t="n">
        <v>0.186</v>
      </c>
    </row>
    <row r="927" spans="1:13">
      <c r="A927" s="1">
        <f>HYPERLINK("http://www.twitter.com/NathanBLawrence/status/1000490685441724416", "1000490685441724416")</f>
        <v/>
      </c>
      <c r="B927" s="2" t="n">
        <v>43246.89979166666</v>
      </c>
      <c r="C927" t="n">
        <v>0</v>
      </c>
      <c r="D927" t="n">
        <v>710</v>
      </c>
      <c r="E927" t="s">
        <v>938</v>
      </c>
      <c r="F927" t="s"/>
      <c r="G927" t="s"/>
      <c r="H927" t="s"/>
      <c r="I927" t="s"/>
      <c r="J927" t="n">
        <v>-0.0258</v>
      </c>
      <c r="K927" t="n">
        <v>0.12</v>
      </c>
      <c r="L927" t="n">
        <v>0.723</v>
      </c>
      <c r="M927" t="n">
        <v>0.157</v>
      </c>
    </row>
    <row r="928" spans="1:13">
      <c r="A928" s="1">
        <f>HYPERLINK("http://www.twitter.com/NathanBLawrence/status/1000490565883056128", "1000490565883056128")</f>
        <v/>
      </c>
      <c r="B928" s="2" t="n">
        <v>43246.89945601852</v>
      </c>
      <c r="C928" t="n">
        <v>0</v>
      </c>
      <c r="D928" t="n">
        <v>1</v>
      </c>
      <c r="E928" t="s">
        <v>939</v>
      </c>
      <c r="F928" t="s"/>
      <c r="G928" t="s"/>
      <c r="H928" t="s"/>
      <c r="I928" t="s"/>
      <c r="J928" t="n">
        <v>0</v>
      </c>
      <c r="K928" t="n">
        <v>0</v>
      </c>
      <c r="L928" t="n">
        <v>1</v>
      </c>
      <c r="M928" t="n">
        <v>0</v>
      </c>
    </row>
    <row r="929" spans="1:13">
      <c r="A929" s="1">
        <f>HYPERLINK("http://www.twitter.com/NathanBLawrence/status/1000483878015062018", "1000483878015062018")</f>
        <v/>
      </c>
      <c r="B929" s="2" t="n">
        <v>43246.88100694444</v>
      </c>
      <c r="C929" t="n">
        <v>0</v>
      </c>
      <c r="D929" t="n">
        <v>1131</v>
      </c>
      <c r="E929" t="s">
        <v>940</v>
      </c>
      <c r="F929" t="s"/>
      <c r="G929" t="s"/>
      <c r="H929" t="s"/>
      <c r="I929" t="s"/>
      <c r="J929" t="n">
        <v>0.6808</v>
      </c>
      <c r="K929" t="n">
        <v>0</v>
      </c>
      <c r="L929" t="n">
        <v>0.728</v>
      </c>
      <c r="M929" t="n">
        <v>0.272</v>
      </c>
    </row>
    <row r="930" spans="1:13">
      <c r="A930" s="1">
        <f>HYPERLINK("http://www.twitter.com/NathanBLawrence/status/1000475825400156160", "1000475825400156160")</f>
        <v/>
      </c>
      <c r="B930" s="2" t="n">
        <v>43246.85878472222</v>
      </c>
      <c r="C930" t="n">
        <v>0</v>
      </c>
      <c r="D930" t="n">
        <v>0</v>
      </c>
      <c r="E930" t="s">
        <v>941</v>
      </c>
      <c r="F930" t="s"/>
      <c r="G930" t="s"/>
      <c r="H930" t="s"/>
      <c r="I930" t="s"/>
      <c r="J930" t="n">
        <v>0.4912</v>
      </c>
      <c r="K930" t="n">
        <v>0.049</v>
      </c>
      <c r="L930" t="n">
        <v>0.803</v>
      </c>
      <c r="M930" t="n">
        <v>0.148</v>
      </c>
    </row>
    <row r="931" spans="1:13">
      <c r="A931" s="1">
        <f>HYPERLINK("http://www.twitter.com/NathanBLawrence/status/1000474987130753030", "1000474987130753030")</f>
        <v/>
      </c>
      <c r="B931" s="2" t="n">
        <v>43246.8564699074</v>
      </c>
      <c r="C931" t="n">
        <v>0</v>
      </c>
      <c r="D931" t="n">
        <v>151</v>
      </c>
      <c r="E931" t="s">
        <v>942</v>
      </c>
      <c r="F931" t="s"/>
      <c r="G931" t="s"/>
      <c r="H931" t="s"/>
      <c r="I931" t="s"/>
      <c r="J931" t="n">
        <v>0</v>
      </c>
      <c r="K931" t="n">
        <v>0</v>
      </c>
      <c r="L931" t="n">
        <v>1</v>
      </c>
      <c r="M931" t="n">
        <v>0</v>
      </c>
    </row>
    <row r="932" spans="1:13">
      <c r="A932" s="1">
        <f>HYPERLINK("http://www.twitter.com/NathanBLawrence/status/1000474955807588352", "1000474955807588352")</f>
        <v/>
      </c>
      <c r="B932" s="2" t="n">
        <v>43246.85638888889</v>
      </c>
      <c r="C932" t="n">
        <v>0</v>
      </c>
      <c r="D932" t="n">
        <v>39</v>
      </c>
      <c r="E932" t="s">
        <v>943</v>
      </c>
      <c r="F932" t="s"/>
      <c r="G932" t="s"/>
      <c r="H932" t="s"/>
      <c r="I932" t="s"/>
      <c r="J932" t="n">
        <v>-0.7184</v>
      </c>
      <c r="K932" t="n">
        <v>0.333</v>
      </c>
      <c r="L932" t="n">
        <v>0.667</v>
      </c>
      <c r="M932" t="n">
        <v>0</v>
      </c>
    </row>
    <row r="933" spans="1:13">
      <c r="A933" s="1">
        <f>HYPERLINK("http://www.twitter.com/NathanBLawrence/status/1000474805060227072", "1000474805060227072")</f>
        <v/>
      </c>
      <c r="B933" s="2" t="n">
        <v>43246.85597222222</v>
      </c>
      <c r="C933" t="n">
        <v>0</v>
      </c>
      <c r="D933" t="n">
        <v>262</v>
      </c>
      <c r="E933" t="s">
        <v>944</v>
      </c>
      <c r="F933" t="s"/>
      <c r="G933" t="s"/>
      <c r="H933" t="s"/>
      <c r="I933" t="s"/>
      <c r="J933" t="n">
        <v>-0.6908</v>
      </c>
      <c r="K933" t="n">
        <v>0.299</v>
      </c>
      <c r="L933" t="n">
        <v>0.701</v>
      </c>
      <c r="M933" t="n">
        <v>0</v>
      </c>
    </row>
    <row r="934" spans="1:13">
      <c r="A934" s="1">
        <f>HYPERLINK("http://www.twitter.com/NathanBLawrence/status/1000474716078067712", "1000474716078067712")</f>
        <v/>
      </c>
      <c r="B934" s="2" t="n">
        <v>43246.8557175926</v>
      </c>
      <c r="C934" t="n">
        <v>0</v>
      </c>
      <c r="D934" t="n">
        <v>131</v>
      </c>
      <c r="E934" t="s">
        <v>945</v>
      </c>
      <c r="F934" t="s"/>
      <c r="G934" t="s"/>
      <c r="H934" t="s"/>
      <c r="I934" t="s"/>
      <c r="J934" t="n">
        <v>0</v>
      </c>
      <c r="K934" t="n">
        <v>0</v>
      </c>
      <c r="L934" t="n">
        <v>1</v>
      </c>
      <c r="M934" t="n">
        <v>0</v>
      </c>
    </row>
    <row r="935" spans="1:13">
      <c r="A935" s="1">
        <f>HYPERLINK("http://www.twitter.com/NathanBLawrence/status/1000474635773898752", "1000474635773898752")</f>
        <v/>
      </c>
      <c r="B935" s="2" t="n">
        <v>43246.85549768519</v>
      </c>
      <c r="C935" t="n">
        <v>0</v>
      </c>
      <c r="D935" t="n">
        <v>1</v>
      </c>
      <c r="E935" t="s">
        <v>946</v>
      </c>
      <c r="F935" t="s"/>
      <c r="G935" t="s"/>
      <c r="H935" t="s"/>
      <c r="I935" t="s"/>
      <c r="J935" t="n">
        <v>-0.2003</v>
      </c>
      <c r="K935" t="n">
        <v>0.175</v>
      </c>
      <c r="L935" t="n">
        <v>0.706</v>
      </c>
      <c r="M935" t="n">
        <v>0.12</v>
      </c>
    </row>
    <row r="936" spans="1:13">
      <c r="A936" s="1">
        <f>HYPERLINK("http://www.twitter.com/NathanBLawrence/status/1000474024265310208", "1000474024265310208")</f>
        <v/>
      </c>
      <c r="B936" s="2" t="n">
        <v>43246.85380787037</v>
      </c>
      <c r="C936" t="n">
        <v>0</v>
      </c>
      <c r="D936" t="n">
        <v>1222</v>
      </c>
      <c r="E936" t="s">
        <v>947</v>
      </c>
      <c r="F936" t="s"/>
      <c r="G936" t="s"/>
      <c r="H936" t="s"/>
      <c r="I936" t="s"/>
      <c r="J936" t="n">
        <v>-0.5423</v>
      </c>
      <c r="K936" t="n">
        <v>0.31</v>
      </c>
      <c r="L936" t="n">
        <v>0.6899999999999999</v>
      </c>
      <c r="M936" t="n">
        <v>0</v>
      </c>
    </row>
    <row r="937" spans="1:13">
      <c r="A937" s="1">
        <f>HYPERLINK("http://www.twitter.com/NathanBLawrence/status/1000473936382087168", "1000473936382087168")</f>
        <v/>
      </c>
      <c r="B937" s="2" t="n">
        <v>43246.85356481482</v>
      </c>
      <c r="C937" t="n">
        <v>0</v>
      </c>
      <c r="D937" t="n">
        <v>505</v>
      </c>
      <c r="E937" t="s">
        <v>948</v>
      </c>
      <c r="F937" t="s"/>
      <c r="G937" t="s"/>
      <c r="H937" t="s"/>
      <c r="I937" t="s"/>
      <c r="J937" t="n">
        <v>-0.1027</v>
      </c>
      <c r="K937" t="n">
        <v>0.135</v>
      </c>
      <c r="L937" t="n">
        <v>0.865</v>
      </c>
      <c r="M937" t="n">
        <v>0</v>
      </c>
    </row>
    <row r="938" spans="1:13">
      <c r="A938" s="1">
        <f>HYPERLINK("http://www.twitter.com/NathanBLawrence/status/1000473913615319043", "1000473913615319043")</f>
        <v/>
      </c>
      <c r="B938" s="2" t="n">
        <v>43246.85350694445</v>
      </c>
      <c r="C938" t="n">
        <v>0</v>
      </c>
      <c r="D938" t="n">
        <v>233</v>
      </c>
      <c r="E938" t="s">
        <v>949</v>
      </c>
      <c r="F938" t="s"/>
      <c r="G938" t="s"/>
      <c r="H938" t="s"/>
      <c r="I938" t="s"/>
      <c r="J938" t="n">
        <v>0.1779</v>
      </c>
      <c r="K938" t="n">
        <v>0.08799999999999999</v>
      </c>
      <c r="L938" t="n">
        <v>0.795</v>
      </c>
      <c r="M938" t="n">
        <v>0.117</v>
      </c>
    </row>
    <row r="939" spans="1:13">
      <c r="A939" s="1">
        <f>HYPERLINK("http://www.twitter.com/NathanBLawrence/status/1000473731985281026", "1000473731985281026")</f>
        <v/>
      </c>
      <c r="B939" s="2" t="n">
        <v>43246.85300925926</v>
      </c>
      <c r="C939" t="n">
        <v>0</v>
      </c>
      <c r="D939" t="n">
        <v>1203</v>
      </c>
      <c r="E939" t="s">
        <v>950</v>
      </c>
      <c r="F939" t="s"/>
      <c r="G939" t="s"/>
      <c r="H939" t="s"/>
      <c r="I939" t="s"/>
      <c r="J939" t="n">
        <v>-0.1531</v>
      </c>
      <c r="K939" t="n">
        <v>0.186</v>
      </c>
      <c r="L939" t="n">
        <v>0.8139999999999999</v>
      </c>
      <c r="M939" t="n">
        <v>0</v>
      </c>
    </row>
    <row r="940" spans="1:13">
      <c r="A940" s="1">
        <f>HYPERLINK("http://www.twitter.com/NathanBLawrence/status/1000473449020747776", "1000473449020747776")</f>
        <v/>
      </c>
      <c r="B940" s="2" t="n">
        <v>43246.85222222222</v>
      </c>
      <c r="C940" t="n">
        <v>0</v>
      </c>
      <c r="D940" t="n">
        <v>242</v>
      </c>
      <c r="E940" t="s">
        <v>951</v>
      </c>
      <c r="F940" t="s"/>
      <c r="G940" t="s"/>
      <c r="H940" t="s"/>
      <c r="I940" t="s"/>
      <c r="J940" t="n">
        <v>0.3818</v>
      </c>
      <c r="K940" t="n">
        <v>0.142</v>
      </c>
      <c r="L940" t="n">
        <v>0.625</v>
      </c>
      <c r="M940" t="n">
        <v>0.233</v>
      </c>
    </row>
    <row r="941" spans="1:13">
      <c r="A941" s="1">
        <f>HYPERLINK("http://www.twitter.com/NathanBLawrence/status/1000473378451546113", "1000473378451546113")</f>
        <v/>
      </c>
      <c r="B941" s="2" t="n">
        <v>43246.85202546296</v>
      </c>
      <c r="C941" t="n">
        <v>1</v>
      </c>
      <c r="D941" t="n">
        <v>0</v>
      </c>
      <c r="E941" t="s">
        <v>952</v>
      </c>
      <c r="F941" t="s"/>
      <c r="G941" t="s"/>
      <c r="H941" t="s"/>
      <c r="I941" t="s"/>
      <c r="J941" t="n">
        <v>0.8904</v>
      </c>
      <c r="K941" t="n">
        <v>0</v>
      </c>
      <c r="L941" t="n">
        <v>0.633</v>
      </c>
      <c r="M941" t="n">
        <v>0.367</v>
      </c>
    </row>
    <row r="942" spans="1:13">
      <c r="A942" s="1">
        <f>HYPERLINK("http://www.twitter.com/NathanBLawrence/status/1000466949317562368", "1000466949317562368")</f>
        <v/>
      </c>
      <c r="B942" s="2" t="n">
        <v>43246.83429398148</v>
      </c>
      <c r="C942" t="n">
        <v>0</v>
      </c>
      <c r="D942" t="n">
        <v>0</v>
      </c>
      <c r="E942" t="s">
        <v>953</v>
      </c>
      <c r="F942" t="s"/>
      <c r="G942" t="s"/>
      <c r="H942" t="s"/>
      <c r="I942" t="s"/>
      <c r="J942" t="n">
        <v>0</v>
      </c>
      <c r="K942" t="n">
        <v>0</v>
      </c>
      <c r="L942" t="n">
        <v>1</v>
      </c>
      <c r="M942" t="n">
        <v>0</v>
      </c>
    </row>
    <row r="943" spans="1:13">
      <c r="A943" s="1">
        <f>HYPERLINK("http://www.twitter.com/NathanBLawrence/status/1000466539567599618", "1000466539567599618")</f>
        <v/>
      </c>
      <c r="B943" s="2" t="n">
        <v>43246.83315972222</v>
      </c>
      <c r="C943" t="n">
        <v>0</v>
      </c>
      <c r="D943" t="n">
        <v>852</v>
      </c>
      <c r="E943" t="s">
        <v>954</v>
      </c>
      <c r="F943" t="s"/>
      <c r="G943" t="s"/>
      <c r="H943" t="s"/>
      <c r="I943" t="s"/>
      <c r="J943" t="n">
        <v>-0.2975</v>
      </c>
      <c r="K943" t="n">
        <v>0.141</v>
      </c>
      <c r="L943" t="n">
        <v>0.773</v>
      </c>
      <c r="M943" t="n">
        <v>0.08599999999999999</v>
      </c>
    </row>
    <row r="944" spans="1:13">
      <c r="A944" s="1">
        <f>HYPERLINK("http://www.twitter.com/NathanBLawrence/status/1000466301503131649", "1000466301503131649")</f>
        <v/>
      </c>
      <c r="B944" s="2" t="n">
        <v>43246.8325</v>
      </c>
      <c r="C944" t="n">
        <v>0</v>
      </c>
      <c r="D944" t="n">
        <v>1263</v>
      </c>
      <c r="E944" t="s">
        <v>955</v>
      </c>
      <c r="F944" t="s"/>
      <c r="G944" t="s"/>
      <c r="H944" t="s"/>
      <c r="I944" t="s"/>
      <c r="J944" t="n">
        <v>0.2928</v>
      </c>
      <c r="K944" t="n">
        <v>0</v>
      </c>
      <c r="L944" t="n">
        <v>0.85</v>
      </c>
      <c r="M944" t="n">
        <v>0.15</v>
      </c>
    </row>
    <row r="945" spans="1:13">
      <c r="A945" s="1">
        <f>HYPERLINK("http://www.twitter.com/NathanBLawrence/status/1000466265151102977", "1000466265151102977")</f>
        <v/>
      </c>
      <c r="B945" s="2" t="n">
        <v>43246.8324074074</v>
      </c>
      <c r="C945" t="n">
        <v>0</v>
      </c>
      <c r="D945" t="n">
        <v>9277</v>
      </c>
      <c r="E945" t="s">
        <v>956</v>
      </c>
      <c r="F945" t="s"/>
      <c r="G945" t="s"/>
      <c r="H945" t="s"/>
      <c r="I945" t="s"/>
      <c r="J945" t="n">
        <v>-0.2235</v>
      </c>
      <c r="K945" t="n">
        <v>0.07000000000000001</v>
      </c>
      <c r="L945" t="n">
        <v>0.93</v>
      </c>
      <c r="M945" t="n">
        <v>0</v>
      </c>
    </row>
    <row r="946" spans="1:13">
      <c r="A946" s="1">
        <f>HYPERLINK("http://www.twitter.com/NathanBLawrence/status/1000466014277120001", "1000466014277120001")</f>
        <v/>
      </c>
      <c r="B946" s="2" t="n">
        <v>43246.83171296296</v>
      </c>
      <c r="C946" t="n">
        <v>0</v>
      </c>
      <c r="D946" t="n">
        <v>219</v>
      </c>
      <c r="E946" t="s">
        <v>957</v>
      </c>
      <c r="F946" t="s"/>
      <c r="G946" t="s"/>
      <c r="H946" t="s"/>
      <c r="I946" t="s"/>
      <c r="J946" t="n">
        <v>0.6236</v>
      </c>
      <c r="K946" t="n">
        <v>0</v>
      </c>
      <c r="L946" t="n">
        <v>0.55</v>
      </c>
      <c r="M946" t="n">
        <v>0.45</v>
      </c>
    </row>
    <row r="947" spans="1:13">
      <c r="A947" s="1">
        <f>HYPERLINK("http://www.twitter.com/NathanBLawrence/status/1000465812170428422", "1000465812170428422")</f>
        <v/>
      </c>
      <c r="B947" s="2" t="n">
        <v>43246.83115740741</v>
      </c>
      <c r="C947" t="n">
        <v>0</v>
      </c>
      <c r="D947" t="n">
        <v>2</v>
      </c>
      <c r="E947" t="s">
        <v>958</v>
      </c>
      <c r="F947" t="s"/>
      <c r="G947" t="s"/>
      <c r="H947" t="s"/>
      <c r="I947" t="s"/>
      <c r="J947" t="n">
        <v>-0.765</v>
      </c>
      <c r="K947" t="n">
        <v>0.28</v>
      </c>
      <c r="L947" t="n">
        <v>0.72</v>
      </c>
      <c r="M947" t="n">
        <v>0</v>
      </c>
    </row>
    <row r="948" spans="1:13">
      <c r="A948" s="1">
        <f>HYPERLINK("http://www.twitter.com/NathanBLawrence/status/1000465715957297152", "1000465715957297152")</f>
        <v/>
      </c>
      <c r="B948" s="2" t="n">
        <v>43246.8308912037</v>
      </c>
      <c r="C948" t="n">
        <v>0</v>
      </c>
      <c r="D948" t="n">
        <v>2</v>
      </c>
      <c r="E948" t="s">
        <v>959</v>
      </c>
      <c r="F948" t="s"/>
      <c r="G948" t="s"/>
      <c r="H948" t="s"/>
      <c r="I948" t="s"/>
      <c r="J948" t="n">
        <v>0.4215</v>
      </c>
      <c r="K948" t="n">
        <v>0</v>
      </c>
      <c r="L948" t="n">
        <v>0.843</v>
      </c>
      <c r="M948" t="n">
        <v>0.157</v>
      </c>
    </row>
    <row r="949" spans="1:13">
      <c r="A949" s="1">
        <f>HYPERLINK("http://www.twitter.com/NathanBLawrence/status/1000465691399610368", "1000465691399610368")</f>
        <v/>
      </c>
      <c r="B949" s="2" t="n">
        <v>43246.83082175926</v>
      </c>
      <c r="C949" t="n">
        <v>0</v>
      </c>
      <c r="D949" t="n">
        <v>361</v>
      </c>
      <c r="E949" t="s">
        <v>960</v>
      </c>
      <c r="F949">
        <f>HYPERLINK("http://pbs.twimg.com/media/DeGtXXLWsAERtQ2.jpg", "http://pbs.twimg.com/media/DeGtXXLWsAERtQ2.jpg")</f>
        <v/>
      </c>
      <c r="G949" t="s"/>
      <c r="H949" t="s"/>
      <c r="I949" t="s"/>
      <c r="J949" t="n">
        <v>0.079</v>
      </c>
      <c r="K949" t="n">
        <v>0.211</v>
      </c>
      <c r="L949" t="n">
        <v>0.569</v>
      </c>
      <c r="M949" t="n">
        <v>0.221</v>
      </c>
    </row>
    <row r="950" spans="1:13">
      <c r="A950" s="1">
        <f>HYPERLINK("http://www.twitter.com/NathanBLawrence/status/1000465554040291330", "1000465554040291330")</f>
        <v/>
      </c>
      <c r="B950" s="2" t="n">
        <v>43246.83043981482</v>
      </c>
      <c r="C950" t="n">
        <v>0</v>
      </c>
      <c r="D950" t="n">
        <v>2</v>
      </c>
      <c r="E950" t="s">
        <v>961</v>
      </c>
      <c r="F950" t="s"/>
      <c r="G950" t="s"/>
      <c r="H950" t="s"/>
      <c r="I950" t="s"/>
      <c r="J950" t="n">
        <v>-0.0196</v>
      </c>
      <c r="K950" t="n">
        <v>0.266</v>
      </c>
      <c r="L950" t="n">
        <v>0.628</v>
      </c>
      <c r="M950" t="n">
        <v>0.106</v>
      </c>
    </row>
    <row r="951" spans="1:13">
      <c r="A951" s="1">
        <f>HYPERLINK("http://www.twitter.com/NathanBLawrence/status/1000465515784138754", "1000465515784138754")</f>
        <v/>
      </c>
      <c r="B951" s="2" t="n">
        <v>43246.83033564815</v>
      </c>
      <c r="C951" t="n">
        <v>0</v>
      </c>
      <c r="D951" t="n">
        <v>1</v>
      </c>
      <c r="E951" t="s">
        <v>962</v>
      </c>
      <c r="F951" t="s"/>
      <c r="G951" t="s"/>
      <c r="H951" t="s"/>
      <c r="I951" t="s"/>
      <c r="J951" t="n">
        <v>0</v>
      </c>
      <c r="K951" t="n">
        <v>0</v>
      </c>
      <c r="L951" t="n">
        <v>1</v>
      </c>
      <c r="M951" t="n">
        <v>0</v>
      </c>
    </row>
    <row r="952" spans="1:13">
      <c r="A952" s="1">
        <f>HYPERLINK("http://www.twitter.com/NathanBLawrence/status/1000465479205556224", "1000465479205556224")</f>
        <v/>
      </c>
      <c r="B952" s="2" t="n">
        <v>43246.83023148148</v>
      </c>
      <c r="C952" t="n">
        <v>0</v>
      </c>
      <c r="D952" t="n">
        <v>36</v>
      </c>
      <c r="E952" t="s">
        <v>963</v>
      </c>
      <c r="F952" t="s"/>
      <c r="G952" t="s"/>
      <c r="H952" t="s"/>
      <c r="I952" t="s"/>
      <c r="J952" t="n">
        <v>0.4019</v>
      </c>
      <c r="K952" t="n">
        <v>0.08799999999999999</v>
      </c>
      <c r="L952" t="n">
        <v>0.757</v>
      </c>
      <c r="M952" t="n">
        <v>0.155</v>
      </c>
    </row>
    <row r="953" spans="1:13">
      <c r="A953" s="1">
        <f>HYPERLINK("http://www.twitter.com/NathanBLawrence/status/1000465405280911361", "1000465405280911361")</f>
        <v/>
      </c>
      <c r="B953" s="2" t="n">
        <v>43246.83003472222</v>
      </c>
      <c r="C953" t="n">
        <v>0</v>
      </c>
      <c r="D953" t="n">
        <v>37</v>
      </c>
      <c r="E953" t="s">
        <v>964</v>
      </c>
      <c r="F953">
        <f>HYPERLINK("http://pbs.twimg.com/media/DeEm8sLV0AAme8g.jpg", "http://pbs.twimg.com/media/DeEm8sLV0AAme8g.jpg")</f>
        <v/>
      </c>
      <c r="G953">
        <f>HYPERLINK("http://pbs.twimg.com/media/DeEm8sLVQAA0dBb.jpg", "http://pbs.twimg.com/media/DeEm8sLVQAA0dBb.jpg")</f>
        <v/>
      </c>
      <c r="H953">
        <f>HYPERLINK("http://pbs.twimg.com/media/DeEm8sNVMAAtGR9.jpg", "http://pbs.twimg.com/media/DeEm8sNVMAAtGR9.jpg")</f>
        <v/>
      </c>
      <c r="I953">
        <f>HYPERLINK("http://pbs.twimg.com/media/DeEm8sLU0AAUQM6.jpg", "http://pbs.twimg.com/media/DeEm8sLU0AAUQM6.jpg")</f>
        <v/>
      </c>
      <c r="J953" t="n">
        <v>0</v>
      </c>
      <c r="K953" t="n">
        <v>0</v>
      </c>
      <c r="L953" t="n">
        <v>1</v>
      </c>
      <c r="M953" t="n">
        <v>0</v>
      </c>
    </row>
    <row r="954" spans="1:13">
      <c r="A954" s="1">
        <f>HYPERLINK("http://www.twitter.com/NathanBLawrence/status/1000465367393800194", "1000465367393800194")</f>
        <v/>
      </c>
      <c r="B954" s="2" t="n">
        <v>43246.82991898148</v>
      </c>
      <c r="C954" t="n">
        <v>0</v>
      </c>
      <c r="D954" t="n">
        <v>72</v>
      </c>
      <c r="E954" t="s">
        <v>965</v>
      </c>
      <c r="F954" t="s"/>
      <c r="G954" t="s"/>
      <c r="H954" t="s"/>
      <c r="I954" t="s"/>
      <c r="J954" t="n">
        <v>0.5266999999999999</v>
      </c>
      <c r="K954" t="n">
        <v>0</v>
      </c>
      <c r="L954" t="n">
        <v>0.82</v>
      </c>
      <c r="M954" t="n">
        <v>0.18</v>
      </c>
    </row>
    <row r="955" spans="1:13">
      <c r="A955" s="1">
        <f>HYPERLINK("http://www.twitter.com/NathanBLawrence/status/1000465316395266052", "1000465316395266052")</f>
        <v/>
      </c>
      <c r="B955" s="2" t="n">
        <v>43246.82978009259</v>
      </c>
      <c r="C955" t="n">
        <v>0</v>
      </c>
      <c r="D955" t="n">
        <v>70</v>
      </c>
      <c r="E955" t="s">
        <v>966</v>
      </c>
      <c r="F955" t="s"/>
      <c r="G955" t="s"/>
      <c r="H955" t="s"/>
      <c r="I955" t="s"/>
      <c r="J955" t="n">
        <v>-0.1877</v>
      </c>
      <c r="K955" t="n">
        <v>0.12</v>
      </c>
      <c r="L955" t="n">
        <v>0.88</v>
      </c>
      <c r="M955" t="n">
        <v>0</v>
      </c>
    </row>
    <row r="956" spans="1:13">
      <c r="A956" s="1">
        <f>HYPERLINK("http://www.twitter.com/NathanBLawrence/status/1000465298733101056", "1000465298733101056")</f>
        <v/>
      </c>
      <c r="B956" s="2" t="n">
        <v>43246.82973379629</v>
      </c>
      <c r="C956" t="n">
        <v>0</v>
      </c>
      <c r="D956" t="n">
        <v>93</v>
      </c>
      <c r="E956" t="s">
        <v>967</v>
      </c>
      <c r="F956" t="s"/>
      <c r="G956" t="s"/>
      <c r="H956" t="s"/>
      <c r="I956" t="s"/>
      <c r="J956" t="n">
        <v>0.7845</v>
      </c>
      <c r="K956" t="n">
        <v>0</v>
      </c>
      <c r="L956" t="n">
        <v>0.706</v>
      </c>
      <c r="M956" t="n">
        <v>0.294</v>
      </c>
    </row>
    <row r="957" spans="1:13">
      <c r="A957" s="1">
        <f>HYPERLINK("http://www.twitter.com/NathanBLawrence/status/1000465144730832897", "1000465144730832897")</f>
        <v/>
      </c>
      <c r="B957" s="2" t="n">
        <v>43246.82930555556</v>
      </c>
      <c r="C957" t="n">
        <v>0</v>
      </c>
      <c r="D957" t="n">
        <v>368</v>
      </c>
      <c r="E957" t="s">
        <v>968</v>
      </c>
      <c r="F957" t="s"/>
      <c r="G957" t="s"/>
      <c r="H957" t="s"/>
      <c r="I957" t="s"/>
      <c r="J957" t="n">
        <v>0.5423</v>
      </c>
      <c r="K957" t="n">
        <v>0.113</v>
      </c>
      <c r="L957" t="n">
        <v>0.619</v>
      </c>
      <c r="M957" t="n">
        <v>0.268</v>
      </c>
    </row>
    <row r="958" spans="1:13">
      <c r="A958" s="1">
        <f>HYPERLINK("http://www.twitter.com/NathanBLawrence/status/1000464949737598976", "1000464949737598976")</f>
        <v/>
      </c>
      <c r="B958" s="2" t="n">
        <v>43246.82877314815</v>
      </c>
      <c r="C958" t="n">
        <v>0</v>
      </c>
      <c r="D958" t="n">
        <v>1</v>
      </c>
      <c r="E958" t="s">
        <v>969</v>
      </c>
      <c r="F958">
        <f>HYPERLINK("http://pbs.twimg.com/media/DeJcz7sXUAAohnE.jpg", "http://pbs.twimg.com/media/DeJcz7sXUAAohnE.jpg")</f>
        <v/>
      </c>
      <c r="G958" t="s"/>
      <c r="H958" t="s"/>
      <c r="I958" t="s"/>
      <c r="J958" t="n">
        <v>0.7506</v>
      </c>
      <c r="K958" t="n">
        <v>0</v>
      </c>
      <c r="L958" t="n">
        <v>0.758</v>
      </c>
      <c r="M958" t="n">
        <v>0.242</v>
      </c>
    </row>
    <row r="959" spans="1:13">
      <c r="A959" s="1">
        <f>HYPERLINK("http://www.twitter.com/NathanBLawrence/status/1000464885677985792", "1000464885677985792")</f>
        <v/>
      </c>
      <c r="B959" s="2" t="n">
        <v>43246.82859953704</v>
      </c>
      <c r="C959" t="n">
        <v>0</v>
      </c>
      <c r="D959" t="n">
        <v>0</v>
      </c>
      <c r="E959" t="s">
        <v>970</v>
      </c>
      <c r="F959" t="s"/>
      <c r="G959" t="s"/>
      <c r="H959" t="s"/>
      <c r="I959" t="s"/>
      <c r="J959" t="n">
        <v>0</v>
      </c>
      <c r="K959" t="n">
        <v>0</v>
      </c>
      <c r="L959" t="n">
        <v>1</v>
      </c>
      <c r="M959" t="n">
        <v>0</v>
      </c>
    </row>
    <row r="960" spans="1:13">
      <c r="A960" s="1">
        <f>HYPERLINK("http://www.twitter.com/NathanBLawrence/status/1000464226966818816", "1000464226966818816")</f>
        <v/>
      </c>
      <c r="B960" s="2" t="n">
        <v>43246.82678240741</v>
      </c>
      <c r="C960" t="n">
        <v>0</v>
      </c>
      <c r="D960" t="n">
        <v>145</v>
      </c>
      <c r="E960" t="s">
        <v>971</v>
      </c>
      <c r="F960" t="s"/>
      <c r="G960" t="s"/>
      <c r="H960" t="s"/>
      <c r="I960" t="s"/>
      <c r="J960" t="n">
        <v>-0.0516</v>
      </c>
      <c r="K960" t="n">
        <v>0.046</v>
      </c>
      <c r="L960" t="n">
        <v>0.954</v>
      </c>
      <c r="M960" t="n">
        <v>0</v>
      </c>
    </row>
    <row r="961" spans="1:13">
      <c r="A961" s="1">
        <f>HYPERLINK("http://www.twitter.com/NathanBLawrence/status/1000464140601909249", "1000464140601909249")</f>
        <v/>
      </c>
      <c r="B961" s="2" t="n">
        <v>43246.82653935185</v>
      </c>
      <c r="C961" t="n">
        <v>0</v>
      </c>
      <c r="D961" t="n">
        <v>111</v>
      </c>
      <c r="E961" t="s">
        <v>972</v>
      </c>
      <c r="F961" t="s"/>
      <c r="G961" t="s"/>
      <c r="H961" t="s"/>
      <c r="I961" t="s"/>
      <c r="J961" t="n">
        <v>-0.3612</v>
      </c>
      <c r="K961" t="n">
        <v>0.106</v>
      </c>
      <c r="L961" t="n">
        <v>0.894</v>
      </c>
      <c r="M961" t="n">
        <v>0</v>
      </c>
    </row>
    <row r="962" spans="1:13">
      <c r="A962" s="1">
        <f>HYPERLINK("http://www.twitter.com/NathanBLawrence/status/1000464100961472512", "1000464100961472512")</f>
        <v/>
      </c>
      <c r="B962" s="2" t="n">
        <v>43246.82643518518</v>
      </c>
      <c r="C962" t="n">
        <v>0</v>
      </c>
      <c r="D962" t="n">
        <v>91</v>
      </c>
      <c r="E962" t="s">
        <v>973</v>
      </c>
      <c r="F962" t="s"/>
      <c r="G962" t="s"/>
      <c r="H962" t="s"/>
      <c r="I962" t="s"/>
      <c r="J962" t="n">
        <v>0</v>
      </c>
      <c r="K962" t="n">
        <v>0</v>
      </c>
      <c r="L962" t="n">
        <v>1</v>
      </c>
      <c r="M962" t="n">
        <v>0</v>
      </c>
    </row>
    <row r="963" spans="1:13">
      <c r="A963" s="1">
        <f>HYPERLINK("http://www.twitter.com/NathanBLawrence/status/1000463944648200192", "1000463944648200192")</f>
        <v/>
      </c>
      <c r="B963" s="2" t="n">
        <v>43246.82599537037</v>
      </c>
      <c r="C963" t="n">
        <v>0</v>
      </c>
      <c r="D963" t="n">
        <v>97</v>
      </c>
      <c r="E963" t="s">
        <v>974</v>
      </c>
      <c r="F963" t="s"/>
      <c r="G963" t="s"/>
      <c r="H963" t="s"/>
      <c r="I963" t="s"/>
      <c r="J963" t="n">
        <v>0</v>
      </c>
      <c r="K963" t="n">
        <v>0</v>
      </c>
      <c r="L963" t="n">
        <v>1</v>
      </c>
      <c r="M963" t="n">
        <v>0</v>
      </c>
    </row>
    <row r="964" spans="1:13">
      <c r="A964" s="1">
        <f>HYPERLINK("http://www.twitter.com/NathanBLawrence/status/1000463886221479936", "1000463886221479936")</f>
        <v/>
      </c>
      <c r="B964" s="2" t="n">
        <v>43246.82583333334</v>
      </c>
      <c r="C964" t="n">
        <v>0</v>
      </c>
      <c r="D964" t="n">
        <v>167</v>
      </c>
      <c r="E964" t="s">
        <v>975</v>
      </c>
      <c r="F964" t="s"/>
      <c r="G964" t="s"/>
      <c r="H964" t="s"/>
      <c r="I964" t="s"/>
      <c r="J964" t="n">
        <v>0.4497</v>
      </c>
      <c r="K964" t="n">
        <v>0.059</v>
      </c>
      <c r="L964" t="n">
        <v>0.8149999999999999</v>
      </c>
      <c r="M964" t="n">
        <v>0.126</v>
      </c>
    </row>
    <row r="965" spans="1:13">
      <c r="A965" s="1">
        <f>HYPERLINK("http://www.twitter.com/NathanBLawrence/status/1000463848380555264", "1000463848380555264")</f>
        <v/>
      </c>
      <c r="B965" s="2" t="n">
        <v>43246.82572916667</v>
      </c>
      <c r="C965" t="n">
        <v>0</v>
      </c>
      <c r="D965" t="n">
        <v>119</v>
      </c>
      <c r="E965" t="s">
        <v>976</v>
      </c>
      <c r="F965" t="s"/>
      <c r="G965" t="s"/>
      <c r="H965" t="s"/>
      <c r="I965" t="s"/>
      <c r="J965" t="n">
        <v>-0.2975</v>
      </c>
      <c r="K965" t="n">
        <v>0.08799999999999999</v>
      </c>
      <c r="L965" t="n">
        <v>0.912</v>
      </c>
      <c r="M965" t="n">
        <v>0</v>
      </c>
    </row>
    <row r="966" spans="1:13">
      <c r="A966" s="1">
        <f>HYPERLINK("http://www.twitter.com/NathanBLawrence/status/1000463810459824130", "1000463810459824130")</f>
        <v/>
      </c>
      <c r="B966" s="2" t="n">
        <v>43246.825625</v>
      </c>
      <c r="C966" t="n">
        <v>0</v>
      </c>
      <c r="D966" t="n">
        <v>109</v>
      </c>
      <c r="E966" t="s">
        <v>977</v>
      </c>
      <c r="F966" t="s"/>
      <c r="G966" t="s"/>
      <c r="H966" t="s"/>
      <c r="I966" t="s"/>
      <c r="J966" t="n">
        <v>0</v>
      </c>
      <c r="K966" t="n">
        <v>0</v>
      </c>
      <c r="L966" t="n">
        <v>1</v>
      </c>
      <c r="M966" t="n">
        <v>0</v>
      </c>
    </row>
    <row r="967" spans="1:13">
      <c r="A967" s="1">
        <f>HYPERLINK("http://www.twitter.com/NathanBLawrence/status/1000463614279606272", "1000463614279606272")</f>
        <v/>
      </c>
      <c r="B967" s="2" t="n">
        <v>43246.82509259259</v>
      </c>
      <c r="C967" t="n">
        <v>0</v>
      </c>
      <c r="D967" t="n">
        <v>678</v>
      </c>
      <c r="E967" t="s">
        <v>978</v>
      </c>
      <c r="F967" t="s"/>
      <c r="G967" t="s"/>
      <c r="H967" t="s"/>
      <c r="I967" t="s"/>
      <c r="J967" t="n">
        <v>0.4767</v>
      </c>
      <c r="K967" t="n">
        <v>0</v>
      </c>
      <c r="L967" t="n">
        <v>0.86</v>
      </c>
      <c r="M967" t="n">
        <v>0.14</v>
      </c>
    </row>
    <row r="968" spans="1:13">
      <c r="A968" s="1">
        <f>HYPERLINK("http://www.twitter.com/NathanBLawrence/status/1000463438517276672", "1000463438517276672")</f>
        <v/>
      </c>
      <c r="B968" s="2" t="n">
        <v>43246.82460648148</v>
      </c>
      <c r="C968" t="n">
        <v>0</v>
      </c>
      <c r="D968" t="n">
        <v>281</v>
      </c>
      <c r="E968" t="s">
        <v>979</v>
      </c>
      <c r="F968" t="s"/>
      <c r="G968" t="s"/>
      <c r="H968" t="s"/>
      <c r="I968" t="s"/>
      <c r="J968" t="n">
        <v>0</v>
      </c>
      <c r="K968" t="n">
        <v>0</v>
      </c>
      <c r="L968" t="n">
        <v>1</v>
      </c>
      <c r="M968" t="n">
        <v>0</v>
      </c>
    </row>
    <row r="969" spans="1:13">
      <c r="A969" s="1">
        <f>HYPERLINK("http://www.twitter.com/NathanBLawrence/status/1000463319591981056", "1000463319591981056")</f>
        <v/>
      </c>
      <c r="B969" s="2" t="n">
        <v>43246.82427083333</v>
      </c>
      <c r="C969" t="n">
        <v>0</v>
      </c>
      <c r="D969" t="n">
        <v>336</v>
      </c>
      <c r="E969" t="s">
        <v>980</v>
      </c>
      <c r="F969" t="s"/>
      <c r="G969" t="s"/>
      <c r="H969" t="s"/>
      <c r="I969" t="s"/>
      <c r="J969" t="n">
        <v>0</v>
      </c>
      <c r="K969" t="n">
        <v>0</v>
      </c>
      <c r="L969" t="n">
        <v>1</v>
      </c>
      <c r="M969" t="n">
        <v>0</v>
      </c>
    </row>
    <row r="970" spans="1:13">
      <c r="A970" s="1">
        <f>HYPERLINK("http://www.twitter.com/NathanBLawrence/status/1000463259244417027", "1000463259244417027")</f>
        <v/>
      </c>
      <c r="B970" s="2" t="n">
        <v>43246.8241087963</v>
      </c>
      <c r="C970" t="n">
        <v>0</v>
      </c>
      <c r="D970" t="n">
        <v>1396</v>
      </c>
      <c r="E970" t="s">
        <v>981</v>
      </c>
      <c r="F970" t="s"/>
      <c r="G970" t="s"/>
      <c r="H970" t="s"/>
      <c r="I970" t="s"/>
      <c r="J970" t="n">
        <v>0.5423</v>
      </c>
      <c r="K970" t="n">
        <v>0.078</v>
      </c>
      <c r="L970" t="n">
        <v>0.6929999999999999</v>
      </c>
      <c r="M970" t="n">
        <v>0.229</v>
      </c>
    </row>
    <row r="971" spans="1:13">
      <c r="A971" s="1">
        <f>HYPERLINK("http://www.twitter.com/NathanBLawrence/status/1000463183159668736", "1000463183159668736")</f>
        <v/>
      </c>
      <c r="B971" s="2" t="n">
        <v>43246.82390046296</v>
      </c>
      <c r="C971" t="n">
        <v>0</v>
      </c>
      <c r="D971" t="n">
        <v>136</v>
      </c>
      <c r="E971" t="s">
        <v>982</v>
      </c>
      <c r="F971" t="s"/>
      <c r="G971" t="s"/>
      <c r="H971" t="s"/>
      <c r="I971" t="s"/>
      <c r="J971" t="n">
        <v>0.8625</v>
      </c>
      <c r="K971" t="n">
        <v>0</v>
      </c>
      <c r="L971" t="n">
        <v>0.629</v>
      </c>
      <c r="M971" t="n">
        <v>0.371</v>
      </c>
    </row>
    <row r="972" spans="1:13">
      <c r="A972" s="1">
        <f>HYPERLINK("http://www.twitter.com/NathanBLawrence/status/1000462901973528576", "1000462901973528576")</f>
        <v/>
      </c>
      <c r="B972" s="2" t="n">
        <v>43246.823125</v>
      </c>
      <c r="C972" t="n">
        <v>0</v>
      </c>
      <c r="D972" t="n">
        <v>5</v>
      </c>
      <c r="E972" t="s">
        <v>983</v>
      </c>
      <c r="F972" t="s"/>
      <c r="G972" t="s"/>
      <c r="H972" t="s"/>
      <c r="I972" t="s"/>
      <c r="J972" t="n">
        <v>0.1027</v>
      </c>
      <c r="K972" t="n">
        <v>0.1</v>
      </c>
      <c r="L972" t="n">
        <v>0.739</v>
      </c>
      <c r="M972" t="n">
        <v>0.161</v>
      </c>
    </row>
    <row r="973" spans="1:13">
      <c r="A973" s="1">
        <f>HYPERLINK("http://www.twitter.com/NathanBLawrence/status/1000462711061340160", "1000462711061340160")</f>
        <v/>
      </c>
      <c r="B973" s="2" t="n">
        <v>43246.82259259259</v>
      </c>
      <c r="C973" t="n">
        <v>0</v>
      </c>
      <c r="D973" t="n">
        <v>2</v>
      </c>
      <c r="E973" t="s">
        <v>984</v>
      </c>
      <c r="F973" t="s"/>
      <c r="G973" t="s"/>
      <c r="H973" t="s"/>
      <c r="I973" t="s"/>
      <c r="J973" t="n">
        <v>0.34</v>
      </c>
      <c r="K973" t="n">
        <v>0</v>
      </c>
      <c r="L973" t="n">
        <v>0.897</v>
      </c>
      <c r="M973" t="n">
        <v>0.103</v>
      </c>
    </row>
    <row r="974" spans="1:13">
      <c r="A974" s="1">
        <f>HYPERLINK("http://www.twitter.com/NathanBLawrence/status/1000462668954853376", "1000462668954853376")</f>
        <v/>
      </c>
      <c r="B974" s="2" t="n">
        <v>43246.82247685185</v>
      </c>
      <c r="C974" t="n">
        <v>0</v>
      </c>
      <c r="D974" t="n">
        <v>2</v>
      </c>
      <c r="E974" t="s">
        <v>985</v>
      </c>
      <c r="F974" t="s"/>
      <c r="G974" t="s"/>
      <c r="H974" t="s"/>
      <c r="I974" t="s"/>
      <c r="J974" t="n">
        <v>-0.3182</v>
      </c>
      <c r="K974" t="n">
        <v>0.199</v>
      </c>
      <c r="L974" t="n">
        <v>0.6899999999999999</v>
      </c>
      <c r="M974" t="n">
        <v>0.111</v>
      </c>
    </row>
    <row r="975" spans="1:13">
      <c r="A975" s="1">
        <f>HYPERLINK("http://www.twitter.com/NathanBLawrence/status/1000462554446131200", "1000462554446131200")</f>
        <v/>
      </c>
      <c r="B975" s="2" t="n">
        <v>43246.82216435186</v>
      </c>
      <c r="C975" t="n">
        <v>0</v>
      </c>
      <c r="D975" t="n">
        <v>5</v>
      </c>
      <c r="E975" t="s">
        <v>986</v>
      </c>
      <c r="F975">
        <f>HYPERLINK("http://pbs.twimg.com/media/DeI8wTVXkAAvqE3.jpg", "http://pbs.twimg.com/media/DeI8wTVXkAAvqE3.jpg")</f>
        <v/>
      </c>
      <c r="G975">
        <f>HYPERLINK("http://pbs.twimg.com/media/DeI8xv3X4AAPpzb.jpg", "http://pbs.twimg.com/media/DeI8xv3X4AAPpzb.jpg")</f>
        <v/>
      </c>
      <c r="H975">
        <f>HYPERLINK("http://pbs.twimg.com/media/DeI8zIpXkAA3gnV.jpg", "http://pbs.twimg.com/media/DeI8zIpXkAA3gnV.jpg")</f>
        <v/>
      </c>
      <c r="I975" t="s"/>
      <c r="J975" t="n">
        <v>-0.0772</v>
      </c>
      <c r="K975" t="n">
        <v>0.127</v>
      </c>
      <c r="L975" t="n">
        <v>0.757</v>
      </c>
      <c r="M975" t="n">
        <v>0.116</v>
      </c>
    </row>
    <row r="976" spans="1:13">
      <c r="A976" s="1">
        <f>HYPERLINK("http://www.twitter.com/NathanBLawrence/status/1000462510628200449", "1000462510628200449")</f>
        <v/>
      </c>
      <c r="B976" s="2" t="n">
        <v>43246.82203703704</v>
      </c>
      <c r="C976" t="n">
        <v>0</v>
      </c>
      <c r="D976" t="n">
        <v>3</v>
      </c>
      <c r="E976" t="s">
        <v>987</v>
      </c>
      <c r="F976" t="s"/>
      <c r="G976" t="s"/>
      <c r="H976" t="s"/>
      <c r="I976" t="s"/>
      <c r="J976" t="n">
        <v>-0.5777</v>
      </c>
      <c r="K976" t="n">
        <v>0.348</v>
      </c>
      <c r="L976" t="n">
        <v>0.652</v>
      </c>
      <c r="M976" t="n">
        <v>0</v>
      </c>
    </row>
    <row r="977" spans="1:13">
      <c r="A977" s="1">
        <f>HYPERLINK("http://www.twitter.com/NathanBLawrence/status/1000462430324092928", "1000462430324092928")</f>
        <v/>
      </c>
      <c r="B977" s="2" t="n">
        <v>43246.82181712963</v>
      </c>
      <c r="C977" t="n">
        <v>0</v>
      </c>
      <c r="D977" t="n">
        <v>96</v>
      </c>
      <c r="E977" t="s">
        <v>988</v>
      </c>
      <c r="F977" t="s"/>
      <c r="G977" t="s"/>
      <c r="H977" t="s"/>
      <c r="I977" t="s"/>
      <c r="J977" t="n">
        <v>0</v>
      </c>
      <c r="K977" t="n">
        <v>0</v>
      </c>
      <c r="L977" t="n">
        <v>1</v>
      </c>
      <c r="M977" t="n">
        <v>0</v>
      </c>
    </row>
    <row r="978" spans="1:13">
      <c r="A978" s="1">
        <f>HYPERLINK("http://www.twitter.com/NathanBLawrence/status/1000462147967770625", "1000462147967770625")</f>
        <v/>
      </c>
      <c r="B978" s="2" t="n">
        <v>43246.82104166667</v>
      </c>
      <c r="C978" t="n">
        <v>0</v>
      </c>
      <c r="D978" t="n">
        <v>38</v>
      </c>
      <c r="E978" t="s">
        <v>989</v>
      </c>
      <c r="F978" t="s"/>
      <c r="G978" t="s"/>
      <c r="H978" t="s"/>
      <c r="I978" t="s"/>
      <c r="J978" t="n">
        <v>-0.3182</v>
      </c>
      <c r="K978" t="n">
        <v>0.159</v>
      </c>
      <c r="L978" t="n">
        <v>0.761</v>
      </c>
      <c r="M978" t="n">
        <v>0.08</v>
      </c>
    </row>
    <row r="979" spans="1:13">
      <c r="A979" s="1">
        <f>HYPERLINK("http://www.twitter.com/NathanBLawrence/status/1000462073309130755", "1000462073309130755")</f>
        <v/>
      </c>
      <c r="B979" s="2" t="n">
        <v>43246.82083333333</v>
      </c>
      <c r="C979" t="n">
        <v>0</v>
      </c>
      <c r="D979" t="n">
        <v>103</v>
      </c>
      <c r="E979" t="s">
        <v>990</v>
      </c>
      <c r="F979" t="s"/>
      <c r="G979" t="s"/>
      <c r="H979" t="s"/>
      <c r="I979" t="s"/>
      <c r="J979" t="n">
        <v>-0.8957000000000001</v>
      </c>
      <c r="K979" t="n">
        <v>0.36</v>
      </c>
      <c r="L979" t="n">
        <v>0.64</v>
      </c>
      <c r="M979" t="n">
        <v>0</v>
      </c>
    </row>
    <row r="980" spans="1:13">
      <c r="A980" s="1">
        <f>HYPERLINK("http://www.twitter.com/NathanBLawrence/status/1000461954484461569", "1000461954484461569")</f>
        <v/>
      </c>
      <c r="B980" s="2" t="n">
        <v>43246.82050925926</v>
      </c>
      <c r="C980" t="n">
        <v>0</v>
      </c>
      <c r="D980" t="n">
        <v>2</v>
      </c>
      <c r="E980" t="s">
        <v>991</v>
      </c>
      <c r="F980" t="s"/>
      <c r="G980" t="s"/>
      <c r="H980" t="s"/>
      <c r="I980" t="s"/>
      <c r="J980" t="n">
        <v>0.7269</v>
      </c>
      <c r="K980" t="n">
        <v>0</v>
      </c>
      <c r="L980" t="n">
        <v>0.5669999999999999</v>
      </c>
      <c r="M980" t="n">
        <v>0.433</v>
      </c>
    </row>
    <row r="981" spans="1:13">
      <c r="A981" s="1">
        <f>HYPERLINK("http://www.twitter.com/NathanBLawrence/status/1000461920242151426", "1000461920242151426")</f>
        <v/>
      </c>
      <c r="B981" s="2" t="n">
        <v>43246.82041666667</v>
      </c>
      <c r="C981" t="n">
        <v>0</v>
      </c>
      <c r="D981" t="n">
        <v>4</v>
      </c>
      <c r="E981" t="s">
        <v>992</v>
      </c>
      <c r="F981" t="s"/>
      <c r="G981" t="s"/>
      <c r="H981" t="s"/>
      <c r="I981" t="s"/>
      <c r="J981" t="n">
        <v>0.8481</v>
      </c>
      <c r="K981" t="n">
        <v>0</v>
      </c>
      <c r="L981" t="n">
        <v>0.379</v>
      </c>
      <c r="M981" t="n">
        <v>0.621</v>
      </c>
    </row>
    <row r="982" spans="1:13">
      <c r="A982" s="1">
        <f>HYPERLINK("http://www.twitter.com/NathanBLawrence/status/1000461730797977603", "1000461730797977603")</f>
        <v/>
      </c>
      <c r="B982" s="2" t="n">
        <v>43246.81988425926</v>
      </c>
      <c r="C982" t="n">
        <v>0</v>
      </c>
      <c r="D982" t="n">
        <v>97</v>
      </c>
      <c r="E982" t="s">
        <v>993</v>
      </c>
      <c r="F982" t="s"/>
      <c r="G982" t="s"/>
      <c r="H982" t="s"/>
      <c r="I982" t="s"/>
      <c r="J982" t="n">
        <v>0.8131</v>
      </c>
      <c r="K982" t="n">
        <v>0.109</v>
      </c>
      <c r="L982" t="n">
        <v>0.609</v>
      </c>
      <c r="M982" t="n">
        <v>0.282</v>
      </c>
    </row>
    <row r="983" spans="1:13">
      <c r="A983" s="1">
        <f>HYPERLINK("http://www.twitter.com/NathanBLawrence/status/1000461620227829760", "1000461620227829760")</f>
        <v/>
      </c>
      <c r="B983" s="2" t="n">
        <v>43246.81958333333</v>
      </c>
      <c r="C983" t="n">
        <v>0</v>
      </c>
      <c r="D983" t="n">
        <v>1051</v>
      </c>
      <c r="E983" t="s">
        <v>994</v>
      </c>
      <c r="F983" t="s"/>
      <c r="G983" t="s"/>
      <c r="H983" t="s"/>
      <c r="I983" t="s"/>
      <c r="J983" t="n">
        <v>-0.5574</v>
      </c>
      <c r="K983" t="n">
        <v>0.187</v>
      </c>
      <c r="L983" t="n">
        <v>0.8129999999999999</v>
      </c>
      <c r="M983" t="n">
        <v>0</v>
      </c>
    </row>
    <row r="984" spans="1:13">
      <c r="A984" s="1">
        <f>HYPERLINK("http://www.twitter.com/NathanBLawrence/status/1000461583372509187", "1000461583372509187")</f>
        <v/>
      </c>
      <c r="B984" s="2" t="n">
        <v>43246.81947916667</v>
      </c>
      <c r="C984" t="n">
        <v>0</v>
      </c>
      <c r="D984" t="n">
        <v>1847</v>
      </c>
      <c r="E984" t="s">
        <v>995</v>
      </c>
      <c r="F984" t="s"/>
      <c r="G984" t="s"/>
      <c r="H984" t="s"/>
      <c r="I984" t="s"/>
      <c r="J984" t="n">
        <v>-0.1531</v>
      </c>
      <c r="K984" t="n">
        <v>0.167</v>
      </c>
      <c r="L984" t="n">
        <v>0.6879999999999999</v>
      </c>
      <c r="M984" t="n">
        <v>0.145</v>
      </c>
    </row>
    <row r="985" spans="1:13">
      <c r="A985" s="1">
        <f>HYPERLINK("http://www.twitter.com/NathanBLawrence/status/1000450544501174272", "1000450544501174272")</f>
        <v/>
      </c>
      <c r="B985" s="2" t="n">
        <v>43246.7890162037</v>
      </c>
      <c r="C985" t="n">
        <v>0</v>
      </c>
      <c r="D985" t="n">
        <v>0</v>
      </c>
      <c r="E985" t="s">
        <v>996</v>
      </c>
      <c r="F985" t="s"/>
      <c r="G985" t="s"/>
      <c r="H985" t="s"/>
      <c r="I985" t="s"/>
      <c r="J985" t="n">
        <v>0.8126</v>
      </c>
      <c r="K985" t="n">
        <v>0</v>
      </c>
      <c r="L985" t="n">
        <v>0.837</v>
      </c>
      <c r="M985" t="n">
        <v>0.163</v>
      </c>
    </row>
    <row r="986" spans="1:13">
      <c r="A986" s="1">
        <f>HYPERLINK("http://www.twitter.com/NathanBLawrence/status/1000450099686801408", "1000450099686801408")</f>
        <v/>
      </c>
      <c r="B986" s="2" t="n">
        <v>43246.78778935185</v>
      </c>
      <c r="C986" t="n">
        <v>0</v>
      </c>
      <c r="D986" t="n">
        <v>0</v>
      </c>
      <c r="E986" t="s">
        <v>997</v>
      </c>
      <c r="F986" t="s"/>
      <c r="G986" t="s"/>
      <c r="H986" t="s"/>
      <c r="I986" t="s"/>
      <c r="J986" t="n">
        <v>0</v>
      </c>
      <c r="K986" t="n">
        <v>0</v>
      </c>
      <c r="L986" t="n">
        <v>1</v>
      </c>
      <c r="M986" t="n">
        <v>0</v>
      </c>
    </row>
    <row r="987" spans="1:13">
      <c r="A987" s="1">
        <f>HYPERLINK("http://www.twitter.com/NathanBLawrence/status/1000449204710465536", "1000449204710465536")</f>
        <v/>
      </c>
      <c r="B987" s="2" t="n">
        <v>43246.78532407407</v>
      </c>
      <c r="C987" t="n">
        <v>0</v>
      </c>
      <c r="D987" t="n">
        <v>0</v>
      </c>
      <c r="E987" t="s">
        <v>998</v>
      </c>
      <c r="F987">
        <f>HYPERLINK("http://pbs.twimg.com/media/DeJPPaUVMAAeCJF.jpg", "http://pbs.twimg.com/media/DeJPPaUVMAAeCJF.jpg")</f>
        <v/>
      </c>
      <c r="G987" t="s"/>
      <c r="H987" t="s"/>
      <c r="I987" t="s"/>
      <c r="J987" t="n">
        <v>-0.2382</v>
      </c>
      <c r="K987" t="n">
        <v>0.14</v>
      </c>
      <c r="L987" t="n">
        <v>0.719</v>
      </c>
      <c r="M987" t="n">
        <v>0.141</v>
      </c>
    </row>
    <row r="988" spans="1:13">
      <c r="A988" s="1">
        <f>HYPERLINK("http://www.twitter.com/NathanBLawrence/status/1000447300085452803", "1000447300085452803")</f>
        <v/>
      </c>
      <c r="B988" s="2" t="n">
        <v>43246.78006944444</v>
      </c>
      <c r="C988" t="n">
        <v>0</v>
      </c>
      <c r="D988" t="n">
        <v>1</v>
      </c>
      <c r="E988" t="s">
        <v>999</v>
      </c>
      <c r="F988" t="s"/>
      <c r="G988" t="s"/>
      <c r="H988" t="s"/>
      <c r="I988" t="s"/>
      <c r="J988" t="n">
        <v>0.128</v>
      </c>
      <c r="K988" t="n">
        <v>0.104</v>
      </c>
      <c r="L988" t="n">
        <v>0.741</v>
      </c>
      <c r="M988" t="n">
        <v>0.155</v>
      </c>
    </row>
    <row r="989" spans="1:13">
      <c r="A989" s="1">
        <f>HYPERLINK("http://www.twitter.com/NathanBLawrence/status/1000443673119805440", "1000443673119805440")</f>
        <v/>
      </c>
      <c r="B989" s="2" t="n">
        <v>43246.77005787037</v>
      </c>
      <c r="C989" t="n">
        <v>0</v>
      </c>
      <c r="D989" t="n">
        <v>0</v>
      </c>
      <c r="E989" t="s">
        <v>1000</v>
      </c>
      <c r="F989">
        <f>HYPERLINK("http://pbs.twimg.com/media/DeJKNqdVMAAHLBg.jpg", "http://pbs.twimg.com/media/DeJKNqdVMAAHLBg.jpg")</f>
        <v/>
      </c>
      <c r="G989" t="s"/>
      <c r="H989" t="s"/>
      <c r="I989" t="s"/>
      <c r="J989" t="n">
        <v>-0.34</v>
      </c>
      <c r="K989" t="n">
        <v>0.161</v>
      </c>
      <c r="L989" t="n">
        <v>0.747</v>
      </c>
      <c r="M989" t="n">
        <v>0.092</v>
      </c>
    </row>
    <row r="990" spans="1:13">
      <c r="A990" s="1">
        <f>HYPERLINK("http://www.twitter.com/NathanBLawrence/status/1000442542968754177", "1000442542968754177")</f>
        <v/>
      </c>
      <c r="B990" s="2" t="n">
        <v>43246.76694444445</v>
      </c>
      <c r="C990" t="n">
        <v>0</v>
      </c>
      <c r="D990" t="n">
        <v>52</v>
      </c>
      <c r="E990" t="s">
        <v>1001</v>
      </c>
      <c r="F990" t="s"/>
      <c r="G990" t="s"/>
      <c r="H990" t="s"/>
      <c r="I990" t="s"/>
      <c r="J990" t="n">
        <v>0.4939</v>
      </c>
      <c r="K990" t="n">
        <v>0</v>
      </c>
      <c r="L990" t="n">
        <v>0.842</v>
      </c>
      <c r="M990" t="n">
        <v>0.158</v>
      </c>
    </row>
    <row r="991" spans="1:13">
      <c r="A991" s="1">
        <f>HYPERLINK("http://www.twitter.com/NathanBLawrence/status/1000442512035762182", "1000442512035762182")</f>
        <v/>
      </c>
      <c r="B991" s="2" t="n">
        <v>43246.76685185185</v>
      </c>
      <c r="C991" t="n">
        <v>0</v>
      </c>
      <c r="D991" t="n">
        <v>3</v>
      </c>
      <c r="E991" t="s">
        <v>1002</v>
      </c>
      <c r="F991" t="s"/>
      <c r="G991" t="s"/>
      <c r="H991" t="s"/>
      <c r="I991" t="s"/>
      <c r="J991" t="n">
        <v>0</v>
      </c>
      <c r="K991" t="n">
        <v>0</v>
      </c>
      <c r="L991" t="n">
        <v>1</v>
      </c>
      <c r="M991" t="n">
        <v>0</v>
      </c>
    </row>
    <row r="992" spans="1:13">
      <c r="A992" s="1">
        <f>HYPERLINK("http://www.twitter.com/NathanBLawrence/status/1000442338794201088", "1000442338794201088")</f>
        <v/>
      </c>
      <c r="B992" s="2" t="n">
        <v>43246.76637731482</v>
      </c>
      <c r="C992" t="n">
        <v>0</v>
      </c>
      <c r="D992" t="n">
        <v>140</v>
      </c>
      <c r="E992" t="s">
        <v>1003</v>
      </c>
      <c r="F992" t="s"/>
      <c r="G992" t="s"/>
      <c r="H992" t="s"/>
      <c r="I992" t="s"/>
      <c r="J992" t="n">
        <v>0.25</v>
      </c>
      <c r="K992" t="n">
        <v>0.103</v>
      </c>
      <c r="L992" t="n">
        <v>0.728</v>
      </c>
      <c r="M992" t="n">
        <v>0.169</v>
      </c>
    </row>
    <row r="993" spans="1:13">
      <c r="A993" s="1">
        <f>HYPERLINK("http://www.twitter.com/NathanBLawrence/status/1000442265746202625", "1000442265746202625")</f>
        <v/>
      </c>
      <c r="B993" s="2" t="n">
        <v>43246.76618055555</v>
      </c>
      <c r="C993" t="n">
        <v>1</v>
      </c>
      <c r="D993" t="n">
        <v>0</v>
      </c>
      <c r="E993" t="s">
        <v>1004</v>
      </c>
      <c r="F993" t="s"/>
      <c r="G993" t="s"/>
      <c r="H993" t="s"/>
      <c r="I993" t="s"/>
      <c r="J993" t="n">
        <v>-0.7616000000000001</v>
      </c>
      <c r="K993" t="n">
        <v>0.256</v>
      </c>
      <c r="L993" t="n">
        <v>0.744</v>
      </c>
      <c r="M993" t="n">
        <v>0</v>
      </c>
    </row>
    <row r="994" spans="1:13">
      <c r="A994" s="1">
        <f>HYPERLINK("http://www.twitter.com/NathanBLawrence/status/1000441567277207552", "1000441567277207552")</f>
        <v/>
      </c>
      <c r="B994" s="2" t="n">
        <v>43246.76424768518</v>
      </c>
      <c r="C994" t="n">
        <v>0</v>
      </c>
      <c r="D994" t="n">
        <v>12</v>
      </c>
      <c r="E994" t="s">
        <v>1005</v>
      </c>
      <c r="F994">
        <f>HYPERLINK("http://pbs.twimg.com/media/DeI6iE2VAAI4wSQ.jpg", "http://pbs.twimg.com/media/DeI6iE2VAAI4wSQ.jpg")</f>
        <v/>
      </c>
      <c r="G994" t="s"/>
      <c r="H994" t="s"/>
      <c r="I994" t="s"/>
      <c r="J994" t="n">
        <v>0.6597</v>
      </c>
      <c r="K994" t="n">
        <v>0.051</v>
      </c>
      <c r="L994" t="n">
        <v>0.735</v>
      </c>
      <c r="M994" t="n">
        <v>0.213</v>
      </c>
    </row>
    <row r="995" spans="1:13">
      <c r="A995" s="1">
        <f>HYPERLINK("http://www.twitter.com/NathanBLawrence/status/1000441460897042439", "1000441460897042439")</f>
        <v/>
      </c>
      <c r="B995" s="2" t="n">
        <v>43246.76395833334</v>
      </c>
      <c r="C995" t="n">
        <v>0</v>
      </c>
      <c r="D995" t="n">
        <v>137</v>
      </c>
      <c r="E995" t="s">
        <v>1006</v>
      </c>
      <c r="F995">
        <f>HYPERLINK("http://pbs.twimg.com/media/DeINDkzX4AE3_sv.jpg", "http://pbs.twimg.com/media/DeINDkzX4AE3_sv.jpg")</f>
        <v/>
      </c>
      <c r="G995" t="s"/>
      <c r="H995" t="s"/>
      <c r="I995" t="s"/>
      <c r="J995" t="n">
        <v>0.7956</v>
      </c>
      <c r="K995" t="n">
        <v>0</v>
      </c>
      <c r="L995" t="n">
        <v>0.6929999999999999</v>
      </c>
      <c r="M995" t="n">
        <v>0.307</v>
      </c>
    </row>
    <row r="996" spans="1:13">
      <c r="A996" s="1">
        <f>HYPERLINK("http://www.twitter.com/NathanBLawrence/status/1000441424192724992", "1000441424192724992")</f>
        <v/>
      </c>
      <c r="B996" s="2" t="n">
        <v>43246.76385416667</v>
      </c>
      <c r="C996" t="n">
        <v>0</v>
      </c>
      <c r="D996" t="n">
        <v>192</v>
      </c>
      <c r="E996" t="s">
        <v>1007</v>
      </c>
      <c r="F996">
        <f>HYPERLINK("http://pbs.twimg.com/media/DeIjLaBUwAEUPY6.jpg", "http://pbs.twimg.com/media/DeIjLaBUwAEUPY6.jpg")</f>
        <v/>
      </c>
      <c r="G996" t="s"/>
      <c r="H996" t="s"/>
      <c r="I996" t="s"/>
      <c r="J996" t="n">
        <v>0.9231</v>
      </c>
      <c r="K996" t="n">
        <v>0</v>
      </c>
      <c r="L996" t="n">
        <v>0.345</v>
      </c>
      <c r="M996" t="n">
        <v>0.655</v>
      </c>
    </row>
    <row r="997" spans="1:13">
      <c r="A997" s="1">
        <f>HYPERLINK("http://www.twitter.com/NathanBLawrence/status/1000441298871050242", "1000441298871050242")</f>
        <v/>
      </c>
      <c r="B997" s="2" t="n">
        <v>43246.76350694444</v>
      </c>
      <c r="C997" t="n">
        <v>0</v>
      </c>
      <c r="D997" t="n">
        <v>5</v>
      </c>
      <c r="E997" t="s">
        <v>1008</v>
      </c>
      <c r="F997">
        <f>HYPERLINK("http://pbs.twimg.com/media/DeI7jDFU0AAPrsP.jpg", "http://pbs.twimg.com/media/DeI7jDFU0AAPrsP.jpg")</f>
        <v/>
      </c>
      <c r="G997" t="s"/>
      <c r="H997" t="s"/>
      <c r="I997" t="s"/>
      <c r="J997" t="n">
        <v>0</v>
      </c>
      <c r="K997" t="n">
        <v>0</v>
      </c>
      <c r="L997" t="n">
        <v>1</v>
      </c>
      <c r="M997" t="n">
        <v>0</v>
      </c>
    </row>
    <row r="998" spans="1:13">
      <c r="A998" s="1">
        <f>HYPERLINK("http://www.twitter.com/NathanBLawrence/status/1000441159351709696", "1000441159351709696")</f>
        <v/>
      </c>
      <c r="B998" s="2" t="n">
        <v>43246.763125</v>
      </c>
      <c r="C998" t="n">
        <v>0</v>
      </c>
      <c r="D998" t="n">
        <v>2660</v>
      </c>
      <c r="E998" t="s">
        <v>1009</v>
      </c>
      <c r="F998" t="s"/>
      <c r="G998" t="s"/>
      <c r="H998" t="s"/>
      <c r="I998" t="s"/>
      <c r="J998" t="n">
        <v>-0.4767</v>
      </c>
      <c r="K998" t="n">
        <v>0.14</v>
      </c>
      <c r="L998" t="n">
        <v>0.86</v>
      </c>
      <c r="M998" t="n">
        <v>0</v>
      </c>
    </row>
    <row r="999" spans="1:13">
      <c r="A999" s="1">
        <f>HYPERLINK("http://www.twitter.com/NathanBLawrence/status/1000441109821214722", "1000441109821214722")</f>
        <v/>
      </c>
      <c r="B999" s="2" t="n">
        <v>43246.76298611111</v>
      </c>
      <c r="C999" t="n">
        <v>0</v>
      </c>
      <c r="D999" t="n">
        <v>1364</v>
      </c>
      <c r="E999" t="s">
        <v>1010</v>
      </c>
      <c r="F999" t="s"/>
      <c r="G999" t="s"/>
      <c r="H999" t="s"/>
      <c r="I999" t="s"/>
      <c r="J999" t="n">
        <v>-0.1779</v>
      </c>
      <c r="K999" t="n">
        <v>0.082</v>
      </c>
      <c r="L999" t="n">
        <v>0.918</v>
      </c>
      <c r="M999" t="n">
        <v>0</v>
      </c>
    </row>
    <row r="1000" spans="1:13">
      <c r="A1000" s="1">
        <f>HYPERLINK("http://www.twitter.com/NathanBLawrence/status/1000440986080890880", "1000440986080890880")</f>
        <v/>
      </c>
      <c r="B1000" s="2" t="n">
        <v>43246.76265046297</v>
      </c>
      <c r="C1000" t="n">
        <v>0</v>
      </c>
      <c r="D1000" t="n">
        <v>14</v>
      </c>
      <c r="E1000" t="s">
        <v>1011</v>
      </c>
      <c r="F1000" t="s"/>
      <c r="G1000" t="s"/>
      <c r="H1000" t="s"/>
      <c r="I1000" t="s"/>
      <c r="J1000" t="n">
        <v>0.5622</v>
      </c>
      <c r="K1000" t="n">
        <v>0</v>
      </c>
      <c r="L1000" t="n">
        <v>0.734</v>
      </c>
      <c r="M1000" t="n">
        <v>0.266</v>
      </c>
    </row>
    <row r="1001" spans="1:13">
      <c r="A1001" s="1">
        <f>HYPERLINK("http://www.twitter.com/NathanBLawrence/status/1000440520383090688", "1000440520383090688")</f>
        <v/>
      </c>
      <c r="B1001" s="2" t="n">
        <v>43246.76136574074</v>
      </c>
      <c r="C1001" t="n">
        <v>0</v>
      </c>
      <c r="D1001" t="n">
        <v>12</v>
      </c>
      <c r="E1001" t="s">
        <v>1012</v>
      </c>
      <c r="F1001" t="s"/>
      <c r="G1001" t="s"/>
      <c r="H1001" t="s"/>
      <c r="I1001" t="s"/>
      <c r="J1001" t="n">
        <v>0</v>
      </c>
      <c r="K1001" t="n">
        <v>0</v>
      </c>
      <c r="L1001" t="n">
        <v>1</v>
      </c>
      <c r="M1001" t="n">
        <v>0</v>
      </c>
    </row>
    <row r="1002" spans="1:13">
      <c r="A1002" s="1">
        <f>HYPERLINK("http://www.twitter.com/NathanBLawrence/status/1000440420004843520", "1000440420004843520")</f>
        <v/>
      </c>
      <c r="B1002" s="2" t="n">
        <v>43246.76108796296</v>
      </c>
      <c r="C1002" t="n">
        <v>0</v>
      </c>
      <c r="D1002" t="n">
        <v>2</v>
      </c>
      <c r="E1002" t="s">
        <v>1013</v>
      </c>
      <c r="F1002">
        <f>HYPERLINK("http://pbs.twimg.com/media/DeI6r3ZWsAAlH3G.jpg", "http://pbs.twimg.com/media/DeI6r3ZWsAAlH3G.jpg")</f>
        <v/>
      </c>
      <c r="G1002" t="s"/>
      <c r="H1002" t="s"/>
      <c r="I1002" t="s"/>
      <c r="J1002" t="n">
        <v>-0.0258</v>
      </c>
      <c r="K1002" t="n">
        <v>0.176</v>
      </c>
      <c r="L1002" t="n">
        <v>0.694</v>
      </c>
      <c r="M1002" t="n">
        <v>0.131</v>
      </c>
    </row>
    <row r="1003" spans="1:13">
      <c r="A1003" s="1">
        <f>HYPERLINK("http://www.twitter.com/NathanBLawrence/status/1000439796588793856", "1000439796588793856")</f>
        <v/>
      </c>
      <c r="B1003" s="2" t="n">
        <v>43246.75936342592</v>
      </c>
      <c r="C1003" t="n">
        <v>0</v>
      </c>
      <c r="D1003" t="n">
        <v>3</v>
      </c>
      <c r="E1003" t="s">
        <v>1014</v>
      </c>
      <c r="F1003" t="s"/>
      <c r="G1003" t="s"/>
      <c r="H1003" t="s"/>
      <c r="I1003" t="s"/>
      <c r="J1003" t="n">
        <v>0</v>
      </c>
      <c r="K1003" t="n">
        <v>0</v>
      </c>
      <c r="L1003" t="n">
        <v>1</v>
      </c>
      <c r="M1003" t="n">
        <v>0</v>
      </c>
    </row>
    <row r="1004" spans="1:13">
      <c r="A1004" s="1">
        <f>HYPERLINK("http://www.twitter.com/NathanBLawrence/status/1000439739609239552", "1000439739609239552")</f>
        <v/>
      </c>
      <c r="B1004" s="2" t="n">
        <v>43246.75920138889</v>
      </c>
      <c r="C1004" t="n">
        <v>0</v>
      </c>
      <c r="D1004" t="n">
        <v>759</v>
      </c>
      <c r="E1004" t="s">
        <v>1015</v>
      </c>
      <c r="F1004">
        <f>HYPERLINK("https://video.twimg.com/ext_tw_video/1000153253579968512/pu/vid/1280x720/XBDWlSo1aYKHeIOn.mp4?tag=3", "https://video.twimg.com/ext_tw_video/1000153253579968512/pu/vid/1280x720/XBDWlSo1aYKHeIOn.mp4?tag=3")</f>
        <v/>
      </c>
      <c r="G1004" t="s"/>
      <c r="H1004" t="s"/>
      <c r="I1004" t="s"/>
      <c r="J1004" t="n">
        <v>0.4926</v>
      </c>
      <c r="K1004" t="n">
        <v>0</v>
      </c>
      <c r="L1004" t="n">
        <v>0.862</v>
      </c>
      <c r="M1004" t="n">
        <v>0.138</v>
      </c>
    </row>
    <row r="1005" spans="1:13">
      <c r="A1005" s="1">
        <f>HYPERLINK("http://www.twitter.com/NathanBLawrence/status/1000439697578123264", "1000439697578123264")</f>
        <v/>
      </c>
      <c r="B1005" s="2" t="n">
        <v>43246.75908564815</v>
      </c>
      <c r="C1005" t="n">
        <v>0</v>
      </c>
      <c r="D1005" t="n">
        <v>2402</v>
      </c>
      <c r="E1005" t="s">
        <v>1016</v>
      </c>
      <c r="F1005" t="s"/>
      <c r="G1005" t="s"/>
      <c r="H1005" t="s"/>
      <c r="I1005" t="s"/>
      <c r="J1005" t="n">
        <v>-0.5994</v>
      </c>
      <c r="K1005" t="n">
        <v>0.205</v>
      </c>
      <c r="L1005" t="n">
        <v>0.795</v>
      </c>
      <c r="M1005" t="n">
        <v>0</v>
      </c>
    </row>
    <row r="1006" spans="1:13">
      <c r="A1006" s="1">
        <f>HYPERLINK("http://www.twitter.com/NathanBLawrence/status/1000439613364809728", "1000439613364809728")</f>
        <v/>
      </c>
      <c r="B1006" s="2" t="n">
        <v>43246.75885416667</v>
      </c>
      <c r="C1006" t="n">
        <v>0</v>
      </c>
      <c r="D1006" t="n">
        <v>817</v>
      </c>
      <c r="E1006" t="s">
        <v>1017</v>
      </c>
      <c r="F1006" t="s"/>
      <c r="G1006" t="s"/>
      <c r="H1006" t="s"/>
      <c r="I1006" t="s"/>
      <c r="J1006" t="n">
        <v>0.3612</v>
      </c>
      <c r="K1006" t="n">
        <v>0.082</v>
      </c>
      <c r="L1006" t="n">
        <v>0.739</v>
      </c>
      <c r="M1006" t="n">
        <v>0.179</v>
      </c>
    </row>
    <row r="1007" spans="1:13">
      <c r="A1007" s="1">
        <f>HYPERLINK("http://www.twitter.com/NathanBLawrence/status/1000439259256500225", "1000439259256500225")</f>
        <v/>
      </c>
      <c r="B1007" s="2" t="n">
        <v>43246.75788194445</v>
      </c>
      <c r="C1007" t="n">
        <v>0</v>
      </c>
      <c r="D1007" t="n">
        <v>236</v>
      </c>
      <c r="E1007" t="s">
        <v>1018</v>
      </c>
      <c r="F1007">
        <f>HYPERLINK("http://pbs.twimg.com/media/DeIvMLqV4AAGV0a.jpg", "http://pbs.twimg.com/media/DeIvMLqV4AAGV0a.jpg")</f>
        <v/>
      </c>
      <c r="G1007" t="s"/>
      <c r="H1007" t="s"/>
      <c r="I1007" t="s"/>
      <c r="J1007" t="n">
        <v>0.6486</v>
      </c>
      <c r="K1007" t="n">
        <v>0</v>
      </c>
      <c r="L1007" t="n">
        <v>0.806</v>
      </c>
      <c r="M1007" t="n">
        <v>0.194</v>
      </c>
    </row>
    <row r="1008" spans="1:13">
      <c r="A1008" s="1">
        <f>HYPERLINK("http://www.twitter.com/NathanBLawrence/status/1000439017756872704", "1000439017756872704")</f>
        <v/>
      </c>
      <c r="B1008" s="2" t="n">
        <v>43246.75721064815</v>
      </c>
      <c r="C1008" t="n">
        <v>0</v>
      </c>
      <c r="D1008" t="n">
        <v>2</v>
      </c>
      <c r="E1008" t="s">
        <v>1019</v>
      </c>
      <c r="F1008">
        <f>HYPERLINK("http://pbs.twimg.com/media/DeItKjAVMAEHRwK.jpg", "http://pbs.twimg.com/media/DeItKjAVMAEHRwK.jpg")</f>
        <v/>
      </c>
      <c r="G1008" t="s"/>
      <c r="H1008" t="s"/>
      <c r="I1008" t="s"/>
      <c r="J1008" t="n">
        <v>0.7425</v>
      </c>
      <c r="K1008" t="n">
        <v>0</v>
      </c>
      <c r="L1008" t="n">
        <v>0.73</v>
      </c>
      <c r="M1008" t="n">
        <v>0.27</v>
      </c>
    </row>
    <row r="1009" spans="1:13">
      <c r="A1009" s="1">
        <f>HYPERLINK("http://www.twitter.com/NathanBLawrence/status/1000438984437391360", "1000438984437391360")</f>
        <v/>
      </c>
      <c r="B1009" s="2" t="n">
        <v>43246.75711805555</v>
      </c>
      <c r="C1009" t="n">
        <v>0</v>
      </c>
      <c r="D1009" t="n">
        <v>0</v>
      </c>
      <c r="E1009" t="s">
        <v>1020</v>
      </c>
      <c r="F1009" t="s"/>
      <c r="G1009" t="s"/>
      <c r="H1009" t="s"/>
      <c r="I1009" t="s"/>
      <c r="J1009" t="n">
        <v>-0.5837</v>
      </c>
      <c r="K1009" t="n">
        <v>0.146</v>
      </c>
      <c r="L1009" t="n">
        <v>0.801</v>
      </c>
      <c r="M1009" t="n">
        <v>0.053</v>
      </c>
    </row>
    <row r="1010" spans="1:13">
      <c r="A1010" s="1">
        <f>HYPERLINK("http://www.twitter.com/NathanBLawrence/status/1000432216189566977", "1000432216189566977")</f>
        <v/>
      </c>
      <c r="B1010" s="2" t="n">
        <v>43246.73844907407</v>
      </c>
      <c r="C1010" t="n">
        <v>0</v>
      </c>
      <c r="D1010" t="n">
        <v>9</v>
      </c>
      <c r="E1010" t="s">
        <v>1021</v>
      </c>
      <c r="F1010" t="s"/>
      <c r="G1010" t="s"/>
      <c r="H1010" t="s"/>
      <c r="I1010" t="s"/>
      <c r="J1010" t="n">
        <v>-0.7269</v>
      </c>
      <c r="K1010" t="n">
        <v>0.262</v>
      </c>
      <c r="L1010" t="n">
        <v>0.738</v>
      </c>
      <c r="M1010" t="n">
        <v>0</v>
      </c>
    </row>
    <row r="1011" spans="1:13">
      <c r="A1011" s="1">
        <f>HYPERLINK("http://www.twitter.com/NathanBLawrence/status/1000431687787073536", "1000431687787073536")</f>
        <v/>
      </c>
      <c r="B1011" s="2" t="n">
        <v>43246.73699074074</v>
      </c>
      <c r="C1011" t="n">
        <v>0</v>
      </c>
      <c r="D1011" t="n">
        <v>1075</v>
      </c>
      <c r="E1011" t="s">
        <v>1022</v>
      </c>
      <c r="F1011" t="s"/>
      <c r="G1011" t="s"/>
      <c r="H1011" t="s"/>
      <c r="I1011" t="s"/>
      <c r="J1011" t="n">
        <v>0.6899999999999999</v>
      </c>
      <c r="K1011" t="n">
        <v>0.091</v>
      </c>
      <c r="L1011" t="n">
        <v>0.642</v>
      </c>
      <c r="M1011" t="n">
        <v>0.268</v>
      </c>
    </row>
    <row r="1012" spans="1:13">
      <c r="A1012" s="1">
        <f>HYPERLINK("http://www.twitter.com/NathanBLawrence/status/1000431548695445506", "1000431548695445506")</f>
        <v/>
      </c>
      <c r="B1012" s="2" t="n">
        <v>43246.73659722223</v>
      </c>
      <c r="C1012" t="n">
        <v>0</v>
      </c>
      <c r="D1012" t="n">
        <v>3</v>
      </c>
      <c r="E1012" t="s">
        <v>1023</v>
      </c>
      <c r="F1012" t="s"/>
      <c r="G1012" t="s"/>
      <c r="H1012" t="s"/>
      <c r="I1012" t="s"/>
      <c r="J1012" t="n">
        <v>0.5927</v>
      </c>
      <c r="K1012" t="n">
        <v>0</v>
      </c>
      <c r="L1012" t="n">
        <v>0.851</v>
      </c>
      <c r="M1012" t="n">
        <v>0.149</v>
      </c>
    </row>
    <row r="1013" spans="1:13">
      <c r="A1013" s="1">
        <f>HYPERLINK("http://www.twitter.com/NathanBLawrence/status/1000431520681783296", "1000431520681783296")</f>
        <v/>
      </c>
      <c r="B1013" s="2" t="n">
        <v>43246.73652777778</v>
      </c>
      <c r="C1013" t="n">
        <v>0</v>
      </c>
      <c r="D1013" t="n">
        <v>2</v>
      </c>
      <c r="E1013" t="s">
        <v>1024</v>
      </c>
      <c r="F1013" t="s"/>
      <c r="G1013" t="s"/>
      <c r="H1013" t="s"/>
      <c r="I1013" t="s"/>
      <c r="J1013" t="n">
        <v>-0.7845</v>
      </c>
      <c r="K1013" t="n">
        <v>0.257</v>
      </c>
      <c r="L1013" t="n">
        <v>0.743</v>
      </c>
      <c r="M1013" t="n">
        <v>0</v>
      </c>
    </row>
    <row r="1014" spans="1:13">
      <c r="A1014" s="1">
        <f>HYPERLINK("http://www.twitter.com/NathanBLawrence/status/1000431481230151680", "1000431481230151680")</f>
        <v/>
      </c>
      <c r="B1014" s="2" t="n">
        <v>43246.73641203704</v>
      </c>
      <c r="C1014" t="n">
        <v>0</v>
      </c>
      <c r="D1014" t="n">
        <v>1</v>
      </c>
      <c r="E1014" t="s">
        <v>1025</v>
      </c>
      <c r="F1014" t="s"/>
      <c r="G1014" t="s"/>
      <c r="H1014" t="s"/>
      <c r="I1014" t="s"/>
      <c r="J1014" t="n">
        <v>0.1779</v>
      </c>
      <c r="K1014" t="n">
        <v>0</v>
      </c>
      <c r="L1014" t="n">
        <v>0.925</v>
      </c>
      <c r="M1014" t="n">
        <v>0.075</v>
      </c>
    </row>
    <row r="1015" spans="1:13">
      <c r="A1015" s="1">
        <f>HYPERLINK("http://www.twitter.com/NathanBLawrence/status/1000431406554800132", "1000431406554800132")</f>
        <v/>
      </c>
      <c r="B1015" s="2" t="n">
        <v>43246.73621527778</v>
      </c>
      <c r="C1015" t="n">
        <v>0</v>
      </c>
      <c r="D1015" t="n">
        <v>1</v>
      </c>
      <c r="E1015" t="s">
        <v>1026</v>
      </c>
      <c r="F1015" t="s"/>
      <c r="G1015" t="s"/>
      <c r="H1015" t="s"/>
      <c r="I1015" t="s"/>
      <c r="J1015" t="n">
        <v>0</v>
      </c>
      <c r="K1015" t="n">
        <v>0</v>
      </c>
      <c r="L1015" t="n">
        <v>1</v>
      </c>
      <c r="M1015" t="n">
        <v>0</v>
      </c>
    </row>
    <row r="1016" spans="1:13">
      <c r="A1016" s="1">
        <f>HYPERLINK("http://www.twitter.com/NathanBLawrence/status/1000431385088323584", "1000431385088323584")</f>
        <v/>
      </c>
      <c r="B1016" s="2" t="n">
        <v>43246.73614583333</v>
      </c>
      <c r="C1016" t="n">
        <v>0</v>
      </c>
      <c r="D1016" t="n">
        <v>2</v>
      </c>
      <c r="E1016" t="s">
        <v>1027</v>
      </c>
      <c r="F1016" t="s"/>
      <c r="G1016" t="s"/>
      <c r="H1016" t="s"/>
      <c r="I1016" t="s"/>
      <c r="J1016" t="n">
        <v>-0.3182</v>
      </c>
      <c r="K1016" t="n">
        <v>0.15</v>
      </c>
      <c r="L1016" t="n">
        <v>0.85</v>
      </c>
      <c r="M1016" t="n">
        <v>0</v>
      </c>
    </row>
    <row r="1017" spans="1:13">
      <c r="A1017" s="1">
        <f>HYPERLINK("http://www.twitter.com/NathanBLawrence/status/1000431350850179073", "1000431350850179073")</f>
        <v/>
      </c>
      <c r="B1017" s="2" t="n">
        <v>43246.73605324074</v>
      </c>
      <c r="C1017" t="n">
        <v>0</v>
      </c>
      <c r="D1017" t="n">
        <v>3</v>
      </c>
      <c r="E1017" t="s">
        <v>1028</v>
      </c>
      <c r="F1017" t="s"/>
      <c r="G1017" t="s"/>
      <c r="H1017" t="s"/>
      <c r="I1017" t="s"/>
      <c r="J1017" t="n">
        <v>0</v>
      </c>
      <c r="K1017" t="n">
        <v>0</v>
      </c>
      <c r="L1017" t="n">
        <v>1</v>
      </c>
      <c r="M1017" t="n">
        <v>0</v>
      </c>
    </row>
    <row r="1018" spans="1:13">
      <c r="A1018" s="1">
        <f>HYPERLINK("http://www.twitter.com/NathanBLawrence/status/1000431191504359424", "1000431191504359424")</f>
        <v/>
      </c>
      <c r="B1018" s="2" t="n">
        <v>43246.73561342592</v>
      </c>
      <c r="C1018" t="n">
        <v>0</v>
      </c>
      <c r="D1018" t="n">
        <v>4430</v>
      </c>
      <c r="E1018" t="s">
        <v>1029</v>
      </c>
      <c r="F1018" t="s"/>
      <c r="G1018" t="s"/>
      <c r="H1018" t="s"/>
      <c r="I1018" t="s"/>
      <c r="J1018" t="n">
        <v>0.1779</v>
      </c>
      <c r="K1018" t="n">
        <v>0</v>
      </c>
      <c r="L1018" t="n">
        <v>0.914</v>
      </c>
      <c r="M1018" t="n">
        <v>0.08599999999999999</v>
      </c>
    </row>
    <row r="1019" spans="1:13">
      <c r="A1019" s="1">
        <f>HYPERLINK("http://www.twitter.com/NathanBLawrence/status/1000429960593575936", "1000429960593575936")</f>
        <v/>
      </c>
      <c r="B1019" s="2" t="n">
        <v>43246.73222222222</v>
      </c>
      <c r="C1019" t="n">
        <v>0</v>
      </c>
      <c r="D1019" t="n">
        <v>1</v>
      </c>
      <c r="E1019" t="s">
        <v>1030</v>
      </c>
      <c r="F1019" t="s"/>
      <c r="G1019" t="s"/>
      <c r="H1019" t="s"/>
      <c r="I1019" t="s"/>
      <c r="J1019" t="n">
        <v>0.8270999999999999</v>
      </c>
      <c r="K1019" t="n">
        <v>0</v>
      </c>
      <c r="L1019" t="n">
        <v>0.6860000000000001</v>
      </c>
      <c r="M1019" t="n">
        <v>0.314</v>
      </c>
    </row>
    <row r="1020" spans="1:13">
      <c r="A1020" s="1">
        <f>HYPERLINK("http://www.twitter.com/NathanBLawrence/status/1000429707278635008", "1000429707278635008")</f>
        <v/>
      </c>
      <c r="B1020" s="2" t="n">
        <v>43246.7315162037</v>
      </c>
      <c r="C1020" t="n">
        <v>0</v>
      </c>
      <c r="D1020" t="n">
        <v>323</v>
      </c>
      <c r="E1020" t="s">
        <v>1031</v>
      </c>
      <c r="F1020">
        <f>HYPERLINK("http://pbs.twimg.com/media/Dd5PeaxVAAEH__z.jpg", "http://pbs.twimg.com/media/Dd5PeaxVAAEH__z.jpg")</f>
        <v/>
      </c>
      <c r="G1020" t="s"/>
      <c r="H1020" t="s"/>
      <c r="I1020" t="s"/>
      <c r="J1020" t="n">
        <v>0</v>
      </c>
      <c r="K1020" t="n">
        <v>0</v>
      </c>
      <c r="L1020" t="n">
        <v>1</v>
      </c>
      <c r="M1020" t="n">
        <v>0</v>
      </c>
    </row>
    <row r="1021" spans="1:13">
      <c r="A1021" s="1">
        <f>HYPERLINK("http://www.twitter.com/NathanBLawrence/status/1000429447999315969", "1000429447999315969")</f>
        <v/>
      </c>
      <c r="B1021" s="2" t="n">
        <v>43246.73081018519</v>
      </c>
      <c r="C1021" t="n">
        <v>0</v>
      </c>
      <c r="D1021" t="n">
        <v>363</v>
      </c>
      <c r="E1021" t="s">
        <v>1032</v>
      </c>
      <c r="F1021">
        <f>HYPERLINK("http://pbs.twimg.com/media/Dd4-DrpVMAAO6xL.jpg", "http://pbs.twimg.com/media/Dd4-DrpVMAAO6xL.jpg")</f>
        <v/>
      </c>
      <c r="G1021" t="s"/>
      <c r="H1021" t="s"/>
      <c r="I1021" t="s"/>
      <c r="J1021" t="n">
        <v>-0.4767</v>
      </c>
      <c r="K1021" t="n">
        <v>0.129</v>
      </c>
      <c r="L1021" t="n">
        <v>0.871</v>
      </c>
      <c r="M1021" t="n">
        <v>0</v>
      </c>
    </row>
    <row r="1022" spans="1:13">
      <c r="A1022" s="1">
        <f>HYPERLINK("http://www.twitter.com/NathanBLawrence/status/1000429374678753282", "1000429374678753282")</f>
        <v/>
      </c>
      <c r="B1022" s="2" t="n">
        <v>43246.73060185185</v>
      </c>
      <c r="C1022" t="n">
        <v>0</v>
      </c>
      <c r="D1022" t="n">
        <v>324</v>
      </c>
      <c r="E1022" t="s">
        <v>1033</v>
      </c>
      <c r="F1022">
        <f>HYPERLINK("http://pbs.twimg.com/media/Dd2EXKFU0AArepY.jpg", "http://pbs.twimg.com/media/Dd2EXKFU0AArepY.jpg")</f>
        <v/>
      </c>
      <c r="G1022" t="s"/>
      <c r="H1022" t="s"/>
      <c r="I1022" t="s"/>
      <c r="J1022" t="n">
        <v>0</v>
      </c>
      <c r="K1022" t="n">
        <v>0</v>
      </c>
      <c r="L1022" t="n">
        <v>1</v>
      </c>
      <c r="M1022" t="n">
        <v>0</v>
      </c>
    </row>
    <row r="1023" spans="1:13">
      <c r="A1023" s="1">
        <f>HYPERLINK("http://www.twitter.com/NathanBLawrence/status/1000429345041715203", "1000429345041715203")</f>
        <v/>
      </c>
      <c r="B1023" s="2" t="n">
        <v>43246.73052083333</v>
      </c>
      <c r="C1023" t="n">
        <v>0</v>
      </c>
      <c r="D1023" t="n">
        <v>161</v>
      </c>
      <c r="E1023" t="s">
        <v>1034</v>
      </c>
      <c r="F1023" t="s"/>
      <c r="G1023" t="s"/>
      <c r="H1023" t="s"/>
      <c r="I1023" t="s"/>
      <c r="J1023" t="n">
        <v>-0.2411</v>
      </c>
      <c r="K1023" t="n">
        <v>0.073</v>
      </c>
      <c r="L1023" t="n">
        <v>0.927</v>
      </c>
      <c r="M1023" t="n">
        <v>0</v>
      </c>
    </row>
    <row r="1024" spans="1:13">
      <c r="A1024" s="1">
        <f>HYPERLINK("http://www.twitter.com/NathanBLawrence/status/1000429302603796480", "1000429302603796480")</f>
        <v/>
      </c>
      <c r="B1024" s="2" t="n">
        <v>43246.7304050926</v>
      </c>
      <c r="C1024" t="n">
        <v>0</v>
      </c>
      <c r="D1024" t="n">
        <v>112</v>
      </c>
      <c r="E1024" t="s">
        <v>1035</v>
      </c>
      <c r="F1024" t="s"/>
      <c r="G1024" t="s"/>
      <c r="H1024" t="s"/>
      <c r="I1024" t="s"/>
      <c r="J1024" t="n">
        <v>0</v>
      </c>
      <c r="K1024" t="n">
        <v>0</v>
      </c>
      <c r="L1024" t="n">
        <v>1</v>
      </c>
      <c r="M1024" t="n">
        <v>0</v>
      </c>
    </row>
    <row r="1025" spans="1:13">
      <c r="A1025" s="1">
        <f>HYPERLINK("http://www.twitter.com/NathanBLawrence/status/1000429197259673600", "1000429197259673600")</f>
        <v/>
      </c>
      <c r="B1025" s="2" t="n">
        <v>43246.73011574074</v>
      </c>
      <c r="C1025" t="n">
        <v>0</v>
      </c>
      <c r="D1025" t="n">
        <v>92</v>
      </c>
      <c r="E1025" t="s">
        <v>1036</v>
      </c>
      <c r="F1025" t="s"/>
      <c r="G1025" t="s"/>
      <c r="H1025" t="s"/>
      <c r="I1025" t="s"/>
      <c r="J1025" t="n">
        <v>0.2382</v>
      </c>
      <c r="K1025" t="n">
        <v>0</v>
      </c>
      <c r="L1025" t="n">
        <v>0.928</v>
      </c>
      <c r="M1025" t="n">
        <v>0.07199999999999999</v>
      </c>
    </row>
    <row r="1026" spans="1:13">
      <c r="A1026" s="1">
        <f>HYPERLINK("http://www.twitter.com/NathanBLawrence/status/1000429103764393984", "1000429103764393984")</f>
        <v/>
      </c>
      <c r="B1026" s="2" t="n">
        <v>43246.72986111111</v>
      </c>
      <c r="C1026" t="n">
        <v>0</v>
      </c>
      <c r="D1026" t="n">
        <v>94</v>
      </c>
      <c r="E1026" t="s">
        <v>1037</v>
      </c>
      <c r="F1026" t="s"/>
      <c r="G1026" t="s"/>
      <c r="H1026" t="s"/>
      <c r="I1026" t="s"/>
      <c r="J1026" t="n">
        <v>0.8126</v>
      </c>
      <c r="K1026" t="n">
        <v>0</v>
      </c>
      <c r="L1026" t="n">
        <v>0.701</v>
      </c>
      <c r="M1026" t="n">
        <v>0.299</v>
      </c>
    </row>
    <row r="1027" spans="1:13">
      <c r="A1027" s="1">
        <f>HYPERLINK("http://www.twitter.com/NathanBLawrence/status/1000429078468550656", "1000429078468550656")</f>
        <v/>
      </c>
      <c r="B1027" s="2" t="n">
        <v>43246.72979166666</v>
      </c>
      <c r="C1027" t="n">
        <v>0</v>
      </c>
      <c r="D1027" t="n">
        <v>93</v>
      </c>
      <c r="E1027" t="s">
        <v>1038</v>
      </c>
      <c r="F1027" t="s"/>
      <c r="G1027" t="s"/>
      <c r="H1027" t="s"/>
      <c r="I1027" t="s"/>
      <c r="J1027" t="n">
        <v>-0.4973</v>
      </c>
      <c r="K1027" t="n">
        <v>0.199</v>
      </c>
      <c r="L1027" t="n">
        <v>0.801</v>
      </c>
      <c r="M1027" t="n">
        <v>0</v>
      </c>
    </row>
    <row r="1028" spans="1:13">
      <c r="A1028" s="1">
        <f>HYPERLINK("http://www.twitter.com/NathanBLawrence/status/1000428957030932480", "1000428957030932480")</f>
        <v/>
      </c>
      <c r="B1028" s="2" t="n">
        <v>43246.72945601852</v>
      </c>
      <c r="C1028" t="n">
        <v>0</v>
      </c>
      <c r="D1028" t="n">
        <v>174</v>
      </c>
      <c r="E1028" t="s">
        <v>1039</v>
      </c>
      <c r="F1028">
        <f>HYPERLINK("http://pbs.twimg.com/media/Dd13FTpV4AAioo6.jpg", "http://pbs.twimg.com/media/Dd13FTpV4AAioo6.jpg")</f>
        <v/>
      </c>
      <c r="G1028" t="s"/>
      <c r="H1028" t="s"/>
      <c r="I1028" t="s"/>
      <c r="J1028" t="n">
        <v>0.4939</v>
      </c>
      <c r="K1028" t="n">
        <v>0</v>
      </c>
      <c r="L1028" t="n">
        <v>0.6860000000000001</v>
      </c>
      <c r="M1028" t="n">
        <v>0.314</v>
      </c>
    </row>
    <row r="1029" spans="1:13">
      <c r="A1029" s="1">
        <f>HYPERLINK("http://www.twitter.com/NathanBLawrence/status/1000428875976003584", "1000428875976003584")</f>
        <v/>
      </c>
      <c r="B1029" s="2" t="n">
        <v>43246.72922453703</v>
      </c>
      <c r="C1029" t="n">
        <v>0</v>
      </c>
      <c r="D1029" t="n">
        <v>124</v>
      </c>
      <c r="E1029" t="s">
        <v>1040</v>
      </c>
      <c r="F1029">
        <f>HYPERLINK("http://pbs.twimg.com/media/Dd129j7VwAAvdwU.jpg", "http://pbs.twimg.com/media/Dd129j7VwAAvdwU.jpg")</f>
        <v/>
      </c>
      <c r="G1029" t="s"/>
      <c r="H1029" t="s"/>
      <c r="I1029" t="s"/>
      <c r="J1029" t="n">
        <v>0</v>
      </c>
      <c r="K1029" t="n">
        <v>0</v>
      </c>
      <c r="L1029" t="n">
        <v>1</v>
      </c>
      <c r="M1029" t="n">
        <v>0</v>
      </c>
    </row>
    <row r="1030" spans="1:13">
      <c r="A1030" s="1">
        <f>HYPERLINK("http://www.twitter.com/NathanBLawrence/status/1000428689757233153", "1000428689757233153")</f>
        <v/>
      </c>
      <c r="B1030" s="2" t="n">
        <v>43246.72871527778</v>
      </c>
      <c r="C1030" t="n">
        <v>0</v>
      </c>
      <c r="D1030" t="n">
        <v>90</v>
      </c>
      <c r="E1030" t="s">
        <v>1041</v>
      </c>
      <c r="F1030">
        <f>HYPERLINK("http://pbs.twimg.com/media/Dd11TPaUwAEmy1G.jpg", "http://pbs.twimg.com/media/Dd11TPaUwAEmy1G.jpg")</f>
        <v/>
      </c>
      <c r="G1030" t="s"/>
      <c r="H1030" t="s"/>
      <c r="I1030" t="s"/>
      <c r="J1030" t="n">
        <v>0.3182</v>
      </c>
      <c r="K1030" t="n">
        <v>0</v>
      </c>
      <c r="L1030" t="n">
        <v>0.859</v>
      </c>
      <c r="M1030" t="n">
        <v>0.141</v>
      </c>
    </row>
    <row r="1031" spans="1:13">
      <c r="A1031" s="1">
        <f>HYPERLINK("http://www.twitter.com/NathanBLawrence/status/1000428632291135488", "1000428632291135488")</f>
        <v/>
      </c>
      <c r="B1031" s="2" t="n">
        <v>43246.72855324074</v>
      </c>
      <c r="C1031" t="n">
        <v>0</v>
      </c>
      <c r="D1031" t="n">
        <v>119</v>
      </c>
      <c r="E1031" t="s">
        <v>1042</v>
      </c>
      <c r="F1031">
        <f>HYPERLINK("http://pbs.twimg.com/media/Dd10LaZVQAAvbGn.jpg", "http://pbs.twimg.com/media/Dd10LaZVQAAvbGn.jpg")</f>
        <v/>
      </c>
      <c r="G1031" t="s"/>
      <c r="H1031" t="s"/>
      <c r="I1031" t="s"/>
      <c r="J1031" t="n">
        <v>0</v>
      </c>
      <c r="K1031" t="n">
        <v>0</v>
      </c>
      <c r="L1031" t="n">
        <v>1</v>
      </c>
      <c r="M1031" t="n">
        <v>0</v>
      </c>
    </row>
    <row r="1032" spans="1:13">
      <c r="A1032" s="1">
        <f>HYPERLINK("http://www.twitter.com/NathanBLawrence/status/1000428361456521216", "1000428361456521216")</f>
        <v/>
      </c>
      <c r="B1032" s="2" t="n">
        <v>43246.7278125</v>
      </c>
      <c r="C1032" t="n">
        <v>0</v>
      </c>
      <c r="D1032" t="n">
        <v>93</v>
      </c>
      <c r="E1032" t="s">
        <v>1043</v>
      </c>
      <c r="F1032">
        <f>HYPERLINK("http://pbs.twimg.com/media/Dd1wc4GUQAAvLUv.jpg", "http://pbs.twimg.com/media/Dd1wc4GUQAAvLUv.jpg")</f>
        <v/>
      </c>
      <c r="G1032" t="s"/>
      <c r="H1032" t="s"/>
      <c r="I1032" t="s"/>
      <c r="J1032" t="n">
        <v>-0.4404</v>
      </c>
      <c r="K1032" t="n">
        <v>0.108</v>
      </c>
      <c r="L1032" t="n">
        <v>0.892</v>
      </c>
      <c r="M1032" t="n">
        <v>0</v>
      </c>
    </row>
    <row r="1033" spans="1:13">
      <c r="A1033" s="1">
        <f>HYPERLINK("http://www.twitter.com/NathanBLawrence/status/1000428176793780224", "1000428176793780224")</f>
        <v/>
      </c>
      <c r="B1033" s="2" t="n">
        <v>43246.72730324074</v>
      </c>
      <c r="C1033" t="n">
        <v>0</v>
      </c>
      <c r="D1033" t="n">
        <v>68</v>
      </c>
      <c r="E1033" t="s">
        <v>1044</v>
      </c>
      <c r="F1033">
        <f>HYPERLINK("http://pbs.twimg.com/media/Dd1uSWOVAAAoAyr.jpg", "http://pbs.twimg.com/media/Dd1uSWOVAAAoAyr.jpg")</f>
        <v/>
      </c>
      <c r="G1033" t="s"/>
      <c r="H1033" t="s"/>
      <c r="I1033" t="s"/>
      <c r="J1033" t="n">
        <v>0</v>
      </c>
      <c r="K1033" t="n">
        <v>0</v>
      </c>
      <c r="L1033" t="n">
        <v>1</v>
      </c>
      <c r="M1033" t="n">
        <v>0</v>
      </c>
    </row>
    <row r="1034" spans="1:13">
      <c r="A1034" s="1">
        <f>HYPERLINK("http://www.twitter.com/NathanBLawrence/status/1000428051648471042", "1000428051648471042")</f>
        <v/>
      </c>
      <c r="B1034" s="2" t="n">
        <v>43246.72695601852</v>
      </c>
      <c r="C1034" t="n">
        <v>0</v>
      </c>
      <c r="D1034" t="n">
        <v>139</v>
      </c>
      <c r="E1034" t="s">
        <v>1045</v>
      </c>
      <c r="F1034">
        <f>HYPERLINK("http://pbs.twimg.com/media/Dd15NxMVwAEt2I8.jpg", "http://pbs.twimg.com/media/Dd15NxMVwAEt2I8.jpg")</f>
        <v/>
      </c>
      <c r="G1034" t="s"/>
      <c r="H1034" t="s"/>
      <c r="I1034" t="s"/>
      <c r="J1034" t="n">
        <v>0.4404</v>
      </c>
      <c r="K1034" t="n">
        <v>0</v>
      </c>
      <c r="L1034" t="n">
        <v>0.861</v>
      </c>
      <c r="M1034" t="n">
        <v>0.139</v>
      </c>
    </row>
    <row r="1035" spans="1:13">
      <c r="A1035" s="1">
        <f>HYPERLINK("http://www.twitter.com/NathanBLawrence/status/1000428015631953920", "1000428015631953920")</f>
        <v/>
      </c>
      <c r="B1035" s="2" t="n">
        <v>43246.72685185185</v>
      </c>
      <c r="C1035" t="n">
        <v>0</v>
      </c>
      <c r="D1035" t="n">
        <v>114</v>
      </c>
      <c r="E1035" t="s">
        <v>1046</v>
      </c>
      <c r="F1035" t="s"/>
      <c r="G1035" t="s"/>
      <c r="H1035" t="s"/>
      <c r="I1035" t="s"/>
      <c r="J1035" t="n">
        <v>0</v>
      </c>
      <c r="K1035" t="n">
        <v>0</v>
      </c>
      <c r="L1035" t="n">
        <v>1</v>
      </c>
      <c r="M1035" t="n">
        <v>0</v>
      </c>
    </row>
    <row r="1036" spans="1:13">
      <c r="A1036" s="1">
        <f>HYPERLINK("http://www.twitter.com/NathanBLawrence/status/1000427949651382272", "1000427949651382272")</f>
        <v/>
      </c>
      <c r="B1036" s="2" t="n">
        <v>43246.72666666667</v>
      </c>
      <c r="C1036" t="n">
        <v>0</v>
      </c>
      <c r="D1036" t="n">
        <v>146</v>
      </c>
      <c r="E1036" t="s">
        <v>1047</v>
      </c>
      <c r="F1036">
        <f>HYPERLINK("http://pbs.twimg.com/media/Dd1lWmRV0AcXE1g.jpg", "http://pbs.twimg.com/media/Dd1lWmRV0AcXE1g.jpg")</f>
        <v/>
      </c>
      <c r="G1036" t="s"/>
      <c r="H1036" t="s"/>
      <c r="I1036" t="s"/>
      <c r="J1036" t="n">
        <v>0</v>
      </c>
      <c r="K1036" t="n">
        <v>0</v>
      </c>
      <c r="L1036" t="n">
        <v>1</v>
      </c>
      <c r="M1036" t="n">
        <v>0</v>
      </c>
    </row>
    <row r="1037" spans="1:13">
      <c r="A1037" s="1">
        <f>HYPERLINK("http://www.twitter.com/NathanBLawrence/status/1000427795024109569", "1000427795024109569")</f>
        <v/>
      </c>
      <c r="B1037" s="2" t="n">
        <v>43246.72625</v>
      </c>
      <c r="C1037" t="n">
        <v>0</v>
      </c>
      <c r="D1037" t="n">
        <v>94</v>
      </c>
      <c r="E1037" t="s">
        <v>1048</v>
      </c>
      <c r="F1037" t="s"/>
      <c r="G1037" t="s"/>
      <c r="H1037" t="s"/>
      <c r="I1037" t="s"/>
      <c r="J1037" t="n">
        <v>0.296</v>
      </c>
      <c r="K1037" t="n">
        <v>0</v>
      </c>
      <c r="L1037" t="n">
        <v>0.913</v>
      </c>
      <c r="M1037" t="n">
        <v>0.08699999999999999</v>
      </c>
    </row>
    <row r="1038" spans="1:13">
      <c r="A1038" s="1">
        <f>HYPERLINK("http://www.twitter.com/NathanBLawrence/status/1000427697485598724", "1000427697485598724")</f>
        <v/>
      </c>
      <c r="B1038" s="2" t="n">
        <v>43246.72597222222</v>
      </c>
      <c r="C1038" t="n">
        <v>0</v>
      </c>
      <c r="D1038" t="n">
        <v>100</v>
      </c>
      <c r="E1038" t="s">
        <v>1049</v>
      </c>
      <c r="F1038">
        <f>HYPERLINK("http://pbs.twimg.com/media/Dd1WuBMV0AAB8jW.jpg", "http://pbs.twimg.com/media/Dd1WuBMV0AAB8jW.jpg")</f>
        <v/>
      </c>
      <c r="G1038" t="s"/>
      <c r="H1038" t="s"/>
      <c r="I1038" t="s"/>
      <c r="J1038" t="n">
        <v>0</v>
      </c>
      <c r="K1038" t="n">
        <v>0</v>
      </c>
      <c r="L1038" t="n">
        <v>1</v>
      </c>
      <c r="M1038" t="n">
        <v>0</v>
      </c>
    </row>
    <row r="1039" spans="1:13">
      <c r="A1039" s="1">
        <f>HYPERLINK("http://www.twitter.com/NathanBLawrence/status/1000427369977479171", "1000427369977479171")</f>
        <v/>
      </c>
      <c r="B1039" s="2" t="n">
        <v>43246.72506944444</v>
      </c>
      <c r="C1039" t="n">
        <v>0</v>
      </c>
      <c r="D1039" t="n">
        <v>156</v>
      </c>
      <c r="E1039" t="s">
        <v>1050</v>
      </c>
      <c r="F1039">
        <f>HYPERLINK("http://pbs.twimg.com/media/Ddz01lXU8AAgBit.jpg", "http://pbs.twimg.com/media/Ddz01lXU8AAgBit.jpg")</f>
        <v/>
      </c>
      <c r="G1039" t="s"/>
      <c r="H1039" t="s"/>
      <c r="I1039" t="s"/>
      <c r="J1039" t="n">
        <v>0</v>
      </c>
      <c r="K1039" t="n">
        <v>0</v>
      </c>
      <c r="L1039" t="n">
        <v>1</v>
      </c>
      <c r="M1039" t="n">
        <v>0</v>
      </c>
    </row>
    <row r="1040" spans="1:13">
      <c r="A1040" s="1">
        <f>HYPERLINK("http://www.twitter.com/NathanBLawrence/status/1000414415781617665", "1000414415781617665")</f>
        <v/>
      </c>
      <c r="B1040" s="2" t="n">
        <v>43246.6893287037</v>
      </c>
      <c r="C1040" t="n">
        <v>0</v>
      </c>
      <c r="D1040" t="n">
        <v>171</v>
      </c>
      <c r="E1040" t="s">
        <v>1051</v>
      </c>
      <c r="F1040">
        <f>HYPERLINK("http://pbs.twimg.com/media/Dd13Lc_V0AAdn25.jpg", "http://pbs.twimg.com/media/Dd13Lc_V0AAdn25.jpg")</f>
        <v/>
      </c>
      <c r="G1040" t="s"/>
      <c r="H1040" t="s"/>
      <c r="I1040" t="s"/>
      <c r="J1040" t="n">
        <v>-0.5106000000000001</v>
      </c>
      <c r="K1040" t="n">
        <v>0.171</v>
      </c>
      <c r="L1040" t="n">
        <v>0.829</v>
      </c>
      <c r="M1040" t="n">
        <v>0</v>
      </c>
    </row>
    <row r="1041" spans="1:13">
      <c r="A1041" s="1">
        <f>HYPERLINK("http://www.twitter.com/NathanBLawrence/status/1000413713109790722", "1000413713109790722")</f>
        <v/>
      </c>
      <c r="B1041" s="2" t="n">
        <v>43246.68738425926</v>
      </c>
      <c r="C1041" t="n">
        <v>0</v>
      </c>
      <c r="D1041" t="n">
        <v>212</v>
      </c>
      <c r="E1041" t="s">
        <v>1052</v>
      </c>
      <c r="F1041">
        <f>HYPERLINK("http://pbs.twimg.com/media/Dd13Zx8VMAAsH_k.jpg", "http://pbs.twimg.com/media/Dd13Zx8VMAAsH_k.jpg")</f>
        <v/>
      </c>
      <c r="G1041" t="s"/>
      <c r="H1041" t="s"/>
      <c r="I1041" t="s"/>
      <c r="J1041" t="n">
        <v>-0.0772</v>
      </c>
      <c r="K1041" t="n">
        <v>0.13</v>
      </c>
      <c r="L1041" t="n">
        <v>0.711</v>
      </c>
      <c r="M1041" t="n">
        <v>0.158</v>
      </c>
    </row>
    <row r="1042" spans="1:13">
      <c r="A1042" s="1">
        <f>HYPERLINK("http://www.twitter.com/NathanBLawrence/status/1000413625054527488", "1000413625054527488")</f>
        <v/>
      </c>
      <c r="B1042" s="2" t="n">
        <v>43246.68714120371</v>
      </c>
      <c r="C1042" t="n">
        <v>0</v>
      </c>
      <c r="D1042" t="n">
        <v>1024</v>
      </c>
      <c r="E1042" t="s">
        <v>1053</v>
      </c>
      <c r="F1042" t="s"/>
      <c r="G1042" t="s"/>
      <c r="H1042" t="s"/>
      <c r="I1042" t="s"/>
      <c r="J1042" t="n">
        <v>0.0772</v>
      </c>
      <c r="K1042" t="n">
        <v>0</v>
      </c>
      <c r="L1042" t="n">
        <v>0.885</v>
      </c>
      <c r="M1042" t="n">
        <v>0.115</v>
      </c>
    </row>
    <row r="1043" spans="1:13">
      <c r="A1043" s="1">
        <f>HYPERLINK("http://www.twitter.com/NathanBLawrence/status/1000413610089308161", "1000413610089308161")</f>
        <v/>
      </c>
      <c r="B1043" s="2" t="n">
        <v>43246.68710648148</v>
      </c>
      <c r="C1043" t="n">
        <v>0</v>
      </c>
      <c r="D1043" t="n">
        <v>34144</v>
      </c>
      <c r="E1043" t="s">
        <v>1054</v>
      </c>
      <c r="F1043" t="s"/>
      <c r="G1043" t="s"/>
      <c r="H1043" t="s"/>
      <c r="I1043" t="s"/>
      <c r="J1043" t="n">
        <v>-0.5266999999999999</v>
      </c>
      <c r="K1043" t="n">
        <v>0.134</v>
      </c>
      <c r="L1043" t="n">
        <v>0.866</v>
      </c>
      <c r="M1043" t="n">
        <v>0</v>
      </c>
    </row>
    <row r="1044" spans="1:13">
      <c r="A1044" s="1">
        <f>HYPERLINK("http://www.twitter.com/NathanBLawrence/status/1000413547506040832", "1000413547506040832")</f>
        <v/>
      </c>
      <c r="B1044" s="2" t="n">
        <v>43246.68693287037</v>
      </c>
      <c r="C1044" t="n">
        <v>0</v>
      </c>
      <c r="D1044" t="n">
        <v>847</v>
      </c>
      <c r="E1044" t="s">
        <v>1055</v>
      </c>
      <c r="F1044" t="s"/>
      <c r="G1044" t="s"/>
      <c r="H1044" t="s"/>
      <c r="I1044" t="s"/>
      <c r="J1044" t="n">
        <v>-0.6841</v>
      </c>
      <c r="K1044" t="n">
        <v>0.279</v>
      </c>
      <c r="L1044" t="n">
        <v>0.628</v>
      </c>
      <c r="M1044" t="n">
        <v>0.093</v>
      </c>
    </row>
    <row r="1045" spans="1:13">
      <c r="A1045" s="1">
        <f>HYPERLINK("http://www.twitter.com/NathanBLawrence/status/1000413259940458496", "1000413259940458496")</f>
        <v/>
      </c>
      <c r="B1045" s="2" t="n">
        <v>43246.68613425926</v>
      </c>
      <c r="C1045" t="n">
        <v>0</v>
      </c>
      <c r="D1045" t="n">
        <v>1662</v>
      </c>
      <c r="E1045" t="s">
        <v>1056</v>
      </c>
      <c r="F1045" t="s"/>
      <c r="G1045" t="s"/>
      <c r="H1045" t="s"/>
      <c r="I1045" t="s"/>
      <c r="J1045" t="n">
        <v>-0.9463</v>
      </c>
      <c r="K1045" t="n">
        <v>0.4</v>
      </c>
      <c r="L1045" t="n">
        <v>0.6</v>
      </c>
      <c r="M1045" t="n">
        <v>0</v>
      </c>
    </row>
    <row r="1046" spans="1:13">
      <c r="A1046" s="1">
        <f>HYPERLINK("http://www.twitter.com/NathanBLawrence/status/1000411743624007682", "1000411743624007682")</f>
        <v/>
      </c>
      <c r="B1046" s="2" t="n">
        <v>43246.68195601852</v>
      </c>
      <c r="C1046" t="n">
        <v>0</v>
      </c>
      <c r="D1046" t="n">
        <v>0</v>
      </c>
      <c r="E1046" t="s">
        <v>1057</v>
      </c>
      <c r="F1046" t="s"/>
      <c r="G1046" t="s"/>
      <c r="H1046" t="s"/>
      <c r="I1046" t="s"/>
      <c r="J1046" t="n">
        <v>0</v>
      </c>
      <c r="K1046" t="n">
        <v>0</v>
      </c>
      <c r="L1046" t="n">
        <v>1</v>
      </c>
      <c r="M1046" t="n">
        <v>0</v>
      </c>
    </row>
    <row r="1047" spans="1:13">
      <c r="A1047" s="1">
        <f>HYPERLINK("http://www.twitter.com/NathanBLawrence/status/1000411272188432384", "1000411272188432384")</f>
        <v/>
      </c>
      <c r="B1047" s="2" t="n">
        <v>43246.68064814815</v>
      </c>
      <c r="C1047" t="n">
        <v>0</v>
      </c>
      <c r="D1047" t="n">
        <v>8</v>
      </c>
      <c r="E1047" t="s">
        <v>1058</v>
      </c>
      <c r="F1047" t="s"/>
      <c r="G1047" t="s"/>
      <c r="H1047" t="s"/>
      <c r="I1047" t="s"/>
      <c r="J1047" t="n">
        <v>0.5023</v>
      </c>
      <c r="K1047" t="n">
        <v>0</v>
      </c>
      <c r="L1047" t="n">
        <v>0.885</v>
      </c>
      <c r="M1047" t="n">
        <v>0.115</v>
      </c>
    </row>
    <row r="1048" spans="1:13">
      <c r="A1048" s="1">
        <f>HYPERLINK("http://www.twitter.com/NathanBLawrence/status/1000407838978605056", "1000407838978605056")</f>
        <v/>
      </c>
      <c r="B1048" s="2" t="n">
        <v>43246.67118055555</v>
      </c>
      <c r="C1048" t="n">
        <v>0</v>
      </c>
      <c r="D1048" t="n">
        <v>281</v>
      </c>
      <c r="E1048" t="s">
        <v>1059</v>
      </c>
      <c r="F1048" t="s"/>
      <c r="G1048" t="s"/>
      <c r="H1048" t="s"/>
      <c r="I1048" t="s"/>
      <c r="J1048" t="n">
        <v>0.8074</v>
      </c>
      <c r="K1048" t="n">
        <v>0</v>
      </c>
      <c r="L1048" t="n">
        <v>0.578</v>
      </c>
      <c r="M1048" t="n">
        <v>0.422</v>
      </c>
    </row>
    <row r="1049" spans="1:13">
      <c r="A1049" s="1">
        <f>HYPERLINK("http://www.twitter.com/NathanBLawrence/status/1000406896593993728", "1000406896593993728")</f>
        <v/>
      </c>
      <c r="B1049" s="2" t="n">
        <v>43246.66857638889</v>
      </c>
      <c r="C1049" t="n">
        <v>0</v>
      </c>
      <c r="D1049" t="n">
        <v>1063</v>
      </c>
      <c r="E1049" t="s">
        <v>1060</v>
      </c>
      <c r="F1049" t="s"/>
      <c r="G1049" t="s"/>
      <c r="H1049" t="s"/>
      <c r="I1049" t="s"/>
      <c r="J1049" t="n">
        <v>-0.34</v>
      </c>
      <c r="K1049" t="n">
        <v>0.228</v>
      </c>
      <c r="L1049" t="n">
        <v>0.647</v>
      </c>
      <c r="M1049" t="n">
        <v>0.125</v>
      </c>
    </row>
    <row r="1050" spans="1:13">
      <c r="A1050" s="1">
        <f>HYPERLINK("http://www.twitter.com/NathanBLawrence/status/1000406801454653443", "1000406801454653443")</f>
        <v/>
      </c>
      <c r="B1050" s="2" t="n">
        <v>43246.66831018519</v>
      </c>
      <c r="C1050" t="n">
        <v>0</v>
      </c>
      <c r="D1050" t="n">
        <v>29</v>
      </c>
      <c r="E1050" t="s">
        <v>1061</v>
      </c>
      <c r="F1050" t="s"/>
      <c r="G1050" t="s"/>
      <c r="H1050" t="s"/>
      <c r="I1050" t="s"/>
      <c r="J1050" t="n">
        <v>0.8439</v>
      </c>
      <c r="K1050" t="n">
        <v>0</v>
      </c>
      <c r="L1050" t="n">
        <v>0.497</v>
      </c>
      <c r="M1050" t="n">
        <v>0.503</v>
      </c>
    </row>
    <row r="1051" spans="1:13">
      <c r="A1051" s="1">
        <f>HYPERLINK("http://www.twitter.com/NathanBLawrence/status/1000406670051299328", "1000406670051299328")</f>
        <v/>
      </c>
      <c r="B1051" s="2" t="n">
        <v>43246.66795138889</v>
      </c>
      <c r="C1051" t="n">
        <v>7</v>
      </c>
      <c r="D1051" t="n">
        <v>5</v>
      </c>
      <c r="E1051" t="s">
        <v>1062</v>
      </c>
      <c r="F1051">
        <f>HYPERLINK("http://pbs.twimg.com/media/DeIojkUUwAEqE4a.jpg", "http://pbs.twimg.com/media/DeIojkUUwAEqE4a.jpg")</f>
        <v/>
      </c>
      <c r="G1051" t="s"/>
      <c r="H1051" t="s"/>
      <c r="I1051" t="s"/>
      <c r="J1051" t="n">
        <v>-0.5106000000000001</v>
      </c>
      <c r="K1051" t="n">
        <v>0.161</v>
      </c>
      <c r="L1051" t="n">
        <v>0.758</v>
      </c>
      <c r="M1051" t="n">
        <v>0.081</v>
      </c>
    </row>
    <row r="1052" spans="1:13">
      <c r="A1052" s="1">
        <f>HYPERLINK("http://www.twitter.com/NathanBLawrence/status/1000405615120920581", "1000405615120920581")</f>
        <v/>
      </c>
      <c r="B1052" s="2" t="n">
        <v>43246.66503472222</v>
      </c>
      <c r="C1052" t="n">
        <v>0</v>
      </c>
      <c r="D1052" t="n">
        <v>12</v>
      </c>
      <c r="E1052" t="s">
        <v>1063</v>
      </c>
      <c r="F1052" t="s"/>
      <c r="G1052" t="s"/>
      <c r="H1052" t="s"/>
      <c r="I1052" t="s"/>
      <c r="J1052" t="n">
        <v>0.4019</v>
      </c>
      <c r="K1052" t="n">
        <v>0.141</v>
      </c>
      <c r="L1052" t="n">
        <v>0.5649999999999999</v>
      </c>
      <c r="M1052" t="n">
        <v>0.294</v>
      </c>
    </row>
    <row r="1053" spans="1:13">
      <c r="A1053" s="1">
        <f>HYPERLINK("http://www.twitter.com/NathanBLawrence/status/1000405594560450560", "1000405594560450560")</f>
        <v/>
      </c>
      <c r="B1053" s="2" t="n">
        <v>43246.66498842592</v>
      </c>
      <c r="C1053" t="n">
        <v>0</v>
      </c>
      <c r="D1053" t="n">
        <v>4</v>
      </c>
      <c r="E1053" t="s">
        <v>1064</v>
      </c>
      <c r="F1053" t="s"/>
      <c r="G1053" t="s"/>
      <c r="H1053" t="s"/>
      <c r="I1053" t="s"/>
      <c r="J1053" t="n">
        <v>-0.8658</v>
      </c>
      <c r="K1053" t="n">
        <v>0.383</v>
      </c>
      <c r="L1053" t="n">
        <v>0.617</v>
      </c>
      <c r="M1053" t="n">
        <v>0</v>
      </c>
    </row>
    <row r="1054" spans="1:13">
      <c r="A1054" s="1">
        <f>HYPERLINK("http://www.twitter.com/NathanBLawrence/status/1000405527166377984", "1000405527166377984")</f>
        <v/>
      </c>
      <c r="B1054" s="2" t="n">
        <v>43246.66479166667</v>
      </c>
      <c r="C1054" t="n">
        <v>0</v>
      </c>
      <c r="D1054" t="n">
        <v>23797</v>
      </c>
      <c r="E1054" t="s">
        <v>1065</v>
      </c>
      <c r="F1054" t="s"/>
      <c r="G1054" t="s"/>
      <c r="H1054" t="s"/>
      <c r="I1054" t="s"/>
      <c r="J1054" t="n">
        <v>0.4404</v>
      </c>
      <c r="K1054" t="n">
        <v>0</v>
      </c>
      <c r="L1054" t="n">
        <v>0.888</v>
      </c>
      <c r="M1054" t="n">
        <v>0.112</v>
      </c>
    </row>
    <row r="1055" spans="1:13">
      <c r="A1055" s="1">
        <f>HYPERLINK("http://www.twitter.com/NathanBLawrence/status/1000405379338076160", "1000405379338076160")</f>
        <v/>
      </c>
      <c r="B1055" s="2" t="n">
        <v>43246.66438657408</v>
      </c>
      <c r="C1055" t="n">
        <v>0</v>
      </c>
      <c r="D1055" t="n">
        <v>22159</v>
      </c>
      <c r="E1055" t="s">
        <v>1066</v>
      </c>
      <c r="F1055" t="s"/>
      <c r="G1055" t="s"/>
      <c r="H1055" t="s"/>
      <c r="I1055" t="s"/>
      <c r="J1055" t="n">
        <v>0.9298999999999999</v>
      </c>
      <c r="K1055" t="n">
        <v>0</v>
      </c>
      <c r="L1055" t="n">
        <v>0.579</v>
      </c>
      <c r="M1055" t="n">
        <v>0.421</v>
      </c>
    </row>
    <row r="1056" spans="1:13">
      <c r="A1056" s="1">
        <f>HYPERLINK("http://www.twitter.com/NathanBLawrence/status/1000401051328147457", "1000401051328147457")</f>
        <v/>
      </c>
      <c r="B1056" s="2" t="n">
        <v>43246.65244212963</v>
      </c>
      <c r="C1056" t="n">
        <v>2</v>
      </c>
      <c r="D1056" t="n">
        <v>1</v>
      </c>
      <c r="E1056" t="s">
        <v>1067</v>
      </c>
      <c r="F1056" t="s"/>
      <c r="G1056" t="s"/>
      <c r="H1056" t="s"/>
      <c r="I1056" t="s"/>
      <c r="J1056" t="n">
        <v>0</v>
      </c>
      <c r="K1056" t="n">
        <v>0</v>
      </c>
      <c r="L1056" t="n">
        <v>1</v>
      </c>
      <c r="M1056" t="n">
        <v>0</v>
      </c>
    </row>
    <row r="1057" spans="1:13">
      <c r="A1057" s="1">
        <f>HYPERLINK("http://www.twitter.com/NathanBLawrence/status/1000399957206208514", "1000399957206208514")</f>
        <v/>
      </c>
      <c r="B1057" s="2" t="n">
        <v>43246.64942129629</v>
      </c>
      <c r="C1057" t="n">
        <v>0</v>
      </c>
      <c r="D1057" t="n">
        <v>0</v>
      </c>
      <c r="E1057" t="s">
        <v>1068</v>
      </c>
      <c r="F1057" t="s"/>
      <c r="G1057" t="s"/>
      <c r="H1057" t="s"/>
      <c r="I1057" t="s"/>
      <c r="J1057" t="n">
        <v>0.5106000000000001</v>
      </c>
      <c r="K1057" t="n">
        <v>0</v>
      </c>
      <c r="L1057" t="n">
        <v>0.858</v>
      </c>
      <c r="M1057" t="n">
        <v>0.142</v>
      </c>
    </row>
    <row r="1058" spans="1:13">
      <c r="A1058" s="1">
        <f>HYPERLINK("http://www.twitter.com/NathanBLawrence/status/1000396416152424449", "1000396416152424449")</f>
        <v/>
      </c>
      <c r="B1058" s="2" t="n">
        <v>43246.63965277778</v>
      </c>
      <c r="C1058" t="n">
        <v>0</v>
      </c>
      <c r="D1058" t="n">
        <v>0</v>
      </c>
      <c r="E1058" t="s">
        <v>1069</v>
      </c>
      <c r="F1058" t="s"/>
      <c r="G1058" t="s"/>
      <c r="H1058" t="s"/>
      <c r="I1058" t="s"/>
      <c r="J1058" t="n">
        <v>-0.6705</v>
      </c>
      <c r="K1058" t="n">
        <v>0.177</v>
      </c>
      <c r="L1058" t="n">
        <v>0.729</v>
      </c>
      <c r="M1058" t="n">
        <v>0.095</v>
      </c>
    </row>
    <row r="1059" spans="1:13">
      <c r="A1059" s="1">
        <f>HYPERLINK("http://www.twitter.com/NathanBLawrence/status/1000394908635721733", "1000394908635721733")</f>
        <v/>
      </c>
      <c r="B1059" s="2" t="n">
        <v>43246.63549768519</v>
      </c>
      <c r="C1059" t="n">
        <v>0</v>
      </c>
      <c r="D1059" t="n">
        <v>0</v>
      </c>
      <c r="E1059" t="s">
        <v>1070</v>
      </c>
      <c r="F1059" t="s"/>
      <c r="G1059" t="s"/>
      <c r="H1059" t="s"/>
      <c r="I1059" t="s"/>
      <c r="J1059" t="n">
        <v>-0.25</v>
      </c>
      <c r="K1059" t="n">
        <v>0.094</v>
      </c>
      <c r="L1059" t="n">
        <v>0.837</v>
      </c>
      <c r="M1059" t="n">
        <v>0.06900000000000001</v>
      </c>
    </row>
    <row r="1060" spans="1:13">
      <c r="A1060" s="1">
        <f>HYPERLINK("http://www.twitter.com/NathanBLawrence/status/1000394264533139457", "1000394264533139457")</f>
        <v/>
      </c>
      <c r="B1060" s="2" t="n">
        <v>43246.63371527778</v>
      </c>
      <c r="C1060" t="n">
        <v>0</v>
      </c>
      <c r="D1060" t="n">
        <v>0</v>
      </c>
      <c r="E1060" t="s">
        <v>1071</v>
      </c>
      <c r="F1060" t="s"/>
      <c r="G1060" t="s"/>
      <c r="H1060" t="s"/>
      <c r="I1060" t="s"/>
      <c r="J1060" t="n">
        <v>0</v>
      </c>
      <c r="K1060" t="n">
        <v>0</v>
      </c>
      <c r="L1060" t="n">
        <v>1</v>
      </c>
      <c r="M1060" t="n">
        <v>0</v>
      </c>
    </row>
    <row r="1061" spans="1:13">
      <c r="A1061" s="1">
        <f>HYPERLINK("http://www.twitter.com/NathanBLawrence/status/1000392425372835846", "1000392425372835846")</f>
        <v/>
      </c>
      <c r="B1061" s="2" t="n">
        <v>43246.62864583333</v>
      </c>
      <c r="C1061" t="n">
        <v>0</v>
      </c>
      <c r="D1061" t="n">
        <v>40</v>
      </c>
      <c r="E1061" t="s">
        <v>1072</v>
      </c>
      <c r="F1061" t="s"/>
      <c r="G1061" t="s"/>
      <c r="H1061" t="s"/>
      <c r="I1061" t="s"/>
      <c r="J1061" t="n">
        <v>0.0258</v>
      </c>
      <c r="K1061" t="n">
        <v>0</v>
      </c>
      <c r="L1061" t="n">
        <v>0.927</v>
      </c>
      <c r="M1061" t="n">
        <v>0.073</v>
      </c>
    </row>
    <row r="1062" spans="1:13">
      <c r="A1062" s="1">
        <f>HYPERLINK("http://www.twitter.com/NathanBLawrence/status/1000392261815988226", "1000392261815988226")</f>
        <v/>
      </c>
      <c r="B1062" s="2" t="n">
        <v>43246.62819444444</v>
      </c>
      <c r="C1062" t="n">
        <v>0</v>
      </c>
      <c r="D1062" t="n">
        <v>7</v>
      </c>
      <c r="E1062" t="s">
        <v>1073</v>
      </c>
      <c r="F1062" t="s"/>
      <c r="G1062" t="s"/>
      <c r="H1062" t="s"/>
      <c r="I1062" t="s"/>
      <c r="J1062" t="n">
        <v>0.4215</v>
      </c>
      <c r="K1062" t="n">
        <v>0</v>
      </c>
      <c r="L1062" t="n">
        <v>0.859</v>
      </c>
      <c r="M1062" t="n">
        <v>0.141</v>
      </c>
    </row>
    <row r="1063" spans="1:13">
      <c r="A1063" s="1">
        <f>HYPERLINK("http://www.twitter.com/NathanBLawrence/status/1000392176747065345", "1000392176747065345")</f>
        <v/>
      </c>
      <c r="B1063" s="2" t="n">
        <v>43246.62795138889</v>
      </c>
      <c r="C1063" t="n">
        <v>0</v>
      </c>
      <c r="D1063" t="n">
        <v>1</v>
      </c>
      <c r="E1063" t="s">
        <v>1074</v>
      </c>
      <c r="F1063" t="s"/>
      <c r="G1063" t="s"/>
      <c r="H1063" t="s"/>
      <c r="I1063" t="s"/>
      <c r="J1063" t="n">
        <v>0.5393</v>
      </c>
      <c r="K1063" t="n">
        <v>0.128</v>
      </c>
      <c r="L1063" t="n">
        <v>0.5649999999999999</v>
      </c>
      <c r="M1063" t="n">
        <v>0.307</v>
      </c>
    </row>
    <row r="1064" spans="1:13">
      <c r="A1064" s="1">
        <f>HYPERLINK("http://www.twitter.com/NathanBLawrence/status/1000392155339345926", "1000392155339345926")</f>
        <v/>
      </c>
      <c r="B1064" s="2" t="n">
        <v>43246.62789351852</v>
      </c>
      <c r="C1064" t="n">
        <v>0</v>
      </c>
      <c r="D1064" t="n">
        <v>1</v>
      </c>
      <c r="E1064" t="s">
        <v>1075</v>
      </c>
      <c r="F1064" t="s"/>
      <c r="G1064" t="s"/>
      <c r="H1064" t="s"/>
      <c r="I1064" t="s"/>
      <c r="J1064" t="n">
        <v>0.5994</v>
      </c>
      <c r="K1064" t="n">
        <v>0</v>
      </c>
      <c r="L1064" t="n">
        <v>0.822</v>
      </c>
      <c r="M1064" t="n">
        <v>0.178</v>
      </c>
    </row>
    <row r="1065" spans="1:13">
      <c r="A1065" s="1">
        <f>HYPERLINK("http://www.twitter.com/NathanBLawrence/status/1000391836970733568", "1000391836970733568")</f>
        <v/>
      </c>
      <c r="B1065" s="2" t="n">
        <v>43246.62701388889</v>
      </c>
      <c r="C1065" t="n">
        <v>0</v>
      </c>
      <c r="D1065" t="n">
        <v>24</v>
      </c>
      <c r="E1065" t="s">
        <v>1076</v>
      </c>
      <c r="F1065" t="s"/>
      <c r="G1065" t="s"/>
      <c r="H1065" t="s"/>
      <c r="I1065" t="s"/>
      <c r="J1065" t="n">
        <v>0.3612</v>
      </c>
      <c r="K1065" t="n">
        <v>0</v>
      </c>
      <c r="L1065" t="n">
        <v>0.878</v>
      </c>
      <c r="M1065" t="n">
        <v>0.122</v>
      </c>
    </row>
    <row r="1066" spans="1:13">
      <c r="A1066" s="1">
        <f>HYPERLINK("http://www.twitter.com/NathanBLawrence/status/1000391723967795202", "1000391723967795202")</f>
        <v/>
      </c>
      <c r="B1066" s="2" t="n">
        <v>43246.62671296296</v>
      </c>
      <c r="C1066" t="n">
        <v>0</v>
      </c>
      <c r="D1066" t="n">
        <v>1</v>
      </c>
      <c r="E1066" t="s">
        <v>1077</v>
      </c>
      <c r="F1066" t="s"/>
      <c r="G1066" t="s"/>
      <c r="H1066" t="s"/>
      <c r="I1066" t="s"/>
      <c r="J1066" t="n">
        <v>0</v>
      </c>
      <c r="K1066" t="n">
        <v>0</v>
      </c>
      <c r="L1066" t="n">
        <v>1</v>
      </c>
      <c r="M1066" t="n">
        <v>0</v>
      </c>
    </row>
    <row r="1067" spans="1:13">
      <c r="A1067" s="1">
        <f>HYPERLINK("http://www.twitter.com/NathanBLawrence/status/1000391672482664448", "1000391672482664448")</f>
        <v/>
      </c>
      <c r="B1067" s="2" t="n">
        <v>43246.6265625</v>
      </c>
      <c r="C1067" t="n">
        <v>0</v>
      </c>
      <c r="D1067" t="n">
        <v>4441</v>
      </c>
      <c r="E1067" t="s">
        <v>1078</v>
      </c>
      <c r="F1067" t="s"/>
      <c r="G1067" t="s"/>
      <c r="H1067" t="s"/>
      <c r="I1067" t="s"/>
      <c r="J1067" t="n">
        <v>0.9114</v>
      </c>
      <c r="K1067" t="n">
        <v>0</v>
      </c>
      <c r="L1067" t="n">
        <v>0.5639999999999999</v>
      </c>
      <c r="M1067" t="n">
        <v>0.436</v>
      </c>
    </row>
    <row r="1068" spans="1:13">
      <c r="A1068" s="1">
        <f>HYPERLINK("http://www.twitter.com/NathanBLawrence/status/1000391301169377280", "1000391301169377280")</f>
        <v/>
      </c>
      <c r="B1068" s="2" t="n">
        <v>43246.62554398148</v>
      </c>
      <c r="C1068" t="n">
        <v>0</v>
      </c>
      <c r="D1068" t="n">
        <v>2495</v>
      </c>
      <c r="E1068" t="s">
        <v>1079</v>
      </c>
      <c r="F1068" t="s"/>
      <c r="G1068" t="s"/>
      <c r="H1068" t="s"/>
      <c r="I1068" t="s"/>
      <c r="J1068" t="n">
        <v>0.8625</v>
      </c>
      <c r="K1068" t="n">
        <v>0</v>
      </c>
      <c r="L1068" t="n">
        <v>0.654</v>
      </c>
      <c r="M1068" t="n">
        <v>0.346</v>
      </c>
    </row>
    <row r="1069" spans="1:13">
      <c r="A1069" s="1">
        <f>HYPERLINK("http://www.twitter.com/NathanBLawrence/status/1000391280185233413", "1000391280185233413")</f>
        <v/>
      </c>
      <c r="B1069" s="2" t="n">
        <v>43246.62548611111</v>
      </c>
      <c r="C1069" t="n">
        <v>0</v>
      </c>
      <c r="D1069" t="n">
        <v>3</v>
      </c>
      <c r="E1069" t="s">
        <v>1080</v>
      </c>
      <c r="F1069" t="s"/>
      <c r="G1069" t="s"/>
      <c r="H1069" t="s"/>
      <c r="I1069" t="s"/>
      <c r="J1069" t="n">
        <v>0</v>
      </c>
      <c r="K1069" t="n">
        <v>0</v>
      </c>
      <c r="L1069" t="n">
        <v>1</v>
      </c>
      <c r="M1069" t="n">
        <v>0</v>
      </c>
    </row>
    <row r="1070" spans="1:13">
      <c r="A1070" s="1">
        <f>HYPERLINK("http://www.twitter.com/NathanBLawrence/status/1000391203077132288", "1000391203077132288")</f>
        <v/>
      </c>
      <c r="B1070" s="2" t="n">
        <v>43246.6252662037</v>
      </c>
      <c r="C1070" t="n">
        <v>0</v>
      </c>
      <c r="D1070" t="n">
        <v>2498</v>
      </c>
      <c r="E1070" t="s">
        <v>1081</v>
      </c>
      <c r="F1070" t="s"/>
      <c r="G1070" t="s"/>
      <c r="H1070" t="s"/>
      <c r="I1070" t="s"/>
      <c r="J1070" t="n">
        <v>-0.8804999999999999</v>
      </c>
      <c r="K1070" t="n">
        <v>0.315</v>
      </c>
      <c r="L1070" t="n">
        <v>0.6850000000000001</v>
      </c>
      <c r="M1070" t="n">
        <v>0</v>
      </c>
    </row>
    <row r="1071" spans="1:13">
      <c r="A1071" s="1">
        <f>HYPERLINK("http://www.twitter.com/NathanBLawrence/status/1000391017445507072", "1000391017445507072")</f>
        <v/>
      </c>
      <c r="B1071" s="2" t="n">
        <v>43246.62475694445</v>
      </c>
      <c r="C1071" t="n">
        <v>7</v>
      </c>
      <c r="D1071" t="n">
        <v>3</v>
      </c>
      <c r="E1071" t="s">
        <v>1082</v>
      </c>
      <c r="F1071">
        <f>HYPERLINK("http://pbs.twimg.com/media/DeIaUwXVAAEcOTZ.jpg", "http://pbs.twimg.com/media/DeIaUwXVAAEcOTZ.jpg")</f>
        <v/>
      </c>
      <c r="G1071" t="s"/>
      <c r="H1071" t="s"/>
      <c r="I1071" t="s"/>
      <c r="J1071" t="n">
        <v>0.1446</v>
      </c>
      <c r="K1071" t="n">
        <v>0.07099999999999999</v>
      </c>
      <c r="L1071" t="n">
        <v>0.8159999999999999</v>
      </c>
      <c r="M1071" t="n">
        <v>0.113</v>
      </c>
    </row>
    <row r="1072" spans="1:13">
      <c r="A1072" s="1">
        <f>HYPERLINK("http://www.twitter.com/NathanBLawrence/status/1000389894223605760", "1000389894223605760")</f>
        <v/>
      </c>
      <c r="B1072" s="2" t="n">
        <v>43246.62165509259</v>
      </c>
      <c r="C1072" t="n">
        <v>0</v>
      </c>
      <c r="D1072" t="n">
        <v>202</v>
      </c>
      <c r="E1072" t="s">
        <v>1083</v>
      </c>
      <c r="F1072" t="s"/>
      <c r="G1072" t="s"/>
      <c r="H1072" t="s"/>
      <c r="I1072" t="s"/>
      <c r="J1072" t="n">
        <v>0.7184</v>
      </c>
      <c r="K1072" t="n">
        <v>0</v>
      </c>
      <c r="L1072" t="n">
        <v>0.741</v>
      </c>
      <c r="M1072" t="n">
        <v>0.259</v>
      </c>
    </row>
    <row r="1073" spans="1:13">
      <c r="A1073" s="1">
        <f>HYPERLINK("http://www.twitter.com/NathanBLawrence/status/1000389842956640257", "1000389842956640257")</f>
        <v/>
      </c>
      <c r="B1073" s="2" t="n">
        <v>43246.6215162037</v>
      </c>
      <c r="C1073" t="n">
        <v>0</v>
      </c>
      <c r="D1073" t="n">
        <v>20261</v>
      </c>
      <c r="E1073" t="s">
        <v>123</v>
      </c>
      <c r="F1073" t="s"/>
      <c r="G1073" t="s"/>
      <c r="H1073" t="s"/>
      <c r="I1073" t="s"/>
      <c r="J1073" t="n">
        <v>0</v>
      </c>
      <c r="K1073" t="n">
        <v>0</v>
      </c>
      <c r="L1073" t="n">
        <v>1</v>
      </c>
      <c r="M1073" t="n">
        <v>0</v>
      </c>
    </row>
    <row r="1074" spans="1:13">
      <c r="A1074" s="1">
        <f>HYPERLINK("http://www.twitter.com/NathanBLawrence/status/1000389496498741248", "1000389496498741248")</f>
        <v/>
      </c>
      <c r="B1074" s="2" t="n">
        <v>43246.62055555556</v>
      </c>
      <c r="C1074" t="n">
        <v>0</v>
      </c>
      <c r="D1074" t="n">
        <v>0</v>
      </c>
      <c r="E1074" t="s">
        <v>1084</v>
      </c>
      <c r="F1074" t="s"/>
      <c r="G1074" t="s"/>
      <c r="H1074" t="s"/>
      <c r="I1074" t="s"/>
      <c r="J1074" t="n">
        <v>0</v>
      </c>
      <c r="K1074" t="n">
        <v>0</v>
      </c>
      <c r="L1074" t="n">
        <v>1</v>
      </c>
      <c r="M1074" t="n">
        <v>0</v>
      </c>
    </row>
    <row r="1075" spans="1:13">
      <c r="A1075" s="1">
        <f>HYPERLINK("http://www.twitter.com/NathanBLawrence/status/1000389215245537281", "1000389215245537281")</f>
        <v/>
      </c>
      <c r="B1075" s="2" t="n">
        <v>43246.61978009259</v>
      </c>
      <c r="C1075" t="n">
        <v>0</v>
      </c>
      <c r="D1075" t="n">
        <v>247</v>
      </c>
      <c r="E1075" t="s">
        <v>1085</v>
      </c>
      <c r="F1075">
        <f>HYPERLINK("http://pbs.twimg.com/media/DeC2wdpW4AADSRN.jpg", "http://pbs.twimg.com/media/DeC2wdpW4AADSRN.jpg")</f>
        <v/>
      </c>
      <c r="G1075" t="s"/>
      <c r="H1075" t="s"/>
      <c r="I1075" t="s"/>
      <c r="J1075" t="n">
        <v>0.0752</v>
      </c>
      <c r="K1075" t="n">
        <v>0.187</v>
      </c>
      <c r="L1075" t="n">
        <v>0.681</v>
      </c>
      <c r="M1075" t="n">
        <v>0.132</v>
      </c>
    </row>
    <row r="1076" spans="1:13">
      <c r="A1076" s="1">
        <f>HYPERLINK("http://www.twitter.com/NathanBLawrence/status/1000389165517889536", "1000389165517889536")</f>
        <v/>
      </c>
      <c r="B1076" s="2" t="n">
        <v>43246.61965277778</v>
      </c>
      <c r="C1076" t="n">
        <v>0</v>
      </c>
      <c r="D1076" t="n">
        <v>5824</v>
      </c>
      <c r="E1076" t="s">
        <v>1086</v>
      </c>
      <c r="F1076">
        <f>HYPERLINK("https://video.twimg.com/ext_tw_video/979192307776872449/pu/vid/640x360/_4O3BcvZEh0QpBhz.mp4", "https://video.twimg.com/ext_tw_video/979192307776872449/pu/vid/640x360/_4O3BcvZEh0QpBhz.mp4")</f>
        <v/>
      </c>
      <c r="G1076" t="s"/>
      <c r="H1076" t="s"/>
      <c r="I1076" t="s"/>
      <c r="J1076" t="n">
        <v>0</v>
      </c>
      <c r="K1076" t="n">
        <v>0</v>
      </c>
      <c r="L1076" t="n">
        <v>1</v>
      </c>
      <c r="M1076" t="n">
        <v>0</v>
      </c>
    </row>
    <row r="1077" spans="1:13">
      <c r="A1077" s="1">
        <f>HYPERLINK("http://www.twitter.com/NathanBLawrence/status/1000389112988348417", "1000389112988348417")</f>
        <v/>
      </c>
      <c r="B1077" s="2" t="n">
        <v>43246.61950231482</v>
      </c>
      <c r="C1077" t="n">
        <v>0</v>
      </c>
      <c r="D1077" t="n">
        <v>272</v>
      </c>
      <c r="E1077" t="s">
        <v>1087</v>
      </c>
      <c r="F1077">
        <f>HYPERLINK("http://pbs.twimg.com/media/DbWU-2_U0AAOoM-.jpg", "http://pbs.twimg.com/media/DbWU-2_U0AAOoM-.jpg")</f>
        <v/>
      </c>
      <c r="G1077" t="s"/>
      <c r="H1077" t="s"/>
      <c r="I1077" t="s"/>
      <c r="J1077" t="n">
        <v>-0.2732</v>
      </c>
      <c r="K1077" t="n">
        <v>0.08699999999999999</v>
      </c>
      <c r="L1077" t="n">
        <v>0.913</v>
      </c>
      <c r="M1077" t="n">
        <v>0</v>
      </c>
    </row>
    <row r="1078" spans="1:13">
      <c r="A1078" s="1">
        <f>HYPERLINK("http://www.twitter.com/NathanBLawrence/status/1000389047225933824", "1000389047225933824")</f>
        <v/>
      </c>
      <c r="B1078" s="2" t="n">
        <v>43246.61931712963</v>
      </c>
      <c r="C1078" t="n">
        <v>0</v>
      </c>
      <c r="D1078" t="n">
        <v>0</v>
      </c>
      <c r="E1078" t="s">
        <v>1088</v>
      </c>
      <c r="F1078" t="s"/>
      <c r="G1078" t="s"/>
      <c r="H1078" t="s"/>
      <c r="I1078" t="s"/>
      <c r="J1078" t="n">
        <v>-0.9497</v>
      </c>
      <c r="K1078" t="n">
        <v>0.38</v>
      </c>
      <c r="L1078" t="n">
        <v>0.62</v>
      </c>
      <c r="M1078" t="n">
        <v>0</v>
      </c>
    </row>
    <row r="1079" spans="1:13">
      <c r="A1079" s="1">
        <f>HYPERLINK("http://www.twitter.com/NathanBLawrence/status/1000387949878489088", "1000387949878489088")</f>
        <v/>
      </c>
      <c r="B1079" s="2" t="n">
        <v>43246.6162962963</v>
      </c>
      <c r="C1079" t="n">
        <v>0</v>
      </c>
      <c r="D1079" t="n">
        <v>21679</v>
      </c>
      <c r="E1079" t="s">
        <v>1089</v>
      </c>
      <c r="F1079" t="s"/>
      <c r="G1079" t="s"/>
      <c r="H1079" t="s"/>
      <c r="I1079" t="s"/>
      <c r="J1079" t="n">
        <v>0</v>
      </c>
      <c r="K1079" t="n">
        <v>0</v>
      </c>
      <c r="L1079" t="n">
        <v>1</v>
      </c>
      <c r="M1079" t="n">
        <v>0</v>
      </c>
    </row>
    <row r="1080" spans="1:13">
      <c r="A1080" s="1">
        <f>HYPERLINK("http://www.twitter.com/NathanBLawrence/status/1000310003083939840", "1000310003083939840")</f>
        <v/>
      </c>
      <c r="B1080" s="2" t="n">
        <v>43246.4012037037</v>
      </c>
      <c r="C1080" t="n">
        <v>0</v>
      </c>
      <c r="D1080" t="n">
        <v>6</v>
      </c>
      <c r="E1080" t="s">
        <v>1090</v>
      </c>
      <c r="F1080" t="s"/>
      <c r="G1080" t="s"/>
      <c r="H1080" t="s"/>
      <c r="I1080" t="s"/>
      <c r="J1080" t="n">
        <v>-0.7783</v>
      </c>
      <c r="K1080" t="n">
        <v>0.257</v>
      </c>
      <c r="L1080" t="n">
        <v>0.659</v>
      </c>
      <c r="M1080" t="n">
        <v>0.08400000000000001</v>
      </c>
    </row>
    <row r="1081" spans="1:13">
      <c r="A1081" s="1">
        <f>HYPERLINK("http://www.twitter.com/NathanBLawrence/status/1000309896645050368", "1000309896645050368")</f>
        <v/>
      </c>
      <c r="B1081" s="2" t="n">
        <v>43246.40090277778</v>
      </c>
      <c r="C1081" t="n">
        <v>0</v>
      </c>
      <c r="D1081" t="n">
        <v>2</v>
      </c>
      <c r="E1081" t="s">
        <v>1091</v>
      </c>
      <c r="F1081" t="s"/>
      <c r="G1081" t="s"/>
      <c r="H1081" t="s"/>
      <c r="I1081" t="s"/>
      <c r="J1081" t="n">
        <v>-0.1779</v>
      </c>
      <c r="K1081" t="n">
        <v>0.155</v>
      </c>
      <c r="L1081" t="n">
        <v>0.725</v>
      </c>
      <c r="M1081" t="n">
        <v>0.121</v>
      </c>
    </row>
    <row r="1082" spans="1:13">
      <c r="A1082" s="1">
        <f>HYPERLINK("http://www.twitter.com/NathanBLawrence/status/1000309573767581698", "1000309573767581698")</f>
        <v/>
      </c>
      <c r="B1082" s="2" t="n">
        <v>43246.40001157407</v>
      </c>
      <c r="C1082" t="n">
        <v>0</v>
      </c>
      <c r="D1082" t="n">
        <v>287</v>
      </c>
      <c r="E1082" t="s">
        <v>1092</v>
      </c>
      <c r="F1082" t="s"/>
      <c r="G1082" t="s"/>
      <c r="H1082" t="s"/>
      <c r="I1082" t="s"/>
      <c r="J1082" t="n">
        <v>-0.1779</v>
      </c>
      <c r="K1082" t="n">
        <v>0.078</v>
      </c>
      <c r="L1082" t="n">
        <v>0.922</v>
      </c>
      <c r="M1082" t="n">
        <v>0</v>
      </c>
    </row>
    <row r="1083" spans="1:13">
      <c r="A1083" s="1">
        <f>HYPERLINK("http://www.twitter.com/NathanBLawrence/status/1000309538896207873", "1000309538896207873")</f>
        <v/>
      </c>
      <c r="B1083" s="2" t="n">
        <v>43246.39991898148</v>
      </c>
      <c r="C1083" t="n">
        <v>0</v>
      </c>
      <c r="D1083" t="n">
        <v>29</v>
      </c>
      <c r="E1083" t="s">
        <v>1093</v>
      </c>
      <c r="F1083" t="s"/>
      <c r="G1083" t="s"/>
      <c r="H1083" t="s"/>
      <c r="I1083" t="s"/>
      <c r="J1083" t="n">
        <v>0.2771</v>
      </c>
      <c r="K1083" t="n">
        <v>0.115</v>
      </c>
      <c r="L1083" t="n">
        <v>0.717</v>
      </c>
      <c r="M1083" t="n">
        <v>0.168</v>
      </c>
    </row>
    <row r="1084" spans="1:13">
      <c r="A1084" s="1">
        <f>HYPERLINK("http://www.twitter.com/NathanBLawrence/status/1000309419895349248", "1000309419895349248")</f>
        <v/>
      </c>
      <c r="B1084" s="2" t="n">
        <v>43246.39959490741</v>
      </c>
      <c r="C1084" t="n">
        <v>0</v>
      </c>
      <c r="D1084" t="n">
        <v>12</v>
      </c>
      <c r="E1084" t="s">
        <v>1094</v>
      </c>
      <c r="F1084">
        <f>HYPERLINK("https://video.twimg.com/ext_tw_video/1000299137571606530/pu/vid/1280x720/YqgwIa9ym0mmn3Al.mp4?tag=3", "https://video.twimg.com/ext_tw_video/1000299137571606530/pu/vid/1280x720/YqgwIa9ym0mmn3Al.mp4?tag=3")</f>
        <v/>
      </c>
      <c r="G1084" t="s"/>
      <c r="H1084" t="s"/>
      <c r="I1084" t="s"/>
      <c r="J1084" t="n">
        <v>0</v>
      </c>
      <c r="K1084" t="n">
        <v>0</v>
      </c>
      <c r="L1084" t="n">
        <v>1</v>
      </c>
      <c r="M1084" t="n">
        <v>0</v>
      </c>
    </row>
    <row r="1085" spans="1:13">
      <c r="A1085" s="1">
        <f>HYPERLINK("http://www.twitter.com/NathanBLawrence/status/1000304398965399552", "1000304398965399552")</f>
        <v/>
      </c>
      <c r="B1085" s="2" t="n">
        <v>43246.38574074074</v>
      </c>
      <c r="C1085" t="n">
        <v>0</v>
      </c>
      <c r="D1085" t="n">
        <v>127</v>
      </c>
      <c r="E1085" t="s">
        <v>1095</v>
      </c>
      <c r="F1085" t="s"/>
      <c r="G1085" t="s"/>
      <c r="H1085" t="s"/>
      <c r="I1085" t="s"/>
      <c r="J1085" t="n">
        <v>0</v>
      </c>
      <c r="K1085" t="n">
        <v>0</v>
      </c>
      <c r="L1085" t="n">
        <v>1</v>
      </c>
      <c r="M1085" t="n">
        <v>0</v>
      </c>
    </row>
    <row r="1086" spans="1:13">
      <c r="A1086" s="1">
        <f>HYPERLINK("http://www.twitter.com/NathanBLawrence/status/1000303608926277632", "1000303608926277632")</f>
        <v/>
      </c>
      <c r="B1086" s="2" t="n">
        <v>43246.38355324074</v>
      </c>
      <c r="C1086" t="n">
        <v>0</v>
      </c>
      <c r="D1086" t="n">
        <v>553</v>
      </c>
      <c r="E1086" t="s">
        <v>1096</v>
      </c>
      <c r="F1086" t="s"/>
      <c r="G1086" t="s"/>
      <c r="H1086" t="s"/>
      <c r="I1086" t="s"/>
      <c r="J1086" t="n">
        <v>0.6948</v>
      </c>
      <c r="K1086" t="n">
        <v>0</v>
      </c>
      <c r="L1086" t="n">
        <v>0.841</v>
      </c>
      <c r="M1086" t="n">
        <v>0.159</v>
      </c>
    </row>
    <row r="1087" spans="1:13">
      <c r="A1087" s="1">
        <f>HYPERLINK("http://www.twitter.com/NathanBLawrence/status/1000302067993534465", "1000302067993534465")</f>
        <v/>
      </c>
      <c r="B1087" s="2" t="n">
        <v>43246.37930555556</v>
      </c>
      <c r="C1087" t="n">
        <v>0</v>
      </c>
      <c r="D1087" t="n">
        <v>285</v>
      </c>
      <c r="E1087" t="s">
        <v>1097</v>
      </c>
      <c r="F1087" t="s"/>
      <c r="G1087" t="s"/>
      <c r="H1087" t="s"/>
      <c r="I1087" t="s"/>
      <c r="J1087" t="n">
        <v>-0.3818</v>
      </c>
      <c r="K1087" t="n">
        <v>0.157</v>
      </c>
      <c r="L1087" t="n">
        <v>0.843</v>
      </c>
      <c r="M1087" t="n">
        <v>0</v>
      </c>
    </row>
    <row r="1088" spans="1:13">
      <c r="A1088" s="1">
        <f>HYPERLINK("http://www.twitter.com/NathanBLawrence/status/1000301945750474752", "1000301945750474752")</f>
        <v/>
      </c>
      <c r="B1088" s="2" t="n">
        <v>43246.3789699074</v>
      </c>
      <c r="C1088" t="n">
        <v>1</v>
      </c>
      <c r="D1088" t="n">
        <v>0</v>
      </c>
      <c r="E1088" t="s">
        <v>1098</v>
      </c>
      <c r="F1088" t="s"/>
      <c r="G1088" t="s"/>
      <c r="H1088" t="s"/>
      <c r="I1088" t="s"/>
      <c r="J1088" t="n">
        <v>-0.296</v>
      </c>
      <c r="K1088" t="n">
        <v>0.134</v>
      </c>
      <c r="L1088" t="n">
        <v>0.795</v>
      </c>
      <c r="M1088" t="n">
        <v>0.07199999999999999</v>
      </c>
    </row>
    <row r="1089" spans="1:13">
      <c r="A1089" s="1">
        <f>HYPERLINK("http://www.twitter.com/NathanBLawrence/status/1000232030658023424", "1000232030658023424")</f>
        <v/>
      </c>
      <c r="B1089" s="2" t="n">
        <v>43246.18604166667</v>
      </c>
      <c r="C1089" t="n">
        <v>0</v>
      </c>
      <c r="D1089" t="n">
        <v>2</v>
      </c>
      <c r="E1089" t="s">
        <v>1099</v>
      </c>
      <c r="F1089" t="s"/>
      <c r="G1089" t="s"/>
      <c r="H1089" t="s"/>
      <c r="I1089" t="s"/>
      <c r="J1089" t="n">
        <v>0</v>
      </c>
      <c r="K1089" t="n">
        <v>0</v>
      </c>
      <c r="L1089" t="n">
        <v>1</v>
      </c>
      <c r="M1089" t="n">
        <v>0</v>
      </c>
    </row>
    <row r="1090" spans="1:13">
      <c r="A1090" s="1">
        <f>HYPERLINK("http://www.twitter.com/NathanBLawrence/status/1000231888135606274", "1000231888135606274")</f>
        <v/>
      </c>
      <c r="B1090" s="2" t="n">
        <v>43246.18564814814</v>
      </c>
      <c r="C1090" t="n">
        <v>0</v>
      </c>
      <c r="D1090" t="n">
        <v>1</v>
      </c>
      <c r="E1090" t="s">
        <v>1100</v>
      </c>
      <c r="F1090" t="s"/>
      <c r="G1090" t="s"/>
      <c r="H1090" t="s"/>
      <c r="I1090" t="s"/>
      <c r="J1090" t="n">
        <v>0.4404</v>
      </c>
      <c r="K1090" t="n">
        <v>0</v>
      </c>
      <c r="L1090" t="n">
        <v>0.884</v>
      </c>
      <c r="M1090" t="n">
        <v>0.116</v>
      </c>
    </row>
    <row r="1091" spans="1:13">
      <c r="A1091" s="1">
        <f>HYPERLINK("http://www.twitter.com/NathanBLawrence/status/1000227971859406851", "1000227971859406851")</f>
        <v/>
      </c>
      <c r="B1091" s="2" t="n">
        <v>43246.17483796296</v>
      </c>
      <c r="C1091" t="n">
        <v>0</v>
      </c>
      <c r="D1091" t="n">
        <v>1742</v>
      </c>
      <c r="E1091" t="s">
        <v>1101</v>
      </c>
      <c r="F1091" t="s"/>
      <c r="G1091" t="s"/>
      <c r="H1091" t="s"/>
      <c r="I1091" t="s"/>
      <c r="J1091" t="n">
        <v>0</v>
      </c>
      <c r="K1091" t="n">
        <v>0</v>
      </c>
      <c r="L1091" t="n">
        <v>1</v>
      </c>
      <c r="M1091" t="n">
        <v>0</v>
      </c>
    </row>
    <row r="1092" spans="1:13">
      <c r="A1092" s="1">
        <f>HYPERLINK("http://www.twitter.com/NathanBLawrence/status/1000227858407665664", "1000227858407665664")</f>
        <v/>
      </c>
      <c r="B1092" s="2" t="n">
        <v>43246.17452546296</v>
      </c>
      <c r="C1092" t="n">
        <v>0</v>
      </c>
      <c r="D1092" t="n">
        <v>33</v>
      </c>
      <c r="E1092" t="s">
        <v>1102</v>
      </c>
      <c r="F1092" t="s"/>
      <c r="G1092" t="s"/>
      <c r="H1092" t="s"/>
      <c r="I1092" t="s"/>
      <c r="J1092" t="n">
        <v>0.8804999999999999</v>
      </c>
      <c r="K1092" t="n">
        <v>0</v>
      </c>
      <c r="L1092" t="n">
        <v>0.603</v>
      </c>
      <c r="M1092" t="n">
        <v>0.397</v>
      </c>
    </row>
    <row r="1093" spans="1:13">
      <c r="A1093" s="1">
        <f>HYPERLINK("http://www.twitter.com/NathanBLawrence/status/1000227781437947905", "1000227781437947905")</f>
        <v/>
      </c>
      <c r="B1093" s="2" t="n">
        <v>43246.17431712963</v>
      </c>
      <c r="C1093" t="n">
        <v>0</v>
      </c>
      <c r="D1093" t="n">
        <v>24</v>
      </c>
      <c r="E1093" t="s">
        <v>1103</v>
      </c>
      <c r="F1093" t="s"/>
      <c r="G1093" t="s"/>
      <c r="H1093" t="s"/>
      <c r="I1093" t="s"/>
      <c r="J1093" t="n">
        <v>0</v>
      </c>
      <c r="K1093" t="n">
        <v>0</v>
      </c>
      <c r="L1093" t="n">
        <v>1</v>
      </c>
      <c r="M1093" t="n">
        <v>0</v>
      </c>
    </row>
    <row r="1094" spans="1:13">
      <c r="A1094" s="1">
        <f>HYPERLINK("http://www.twitter.com/NathanBLawrence/status/1000227697547767809", "1000227697547767809")</f>
        <v/>
      </c>
      <c r="B1094" s="2" t="n">
        <v>43246.17408564815</v>
      </c>
      <c r="C1094" t="n">
        <v>0</v>
      </c>
      <c r="D1094" t="n">
        <v>27</v>
      </c>
      <c r="E1094" t="s">
        <v>1104</v>
      </c>
      <c r="F1094">
        <f>HYPERLINK("http://pbs.twimg.com/media/DeF3HDpX0AAdISK.jpg", "http://pbs.twimg.com/media/DeF3HDpX0AAdISK.jpg")</f>
        <v/>
      </c>
      <c r="G1094" t="s"/>
      <c r="H1094" t="s"/>
      <c r="I1094" t="s"/>
      <c r="J1094" t="n">
        <v>0.6588000000000001</v>
      </c>
      <c r="K1094" t="n">
        <v>0</v>
      </c>
      <c r="L1094" t="n">
        <v>0.779</v>
      </c>
      <c r="M1094" t="n">
        <v>0.221</v>
      </c>
    </row>
    <row r="1095" spans="1:13">
      <c r="A1095" s="1">
        <f>HYPERLINK("http://www.twitter.com/NathanBLawrence/status/1000227026702422017", "1000227026702422017")</f>
        <v/>
      </c>
      <c r="B1095" s="2" t="n">
        <v>43246.17223379629</v>
      </c>
      <c r="C1095" t="n">
        <v>0</v>
      </c>
      <c r="D1095" t="n">
        <v>11131</v>
      </c>
      <c r="E1095" t="s">
        <v>1105</v>
      </c>
      <c r="F1095" t="s"/>
      <c r="G1095" t="s"/>
      <c r="H1095" t="s"/>
      <c r="I1095" t="s"/>
      <c r="J1095" t="n">
        <v>-0.1531</v>
      </c>
      <c r="K1095" t="n">
        <v>0.062</v>
      </c>
      <c r="L1095" t="n">
        <v>0.9379999999999999</v>
      </c>
      <c r="M1095" t="n">
        <v>0</v>
      </c>
    </row>
    <row r="1096" spans="1:13">
      <c r="A1096" s="1">
        <f>HYPERLINK("http://www.twitter.com/NathanBLawrence/status/1000226963129323520", "1000226963129323520")</f>
        <v/>
      </c>
      <c r="B1096" s="2" t="n">
        <v>43246.17204861111</v>
      </c>
      <c r="C1096" t="n">
        <v>0</v>
      </c>
      <c r="D1096" t="n">
        <v>3</v>
      </c>
      <c r="E1096" t="s">
        <v>1106</v>
      </c>
      <c r="F1096" t="s"/>
      <c r="G1096" t="s"/>
      <c r="H1096" t="s"/>
      <c r="I1096" t="s"/>
      <c r="J1096" t="n">
        <v>0.296</v>
      </c>
      <c r="K1096" t="n">
        <v>0</v>
      </c>
      <c r="L1096" t="n">
        <v>0.872</v>
      </c>
      <c r="M1096" t="n">
        <v>0.128</v>
      </c>
    </row>
    <row r="1097" spans="1:13">
      <c r="A1097" s="1">
        <f>HYPERLINK("http://www.twitter.com/NathanBLawrence/status/1000226923304415232", "1000226923304415232")</f>
        <v/>
      </c>
      <c r="B1097" s="2" t="n">
        <v>43246.17194444445</v>
      </c>
      <c r="C1097" t="n">
        <v>0</v>
      </c>
      <c r="D1097" t="n">
        <v>265</v>
      </c>
      <c r="E1097" t="s">
        <v>1107</v>
      </c>
      <c r="F1097">
        <f>HYPERLINK("http://pbs.twimg.com/media/DeF7LQmV4AAsS6k.jpg", "http://pbs.twimg.com/media/DeF7LQmV4AAsS6k.jpg")</f>
        <v/>
      </c>
      <c r="G1097" t="s"/>
      <c r="H1097" t="s"/>
      <c r="I1097" t="s"/>
      <c r="J1097" t="n">
        <v>-0.7579</v>
      </c>
      <c r="K1097" t="n">
        <v>0.306</v>
      </c>
      <c r="L1097" t="n">
        <v>0.694</v>
      </c>
      <c r="M1097" t="n">
        <v>0</v>
      </c>
    </row>
    <row r="1098" spans="1:13">
      <c r="A1098" s="1">
        <f>HYPERLINK("http://www.twitter.com/NathanBLawrence/status/1000226822737588225", "1000226822737588225")</f>
        <v/>
      </c>
      <c r="B1098" s="2" t="n">
        <v>43246.17166666667</v>
      </c>
      <c r="C1098" t="n">
        <v>0</v>
      </c>
      <c r="D1098" t="n">
        <v>87</v>
      </c>
      <c r="E1098" t="s">
        <v>1108</v>
      </c>
      <c r="F1098" t="s"/>
      <c r="G1098" t="s"/>
      <c r="H1098" t="s"/>
      <c r="I1098" t="s"/>
      <c r="J1098" t="n">
        <v>-0.296</v>
      </c>
      <c r="K1098" t="n">
        <v>0.115</v>
      </c>
      <c r="L1098" t="n">
        <v>0.885</v>
      </c>
      <c r="M1098" t="n">
        <v>0</v>
      </c>
    </row>
    <row r="1099" spans="1:13">
      <c r="A1099" s="1">
        <f>HYPERLINK("http://www.twitter.com/NathanBLawrence/status/1000226771025965056", "1000226771025965056")</f>
        <v/>
      </c>
      <c r="B1099" s="2" t="n">
        <v>43246.17152777778</v>
      </c>
      <c r="C1099" t="n">
        <v>0</v>
      </c>
      <c r="D1099" t="n">
        <v>1800</v>
      </c>
      <c r="E1099" t="s">
        <v>1109</v>
      </c>
      <c r="F1099" t="s"/>
      <c r="G1099" t="s"/>
      <c r="H1099" t="s"/>
      <c r="I1099" t="s"/>
      <c r="J1099" t="n">
        <v>0.34</v>
      </c>
      <c r="K1099" t="n">
        <v>0</v>
      </c>
      <c r="L1099" t="n">
        <v>0.912</v>
      </c>
      <c r="M1099" t="n">
        <v>0.08799999999999999</v>
      </c>
    </row>
    <row r="1100" spans="1:13">
      <c r="A1100" s="1">
        <f>HYPERLINK("http://www.twitter.com/NathanBLawrence/status/1000226717728985088", "1000226717728985088")</f>
        <v/>
      </c>
      <c r="B1100" s="2" t="n">
        <v>43246.17137731481</v>
      </c>
      <c r="C1100" t="n">
        <v>0</v>
      </c>
      <c r="D1100" t="n">
        <v>1136</v>
      </c>
      <c r="E1100" t="s">
        <v>1110</v>
      </c>
      <c r="F1100" t="s"/>
      <c r="G1100" t="s"/>
      <c r="H1100" t="s"/>
      <c r="I1100" t="s"/>
      <c r="J1100" t="n">
        <v>0.6369</v>
      </c>
      <c r="K1100" t="n">
        <v>0</v>
      </c>
      <c r="L1100" t="n">
        <v>0.785</v>
      </c>
      <c r="M1100" t="n">
        <v>0.215</v>
      </c>
    </row>
    <row r="1101" spans="1:13">
      <c r="A1101" s="1">
        <f>HYPERLINK("http://www.twitter.com/NathanBLawrence/status/1000226392288702464", "1000226392288702464")</f>
        <v/>
      </c>
      <c r="B1101" s="2" t="n">
        <v>43246.17047453704</v>
      </c>
      <c r="C1101" t="n">
        <v>0</v>
      </c>
      <c r="D1101" t="n">
        <v>5</v>
      </c>
      <c r="E1101" t="s">
        <v>1111</v>
      </c>
      <c r="F1101" t="s"/>
      <c r="G1101" t="s"/>
      <c r="H1101" t="s"/>
      <c r="I1101" t="s"/>
      <c r="J1101" t="n">
        <v>0.6124000000000001</v>
      </c>
      <c r="K1101" t="n">
        <v>0</v>
      </c>
      <c r="L1101" t="n">
        <v>0.8149999999999999</v>
      </c>
      <c r="M1101" t="n">
        <v>0.185</v>
      </c>
    </row>
    <row r="1102" spans="1:13">
      <c r="A1102" s="1">
        <f>HYPERLINK("http://www.twitter.com/NathanBLawrence/status/1000226371908534274", "1000226371908534274")</f>
        <v/>
      </c>
      <c r="B1102" s="2" t="n">
        <v>43246.17042824074</v>
      </c>
      <c r="C1102" t="n">
        <v>0</v>
      </c>
      <c r="D1102" t="n">
        <v>1</v>
      </c>
      <c r="E1102" t="s">
        <v>1112</v>
      </c>
      <c r="F1102" t="s"/>
      <c r="G1102" t="s"/>
      <c r="H1102" t="s"/>
      <c r="I1102" t="s"/>
      <c r="J1102" t="n">
        <v>0</v>
      </c>
      <c r="K1102" t="n">
        <v>0</v>
      </c>
      <c r="L1102" t="n">
        <v>1</v>
      </c>
      <c r="M1102" t="n">
        <v>0</v>
      </c>
    </row>
    <row r="1103" spans="1:13">
      <c r="A1103" s="1">
        <f>HYPERLINK("http://www.twitter.com/NathanBLawrence/status/1000226357199228929", "1000226357199228929")</f>
        <v/>
      </c>
      <c r="B1103" s="2" t="n">
        <v>43246.17038194444</v>
      </c>
      <c r="C1103" t="n">
        <v>0</v>
      </c>
      <c r="D1103" t="n">
        <v>1</v>
      </c>
      <c r="E1103" t="s">
        <v>1113</v>
      </c>
      <c r="F1103" t="s"/>
      <c r="G1103" t="s"/>
      <c r="H1103" t="s"/>
      <c r="I1103" t="s"/>
      <c r="J1103" t="n">
        <v>0.2732</v>
      </c>
      <c r="K1103" t="n">
        <v>0</v>
      </c>
      <c r="L1103" t="n">
        <v>0.884</v>
      </c>
      <c r="M1103" t="n">
        <v>0.116</v>
      </c>
    </row>
    <row r="1104" spans="1:13">
      <c r="A1104" s="1">
        <f>HYPERLINK("http://www.twitter.com/NathanBLawrence/status/1000226339096616960", "1000226339096616960")</f>
        <v/>
      </c>
      <c r="B1104" s="2" t="n">
        <v>43246.17033564814</v>
      </c>
      <c r="C1104" t="n">
        <v>0</v>
      </c>
      <c r="D1104" t="n">
        <v>1</v>
      </c>
      <c r="E1104" t="s">
        <v>1114</v>
      </c>
      <c r="F1104" t="s"/>
      <c r="G1104" t="s"/>
      <c r="H1104" t="s"/>
      <c r="I1104" t="s"/>
      <c r="J1104" t="n">
        <v>-0.7269</v>
      </c>
      <c r="K1104" t="n">
        <v>0.262</v>
      </c>
      <c r="L1104" t="n">
        <v>0.738</v>
      </c>
      <c r="M1104" t="n">
        <v>0</v>
      </c>
    </row>
    <row r="1105" spans="1:13">
      <c r="A1105" s="1">
        <f>HYPERLINK("http://www.twitter.com/NathanBLawrence/status/1000226310550097920", "1000226310550097920")</f>
        <v/>
      </c>
      <c r="B1105" s="2" t="n">
        <v>43246.17025462963</v>
      </c>
      <c r="C1105" t="n">
        <v>0</v>
      </c>
      <c r="D1105" t="n">
        <v>1</v>
      </c>
      <c r="E1105" t="s">
        <v>1115</v>
      </c>
      <c r="F1105">
        <f>HYPERLINK("http://pbs.twimg.com/media/DeE5ZQZUwAAG7S1.jpg", "http://pbs.twimg.com/media/DeE5ZQZUwAAG7S1.jpg")</f>
        <v/>
      </c>
      <c r="G1105" t="s"/>
      <c r="H1105" t="s"/>
      <c r="I1105" t="s"/>
      <c r="J1105" t="n">
        <v>0</v>
      </c>
      <c r="K1105" t="n">
        <v>0</v>
      </c>
      <c r="L1105" t="n">
        <v>1</v>
      </c>
      <c r="M1105" t="n">
        <v>0</v>
      </c>
    </row>
    <row r="1106" spans="1:13">
      <c r="A1106" s="1">
        <f>HYPERLINK("http://www.twitter.com/NathanBLawrence/status/1000226273107546112", "1000226273107546112")</f>
        <v/>
      </c>
      <c r="B1106" s="2" t="n">
        <v>43246.17015046296</v>
      </c>
      <c r="C1106" t="n">
        <v>0</v>
      </c>
      <c r="D1106" t="n">
        <v>141</v>
      </c>
      <c r="E1106" t="s">
        <v>1116</v>
      </c>
      <c r="F1106" t="s"/>
      <c r="G1106" t="s"/>
      <c r="H1106" t="s"/>
      <c r="I1106" t="s"/>
      <c r="J1106" t="n">
        <v>-0.3818</v>
      </c>
      <c r="K1106" t="n">
        <v>0.14</v>
      </c>
      <c r="L1106" t="n">
        <v>0.86</v>
      </c>
      <c r="M1106" t="n">
        <v>0</v>
      </c>
    </row>
    <row r="1107" spans="1:13">
      <c r="A1107" s="1">
        <f>HYPERLINK("http://www.twitter.com/NathanBLawrence/status/1000225716800294913", "1000225716800294913")</f>
        <v/>
      </c>
      <c r="B1107" s="2" t="n">
        <v>43246.16861111111</v>
      </c>
      <c r="C1107" t="n">
        <v>0</v>
      </c>
      <c r="D1107" t="n">
        <v>1</v>
      </c>
      <c r="E1107" t="s">
        <v>1117</v>
      </c>
      <c r="F1107" t="s"/>
      <c r="G1107" t="s"/>
      <c r="H1107" t="s"/>
      <c r="I1107" t="s"/>
      <c r="J1107" t="n">
        <v>-0.296</v>
      </c>
      <c r="K1107" t="n">
        <v>0.147</v>
      </c>
      <c r="L1107" t="n">
        <v>0.736</v>
      </c>
      <c r="M1107" t="n">
        <v>0.117</v>
      </c>
    </row>
    <row r="1108" spans="1:13">
      <c r="A1108" s="1">
        <f>HYPERLINK("http://www.twitter.com/NathanBLawrence/status/1000224897724047360", "1000224897724047360")</f>
        <v/>
      </c>
      <c r="B1108" s="2" t="n">
        <v>43246.16635416666</v>
      </c>
      <c r="C1108" t="n">
        <v>0</v>
      </c>
      <c r="D1108" t="n">
        <v>1813</v>
      </c>
      <c r="E1108" t="s">
        <v>1118</v>
      </c>
      <c r="F1108" t="s"/>
      <c r="G1108" t="s"/>
      <c r="H1108" t="s"/>
      <c r="I1108" t="s"/>
      <c r="J1108" t="n">
        <v>-0.0516</v>
      </c>
      <c r="K1108" t="n">
        <v>0.147</v>
      </c>
      <c r="L1108" t="n">
        <v>0.675</v>
      </c>
      <c r="M1108" t="n">
        <v>0.179</v>
      </c>
    </row>
    <row r="1109" spans="1:13">
      <c r="A1109" s="1">
        <f>HYPERLINK("http://www.twitter.com/NathanBLawrence/status/1000224866048598016", "1000224866048598016")</f>
        <v/>
      </c>
      <c r="B1109" s="2" t="n">
        <v>43246.16627314815</v>
      </c>
      <c r="C1109" t="n">
        <v>0</v>
      </c>
      <c r="D1109" t="n">
        <v>1</v>
      </c>
      <c r="E1109" t="s">
        <v>1119</v>
      </c>
      <c r="F1109" t="s"/>
      <c r="G1109" t="s"/>
      <c r="H1109" t="s"/>
      <c r="I1109" t="s"/>
      <c r="J1109" t="n">
        <v>-0.1697</v>
      </c>
      <c r="K1109" t="n">
        <v>0.181</v>
      </c>
      <c r="L1109" t="n">
        <v>0.672</v>
      </c>
      <c r="M1109" t="n">
        <v>0.147</v>
      </c>
    </row>
    <row r="1110" spans="1:13">
      <c r="A1110" s="1">
        <f>HYPERLINK("http://www.twitter.com/NathanBLawrence/status/1000224815515668483", "1000224815515668483")</f>
        <v/>
      </c>
      <c r="B1110" s="2" t="n">
        <v>43246.16612268519</v>
      </c>
      <c r="C1110" t="n">
        <v>0</v>
      </c>
      <c r="D1110" t="n">
        <v>1125</v>
      </c>
      <c r="E1110" t="s">
        <v>1120</v>
      </c>
      <c r="F1110" t="s"/>
      <c r="G1110" t="s"/>
      <c r="H1110" t="s"/>
      <c r="I1110" t="s"/>
      <c r="J1110" t="n">
        <v>-0.3612</v>
      </c>
      <c r="K1110" t="n">
        <v>0.135</v>
      </c>
      <c r="L1110" t="n">
        <v>0.865</v>
      </c>
      <c r="M1110" t="n">
        <v>0</v>
      </c>
    </row>
    <row r="1111" spans="1:13">
      <c r="A1111" s="1">
        <f>HYPERLINK("http://www.twitter.com/NathanBLawrence/status/1000224589593632768", "1000224589593632768")</f>
        <v/>
      </c>
      <c r="B1111" s="2" t="n">
        <v>43246.16550925926</v>
      </c>
      <c r="C1111" t="n">
        <v>0</v>
      </c>
      <c r="D1111" t="n">
        <v>1149</v>
      </c>
      <c r="E1111" t="s">
        <v>1121</v>
      </c>
      <c r="F1111">
        <f>HYPERLINK("http://pbs.twimg.com/media/DeAfAgZU8AArVK6.jpg", "http://pbs.twimg.com/media/DeAfAgZU8AArVK6.jpg")</f>
        <v/>
      </c>
      <c r="G1111" t="s"/>
      <c r="H1111" t="s"/>
      <c r="I1111" t="s"/>
      <c r="J1111" t="n">
        <v>-0.4215</v>
      </c>
      <c r="K1111" t="n">
        <v>0.182</v>
      </c>
      <c r="L1111" t="n">
        <v>0.695</v>
      </c>
      <c r="M1111" t="n">
        <v>0.123</v>
      </c>
    </row>
    <row r="1112" spans="1:13">
      <c r="A1112" s="1">
        <f>HYPERLINK("http://www.twitter.com/NathanBLawrence/status/1000224353500483584", "1000224353500483584")</f>
        <v/>
      </c>
      <c r="B1112" s="2" t="n">
        <v>43246.16484953704</v>
      </c>
      <c r="C1112" t="n">
        <v>0</v>
      </c>
      <c r="D1112" t="n">
        <v>0</v>
      </c>
      <c r="E1112" t="s">
        <v>1122</v>
      </c>
      <c r="F1112" t="s"/>
      <c r="G1112" t="s"/>
      <c r="H1112" t="s"/>
      <c r="I1112" t="s"/>
      <c r="J1112" t="n">
        <v>0</v>
      </c>
      <c r="K1112" t="n">
        <v>0</v>
      </c>
      <c r="L1112" t="n">
        <v>1</v>
      </c>
      <c r="M1112" t="n">
        <v>0</v>
      </c>
    </row>
    <row r="1113" spans="1:13">
      <c r="A1113" s="1">
        <f>HYPERLINK("http://www.twitter.com/NathanBLawrence/status/1000222383486185473", "1000222383486185473")</f>
        <v/>
      </c>
      <c r="B1113" s="2" t="n">
        <v>43246.1594212963</v>
      </c>
      <c r="C1113" t="n">
        <v>0</v>
      </c>
      <c r="D1113" t="n">
        <v>2185</v>
      </c>
      <c r="E1113" t="s">
        <v>1123</v>
      </c>
      <c r="F1113" t="s"/>
      <c r="G1113" t="s"/>
      <c r="H1113" t="s"/>
      <c r="I1113" t="s"/>
      <c r="J1113" t="n">
        <v>0</v>
      </c>
      <c r="K1113" t="n">
        <v>0</v>
      </c>
      <c r="L1113" t="n">
        <v>1</v>
      </c>
      <c r="M1113" t="n">
        <v>0</v>
      </c>
    </row>
    <row r="1114" spans="1:13">
      <c r="A1114" s="1">
        <f>HYPERLINK("http://www.twitter.com/NathanBLawrence/status/1000222156763074560", "1000222156763074560")</f>
        <v/>
      </c>
      <c r="B1114" s="2" t="n">
        <v>43246.15879629629</v>
      </c>
      <c r="C1114" t="n">
        <v>0</v>
      </c>
      <c r="D1114" t="n">
        <v>3234</v>
      </c>
      <c r="E1114" t="s">
        <v>1124</v>
      </c>
      <c r="F1114" t="s"/>
      <c r="G1114" t="s"/>
      <c r="H1114" t="s"/>
      <c r="I1114" t="s"/>
      <c r="J1114" t="n">
        <v>0.4215</v>
      </c>
      <c r="K1114" t="n">
        <v>0</v>
      </c>
      <c r="L1114" t="n">
        <v>0.833</v>
      </c>
      <c r="M1114" t="n">
        <v>0.167</v>
      </c>
    </row>
    <row r="1115" spans="1:13">
      <c r="A1115" s="1">
        <f>HYPERLINK("http://www.twitter.com/NathanBLawrence/status/1000222090941919232", "1000222090941919232")</f>
        <v/>
      </c>
      <c r="B1115" s="2" t="n">
        <v>43246.15861111111</v>
      </c>
      <c r="C1115" t="n">
        <v>0</v>
      </c>
      <c r="D1115" t="n">
        <v>5262</v>
      </c>
      <c r="E1115" t="s">
        <v>1125</v>
      </c>
      <c r="F1115" t="s"/>
      <c r="G1115" t="s"/>
      <c r="H1115" t="s"/>
      <c r="I1115" t="s"/>
      <c r="J1115" t="n">
        <v>0</v>
      </c>
      <c r="K1115" t="n">
        <v>0</v>
      </c>
      <c r="L1115" t="n">
        <v>1</v>
      </c>
      <c r="M1115" t="n">
        <v>0</v>
      </c>
    </row>
    <row r="1116" spans="1:13">
      <c r="A1116" s="1">
        <f>HYPERLINK("http://www.twitter.com/NathanBLawrence/status/1000221800729628673", "1000221800729628673")</f>
        <v/>
      </c>
      <c r="B1116" s="2" t="n">
        <v>43246.1578125</v>
      </c>
      <c r="C1116" t="n">
        <v>0</v>
      </c>
      <c r="D1116" t="n">
        <v>1371</v>
      </c>
      <c r="E1116" t="s">
        <v>1126</v>
      </c>
      <c r="F1116" t="s"/>
      <c r="G1116" t="s"/>
      <c r="H1116" t="s"/>
      <c r="I1116" t="s"/>
      <c r="J1116" t="n">
        <v>0</v>
      </c>
      <c r="K1116" t="n">
        <v>0</v>
      </c>
      <c r="L1116" t="n">
        <v>1</v>
      </c>
      <c r="M1116" t="n">
        <v>0</v>
      </c>
    </row>
    <row r="1117" spans="1:13">
      <c r="A1117" s="1">
        <f>HYPERLINK("http://www.twitter.com/NathanBLawrence/status/1000221468641366018", "1000221468641366018")</f>
        <v/>
      </c>
      <c r="B1117" s="2" t="n">
        <v>43246.15688657408</v>
      </c>
      <c r="C1117" t="n">
        <v>0</v>
      </c>
      <c r="D1117" t="n">
        <v>42</v>
      </c>
      <c r="E1117" t="s">
        <v>1127</v>
      </c>
      <c r="F1117" t="s"/>
      <c r="G1117" t="s"/>
      <c r="H1117" t="s"/>
      <c r="I1117" t="s"/>
      <c r="J1117" t="n">
        <v>-0.6917</v>
      </c>
      <c r="K1117" t="n">
        <v>0.261</v>
      </c>
      <c r="L1117" t="n">
        <v>0.739</v>
      </c>
      <c r="M1117" t="n">
        <v>0</v>
      </c>
    </row>
    <row r="1118" spans="1:13">
      <c r="A1118" s="1">
        <f>HYPERLINK("http://www.twitter.com/NathanBLawrence/status/1000221393135468544", "1000221393135468544")</f>
        <v/>
      </c>
      <c r="B1118" s="2" t="n">
        <v>43246.15667824074</v>
      </c>
      <c r="C1118" t="n">
        <v>0</v>
      </c>
      <c r="D1118" t="n">
        <v>568</v>
      </c>
      <c r="E1118" t="s">
        <v>1128</v>
      </c>
      <c r="F1118" t="s"/>
      <c r="G1118" t="s"/>
      <c r="H1118" t="s"/>
      <c r="I1118" t="s"/>
      <c r="J1118" t="n">
        <v>-0.6597</v>
      </c>
      <c r="K1118" t="n">
        <v>0.306</v>
      </c>
      <c r="L1118" t="n">
        <v>0.694</v>
      </c>
      <c r="M1118" t="n">
        <v>0</v>
      </c>
    </row>
    <row r="1119" spans="1:13">
      <c r="A1119" s="1">
        <f>HYPERLINK("http://www.twitter.com/NathanBLawrence/status/1000221340358627328", "1000221340358627328")</f>
        <v/>
      </c>
      <c r="B1119" s="2" t="n">
        <v>43246.15653935185</v>
      </c>
      <c r="C1119" t="n">
        <v>0</v>
      </c>
      <c r="D1119" t="n">
        <v>6653</v>
      </c>
      <c r="E1119" t="s">
        <v>1129</v>
      </c>
      <c r="F1119" t="s"/>
      <c r="G1119" t="s"/>
      <c r="H1119" t="s"/>
      <c r="I1119" t="s"/>
      <c r="J1119" t="n">
        <v>0.4588</v>
      </c>
      <c r="K1119" t="n">
        <v>0</v>
      </c>
      <c r="L1119" t="n">
        <v>0.786</v>
      </c>
      <c r="M1119" t="n">
        <v>0.214</v>
      </c>
    </row>
    <row r="1120" spans="1:13">
      <c r="A1120" s="1">
        <f>HYPERLINK("http://www.twitter.com/NathanBLawrence/status/1000221013458735104", "1000221013458735104")</f>
        <v/>
      </c>
      <c r="B1120" s="2" t="n">
        <v>43246.15563657408</v>
      </c>
      <c r="C1120" t="n">
        <v>0</v>
      </c>
      <c r="D1120" t="n">
        <v>201</v>
      </c>
      <c r="E1120" t="s">
        <v>1130</v>
      </c>
      <c r="F1120" t="s"/>
      <c r="G1120" t="s"/>
      <c r="H1120" t="s"/>
      <c r="I1120" t="s"/>
      <c r="J1120" t="n">
        <v>-0.4939</v>
      </c>
      <c r="K1120" t="n">
        <v>0.167</v>
      </c>
      <c r="L1120" t="n">
        <v>0.833</v>
      </c>
      <c r="M1120" t="n">
        <v>0</v>
      </c>
    </row>
    <row r="1121" spans="1:13">
      <c r="A1121" s="1">
        <f>HYPERLINK("http://www.twitter.com/NathanBLawrence/status/1000220943099285504", "1000220943099285504")</f>
        <v/>
      </c>
      <c r="B1121" s="2" t="n">
        <v>43246.15543981481</v>
      </c>
      <c r="C1121" t="n">
        <v>0</v>
      </c>
      <c r="D1121" t="n">
        <v>12311</v>
      </c>
      <c r="E1121" t="s">
        <v>1131</v>
      </c>
      <c r="F1121" t="s"/>
      <c r="G1121" t="s"/>
      <c r="H1121" t="s"/>
      <c r="I1121" t="s"/>
      <c r="J1121" t="n">
        <v>0</v>
      </c>
      <c r="K1121" t="n">
        <v>0</v>
      </c>
      <c r="L1121" t="n">
        <v>1</v>
      </c>
      <c r="M1121" t="n">
        <v>0</v>
      </c>
    </row>
    <row r="1122" spans="1:13">
      <c r="A1122" s="1">
        <f>HYPERLINK("http://www.twitter.com/NathanBLawrence/status/1000220916775903232", "1000220916775903232")</f>
        <v/>
      </c>
      <c r="B1122" s="2" t="n">
        <v>43246.15537037037</v>
      </c>
      <c r="C1122" t="n">
        <v>0</v>
      </c>
      <c r="D1122" t="n">
        <v>6962</v>
      </c>
      <c r="E1122" t="s">
        <v>121</v>
      </c>
      <c r="F1122" t="s"/>
      <c r="G1122" t="s"/>
      <c r="H1122" t="s"/>
      <c r="I1122" t="s"/>
      <c r="J1122" t="n">
        <v>0.4215</v>
      </c>
      <c r="K1122" t="n">
        <v>0</v>
      </c>
      <c r="L1122" t="n">
        <v>0.797</v>
      </c>
      <c r="M1122" t="n">
        <v>0.203</v>
      </c>
    </row>
    <row r="1123" spans="1:13">
      <c r="A1123" s="1">
        <f>HYPERLINK("http://www.twitter.com/NathanBLawrence/status/1000220843815956480", "1000220843815956480")</f>
        <v/>
      </c>
      <c r="B1123" s="2" t="n">
        <v>43246.15517361111</v>
      </c>
      <c r="C1123" t="n">
        <v>0</v>
      </c>
      <c r="D1123" t="n">
        <v>57</v>
      </c>
      <c r="E1123" t="s">
        <v>1132</v>
      </c>
      <c r="F1123" t="s"/>
      <c r="G1123" t="s"/>
      <c r="H1123" t="s"/>
      <c r="I1123" t="s"/>
      <c r="J1123" t="n">
        <v>0</v>
      </c>
      <c r="K1123" t="n">
        <v>0</v>
      </c>
      <c r="L1123" t="n">
        <v>1</v>
      </c>
      <c r="M1123" t="n">
        <v>0</v>
      </c>
    </row>
    <row r="1124" spans="1:13">
      <c r="A1124" s="1">
        <f>HYPERLINK("http://www.twitter.com/NathanBLawrence/status/1000220191400308737", "1000220191400308737")</f>
        <v/>
      </c>
      <c r="B1124" s="2" t="n">
        <v>43246.15336805556</v>
      </c>
      <c r="C1124" t="n">
        <v>0</v>
      </c>
      <c r="D1124" t="n">
        <v>1747</v>
      </c>
      <c r="E1124" t="s">
        <v>1133</v>
      </c>
      <c r="F1124" t="s"/>
      <c r="G1124" t="s"/>
      <c r="H1124" t="s"/>
      <c r="I1124" t="s"/>
      <c r="J1124" t="n">
        <v>-0.7003</v>
      </c>
      <c r="K1124" t="n">
        <v>0.216</v>
      </c>
      <c r="L1124" t="n">
        <v>0.784</v>
      </c>
      <c r="M1124" t="n">
        <v>0</v>
      </c>
    </row>
    <row r="1125" spans="1:13">
      <c r="A1125" s="1">
        <f>HYPERLINK("http://www.twitter.com/NathanBLawrence/status/1000220159045488647", "1000220159045488647")</f>
        <v/>
      </c>
      <c r="B1125" s="2" t="n">
        <v>43246.15327546297</v>
      </c>
      <c r="C1125" t="n">
        <v>0</v>
      </c>
      <c r="D1125" t="n">
        <v>936</v>
      </c>
      <c r="E1125" t="s">
        <v>1134</v>
      </c>
      <c r="F1125" t="s"/>
      <c r="G1125" t="s"/>
      <c r="H1125" t="s"/>
      <c r="I1125" t="s"/>
      <c r="J1125" t="n">
        <v>0.5106000000000001</v>
      </c>
      <c r="K1125" t="n">
        <v>0</v>
      </c>
      <c r="L1125" t="n">
        <v>0.875</v>
      </c>
      <c r="M1125" t="n">
        <v>0.125</v>
      </c>
    </row>
    <row r="1126" spans="1:13">
      <c r="A1126" s="1">
        <f>HYPERLINK("http://www.twitter.com/NathanBLawrence/status/1000219826214916096", "1000219826214916096")</f>
        <v/>
      </c>
      <c r="B1126" s="2" t="n">
        <v>43246.15236111111</v>
      </c>
      <c r="C1126" t="n">
        <v>0</v>
      </c>
      <c r="D1126" t="n">
        <v>845</v>
      </c>
      <c r="E1126" t="s">
        <v>1135</v>
      </c>
      <c r="F1126" t="s"/>
      <c r="G1126" t="s"/>
      <c r="H1126" t="s"/>
      <c r="I1126" t="s"/>
      <c r="J1126" t="n">
        <v>0</v>
      </c>
      <c r="K1126" t="n">
        <v>0</v>
      </c>
      <c r="L1126" t="n">
        <v>1</v>
      </c>
      <c r="M1126" t="n">
        <v>0</v>
      </c>
    </row>
    <row r="1127" spans="1:13">
      <c r="A1127" s="1">
        <f>HYPERLINK("http://www.twitter.com/NathanBLawrence/status/1000218812409663488", "1000218812409663488")</f>
        <v/>
      </c>
      <c r="B1127" s="2" t="n">
        <v>43246.14956018519</v>
      </c>
      <c r="C1127" t="n">
        <v>0</v>
      </c>
      <c r="D1127" t="n">
        <v>31911</v>
      </c>
      <c r="E1127" t="s">
        <v>221</v>
      </c>
      <c r="F1127" t="s"/>
      <c r="G1127" t="s"/>
      <c r="H1127" t="s"/>
      <c r="I1127" t="s"/>
      <c r="J1127" t="n">
        <v>0.0772</v>
      </c>
      <c r="K1127" t="n">
        <v>0.098</v>
      </c>
      <c r="L1127" t="n">
        <v>0.792</v>
      </c>
      <c r="M1127" t="n">
        <v>0.109</v>
      </c>
    </row>
    <row r="1128" spans="1:13">
      <c r="A1128" s="1">
        <f>HYPERLINK("http://www.twitter.com/NathanBLawrence/status/1000218678460379141", "1000218678460379141")</f>
        <v/>
      </c>
      <c r="B1128" s="2" t="n">
        <v>43246.14918981482</v>
      </c>
      <c r="C1128" t="n">
        <v>0</v>
      </c>
      <c r="D1128" t="n">
        <v>286</v>
      </c>
      <c r="E1128" t="s">
        <v>1136</v>
      </c>
      <c r="F1128" t="s"/>
      <c r="G1128" t="s"/>
      <c r="H1128" t="s"/>
      <c r="I1128" t="s"/>
      <c r="J1128" t="n">
        <v>-0.0258</v>
      </c>
      <c r="K1128" t="n">
        <v>0.107</v>
      </c>
      <c r="L1128" t="n">
        <v>0.791</v>
      </c>
      <c r="M1128" t="n">
        <v>0.103</v>
      </c>
    </row>
    <row r="1129" spans="1:13">
      <c r="A1129" s="1">
        <f>HYPERLINK("http://www.twitter.com/NathanBLawrence/status/1000218577331523584", "1000218577331523584")</f>
        <v/>
      </c>
      <c r="B1129" s="2" t="n">
        <v>43246.14891203704</v>
      </c>
      <c r="C1129" t="n">
        <v>0</v>
      </c>
      <c r="D1129" t="n">
        <v>2</v>
      </c>
      <c r="E1129" t="s">
        <v>1137</v>
      </c>
      <c r="F1129" t="s"/>
      <c r="G1129" t="s"/>
      <c r="H1129" t="s"/>
      <c r="I1129" t="s"/>
      <c r="J1129" t="n">
        <v>0.296</v>
      </c>
      <c r="K1129" t="n">
        <v>0.07199999999999999</v>
      </c>
      <c r="L1129" t="n">
        <v>0.805</v>
      </c>
      <c r="M1129" t="n">
        <v>0.123</v>
      </c>
    </row>
    <row r="1130" spans="1:13">
      <c r="A1130" s="1">
        <f>HYPERLINK("http://www.twitter.com/NathanBLawrence/status/1000218331633287168", "1000218331633287168")</f>
        <v/>
      </c>
      <c r="B1130" s="2" t="n">
        <v>43246.14824074074</v>
      </c>
      <c r="C1130" t="n">
        <v>0</v>
      </c>
      <c r="D1130" t="n">
        <v>74</v>
      </c>
      <c r="E1130" t="s">
        <v>1138</v>
      </c>
      <c r="F1130" t="s"/>
      <c r="G1130" t="s"/>
      <c r="H1130" t="s"/>
      <c r="I1130" t="s"/>
      <c r="J1130" t="n">
        <v>0</v>
      </c>
      <c r="K1130" t="n">
        <v>0</v>
      </c>
      <c r="L1130" t="n">
        <v>1</v>
      </c>
      <c r="M1130" t="n">
        <v>0</v>
      </c>
    </row>
    <row r="1131" spans="1:13">
      <c r="A1131" s="1">
        <f>HYPERLINK("http://www.twitter.com/NathanBLawrence/status/1000217727833919488", "1000217727833919488")</f>
        <v/>
      </c>
      <c r="B1131" s="2" t="n">
        <v>43246.14657407408</v>
      </c>
      <c r="C1131" t="n">
        <v>0</v>
      </c>
      <c r="D1131" t="n">
        <v>33</v>
      </c>
      <c r="E1131" t="s">
        <v>1139</v>
      </c>
      <c r="F1131">
        <f>HYPERLINK("http://pbs.twimg.com/media/DeElR-9V4AAfNrx.jpg", "http://pbs.twimg.com/media/DeElR-9V4AAfNrx.jpg")</f>
        <v/>
      </c>
      <c r="G1131" t="s"/>
      <c r="H1131" t="s"/>
      <c r="I1131" t="s"/>
      <c r="J1131" t="n">
        <v>0</v>
      </c>
      <c r="K1131" t="n">
        <v>0</v>
      </c>
      <c r="L1131" t="n">
        <v>1</v>
      </c>
      <c r="M1131" t="n">
        <v>0</v>
      </c>
    </row>
    <row r="1132" spans="1:13">
      <c r="A1132" s="1">
        <f>HYPERLINK("http://www.twitter.com/NathanBLawrence/status/1000217675770023936", "1000217675770023936")</f>
        <v/>
      </c>
      <c r="B1132" s="2" t="n">
        <v>43246.14642361111</v>
      </c>
      <c r="C1132" t="n">
        <v>0</v>
      </c>
      <c r="D1132" t="n">
        <v>26</v>
      </c>
      <c r="E1132" t="s">
        <v>1140</v>
      </c>
      <c r="F1132" t="s"/>
      <c r="G1132" t="s"/>
      <c r="H1132" t="s"/>
      <c r="I1132" t="s"/>
      <c r="J1132" t="n">
        <v>0.3182</v>
      </c>
      <c r="K1132" t="n">
        <v>0.063</v>
      </c>
      <c r="L1132" t="n">
        <v>0.824</v>
      </c>
      <c r="M1132" t="n">
        <v>0.114</v>
      </c>
    </row>
    <row r="1133" spans="1:13">
      <c r="A1133" s="1">
        <f>HYPERLINK("http://www.twitter.com/NathanBLawrence/status/1000217630014394368", "1000217630014394368")</f>
        <v/>
      </c>
      <c r="B1133" s="2" t="n">
        <v>43246.1462962963</v>
      </c>
      <c r="C1133" t="n">
        <v>0</v>
      </c>
      <c r="D1133" t="n">
        <v>21</v>
      </c>
      <c r="E1133" t="s">
        <v>1141</v>
      </c>
      <c r="F1133" t="s"/>
      <c r="G1133" t="s"/>
      <c r="H1133" t="s"/>
      <c r="I1133" t="s"/>
      <c r="J1133" t="n">
        <v>0.6027</v>
      </c>
      <c r="K1133" t="n">
        <v>0</v>
      </c>
      <c r="L1133" t="n">
        <v>0.605</v>
      </c>
      <c r="M1133" t="n">
        <v>0.395</v>
      </c>
    </row>
    <row r="1134" spans="1:13">
      <c r="A1134" s="1">
        <f>HYPERLINK("http://www.twitter.com/NathanBLawrence/status/1000217435591593984", "1000217435591593984")</f>
        <v/>
      </c>
      <c r="B1134" s="2" t="n">
        <v>43246.14576388889</v>
      </c>
      <c r="C1134" t="n">
        <v>0</v>
      </c>
      <c r="D1134" t="n">
        <v>81</v>
      </c>
      <c r="E1134" t="s">
        <v>1142</v>
      </c>
      <c r="F1134" t="s"/>
      <c r="G1134" t="s"/>
      <c r="H1134" t="s"/>
      <c r="I1134" t="s"/>
      <c r="J1134" t="n">
        <v>0.1232</v>
      </c>
      <c r="K1134" t="n">
        <v>0</v>
      </c>
      <c r="L1134" t="n">
        <v>0.9370000000000001</v>
      </c>
      <c r="M1134" t="n">
        <v>0.063</v>
      </c>
    </row>
    <row r="1135" spans="1:13">
      <c r="A1135" s="1">
        <f>HYPERLINK("http://www.twitter.com/NathanBLawrence/status/1000217340800323590", "1000217340800323590")</f>
        <v/>
      </c>
      <c r="B1135" s="2" t="n">
        <v>43246.14549768518</v>
      </c>
      <c r="C1135" t="n">
        <v>0</v>
      </c>
      <c r="D1135" t="n">
        <v>334</v>
      </c>
      <c r="E1135" t="s">
        <v>1143</v>
      </c>
      <c r="F1135" t="s"/>
      <c r="G1135" t="s"/>
      <c r="H1135" t="s"/>
      <c r="I1135" t="s"/>
      <c r="J1135" t="n">
        <v>0</v>
      </c>
      <c r="K1135" t="n">
        <v>0</v>
      </c>
      <c r="L1135" t="n">
        <v>1</v>
      </c>
      <c r="M1135" t="n">
        <v>0</v>
      </c>
    </row>
    <row r="1136" spans="1:13">
      <c r="A1136" s="1">
        <f>HYPERLINK("http://www.twitter.com/NathanBLawrence/status/1000217253835665413", "1000217253835665413")</f>
        <v/>
      </c>
      <c r="B1136" s="2" t="n">
        <v>43246.1452662037</v>
      </c>
      <c r="C1136" t="n">
        <v>0</v>
      </c>
      <c r="D1136" t="n">
        <v>52</v>
      </c>
      <c r="E1136" t="s">
        <v>1144</v>
      </c>
      <c r="F1136" t="s"/>
      <c r="G1136" t="s"/>
      <c r="H1136" t="s"/>
      <c r="I1136" t="s"/>
      <c r="J1136" t="n">
        <v>0</v>
      </c>
      <c r="K1136" t="n">
        <v>0</v>
      </c>
      <c r="L1136" t="n">
        <v>1</v>
      </c>
      <c r="M1136" t="n">
        <v>0</v>
      </c>
    </row>
    <row r="1137" spans="1:13">
      <c r="A1137" s="1">
        <f>HYPERLINK("http://www.twitter.com/NathanBLawrence/status/1000217235246534656", "1000217235246534656")</f>
        <v/>
      </c>
      <c r="B1137" s="2" t="n">
        <v>43246.14520833334</v>
      </c>
      <c r="C1137" t="n">
        <v>0</v>
      </c>
      <c r="D1137" t="n">
        <v>21</v>
      </c>
      <c r="E1137" t="s">
        <v>1145</v>
      </c>
      <c r="F1137" t="s"/>
      <c r="G1137" t="s"/>
      <c r="H1137" t="s"/>
      <c r="I1137" t="s"/>
      <c r="J1137" t="n">
        <v>0</v>
      </c>
      <c r="K1137" t="n">
        <v>0</v>
      </c>
      <c r="L1137" t="n">
        <v>1</v>
      </c>
      <c r="M1137" t="n">
        <v>0</v>
      </c>
    </row>
    <row r="1138" spans="1:13">
      <c r="A1138" s="1">
        <f>HYPERLINK("http://www.twitter.com/NathanBLawrence/status/1000216846505791488", "1000216846505791488")</f>
        <v/>
      </c>
      <c r="B1138" s="2" t="n">
        <v>43246.14413194444</v>
      </c>
      <c r="C1138" t="n">
        <v>0</v>
      </c>
      <c r="D1138" t="n">
        <v>111</v>
      </c>
      <c r="E1138" t="s">
        <v>1146</v>
      </c>
      <c r="F1138" t="s"/>
      <c r="G1138" t="s"/>
      <c r="H1138" t="s"/>
      <c r="I1138" t="s"/>
      <c r="J1138" t="n">
        <v>0</v>
      </c>
      <c r="K1138" t="n">
        <v>0</v>
      </c>
      <c r="L1138" t="n">
        <v>1</v>
      </c>
      <c r="M1138" t="n">
        <v>0</v>
      </c>
    </row>
    <row r="1139" spans="1:13">
      <c r="A1139" s="1">
        <f>HYPERLINK("http://www.twitter.com/NathanBLawrence/status/1000216683028582400", "1000216683028582400")</f>
        <v/>
      </c>
      <c r="B1139" s="2" t="n">
        <v>43246.14369212963</v>
      </c>
      <c r="C1139" t="n">
        <v>0</v>
      </c>
      <c r="D1139" t="n">
        <v>25613</v>
      </c>
      <c r="E1139" t="s">
        <v>1147</v>
      </c>
      <c r="F1139" t="s"/>
      <c r="G1139" t="s"/>
      <c r="H1139" t="s"/>
      <c r="I1139" t="s"/>
      <c r="J1139" t="n">
        <v>-0.1531</v>
      </c>
      <c r="K1139" t="n">
        <v>0.08500000000000001</v>
      </c>
      <c r="L1139" t="n">
        <v>0.855</v>
      </c>
      <c r="M1139" t="n">
        <v>0.06</v>
      </c>
    </row>
    <row r="1140" spans="1:13">
      <c r="A1140" s="1">
        <f>HYPERLINK("http://www.twitter.com/NathanBLawrence/status/1000216268690124800", "1000216268690124800")</f>
        <v/>
      </c>
      <c r="B1140" s="2" t="n">
        <v>43246.14254629629</v>
      </c>
      <c r="C1140" t="n">
        <v>6</v>
      </c>
      <c r="D1140" t="n">
        <v>1</v>
      </c>
      <c r="E1140" t="s">
        <v>1148</v>
      </c>
      <c r="F1140">
        <f>HYPERLINK("http://pbs.twimg.com/media/DeF7Y9dV0AEJg9J.jpg", "http://pbs.twimg.com/media/DeF7Y9dV0AEJg9J.jpg")</f>
        <v/>
      </c>
      <c r="G1140" t="s"/>
      <c r="H1140" t="s"/>
      <c r="I1140" t="s"/>
      <c r="J1140" t="n">
        <v>-0.8879</v>
      </c>
      <c r="K1140" t="n">
        <v>0.265</v>
      </c>
      <c r="L1140" t="n">
        <v>0.681</v>
      </c>
      <c r="M1140" t="n">
        <v>0.054</v>
      </c>
    </row>
    <row r="1141" spans="1:13">
      <c r="A1141" s="1">
        <f>HYPERLINK("http://www.twitter.com/NathanBLawrence/status/1000215115625623552", "1000215115625623552")</f>
        <v/>
      </c>
      <c r="B1141" s="2" t="n">
        <v>43246.13936342593</v>
      </c>
      <c r="C1141" t="n">
        <v>3</v>
      </c>
      <c r="D1141" t="n">
        <v>2</v>
      </c>
      <c r="E1141" t="s">
        <v>1149</v>
      </c>
      <c r="F1141">
        <f>HYPERLINK("http://pbs.twimg.com/media/DeF6V12U0AAhnh3.jpg", "http://pbs.twimg.com/media/DeF6V12U0AAhnh3.jpg")</f>
        <v/>
      </c>
      <c r="G1141" t="s"/>
      <c r="H1141" t="s"/>
      <c r="I1141" t="s"/>
      <c r="J1141" t="n">
        <v>-0.3818</v>
      </c>
      <c r="K1141" t="n">
        <v>0.08500000000000001</v>
      </c>
      <c r="L1141" t="n">
        <v>0.915</v>
      </c>
      <c r="M1141" t="n">
        <v>0</v>
      </c>
    </row>
    <row r="1142" spans="1:13">
      <c r="A1142" s="1">
        <f>HYPERLINK("http://www.twitter.com/NathanBLawrence/status/1000213832999030787", "1000213832999030787")</f>
        <v/>
      </c>
      <c r="B1142" s="2" t="n">
        <v>43246.13582175926</v>
      </c>
      <c r="C1142" t="n">
        <v>0</v>
      </c>
      <c r="D1142" t="n">
        <v>88</v>
      </c>
      <c r="E1142" t="s">
        <v>1150</v>
      </c>
      <c r="F1142" t="s"/>
      <c r="G1142" t="s"/>
      <c r="H1142" t="s"/>
      <c r="I1142" t="s"/>
      <c r="J1142" t="n">
        <v>0.3612</v>
      </c>
      <c r="K1142" t="n">
        <v>0</v>
      </c>
      <c r="L1142" t="n">
        <v>0.884</v>
      </c>
      <c r="M1142" t="n">
        <v>0.116</v>
      </c>
    </row>
    <row r="1143" spans="1:13">
      <c r="A1143" s="1">
        <f>HYPERLINK("http://www.twitter.com/NathanBLawrence/status/1000213650752327680", "1000213650752327680")</f>
        <v/>
      </c>
      <c r="B1143" s="2" t="n">
        <v>43246.13532407407</v>
      </c>
      <c r="C1143" t="n">
        <v>0</v>
      </c>
      <c r="D1143" t="n">
        <v>18558</v>
      </c>
      <c r="E1143" t="s">
        <v>1151</v>
      </c>
      <c r="F1143" t="s"/>
      <c r="G1143" t="s"/>
      <c r="H1143" t="s"/>
      <c r="I1143" t="s"/>
      <c r="J1143" t="n">
        <v>0.8864</v>
      </c>
      <c r="K1143" t="n">
        <v>0</v>
      </c>
      <c r="L1143" t="n">
        <v>0.539</v>
      </c>
      <c r="M1143" t="n">
        <v>0.461</v>
      </c>
    </row>
    <row r="1144" spans="1:13">
      <c r="A1144" s="1">
        <f>HYPERLINK("http://www.twitter.com/NathanBLawrence/status/1000213123473838081", "1000213123473838081")</f>
        <v/>
      </c>
      <c r="B1144" s="2" t="n">
        <v>43246.13386574074</v>
      </c>
      <c r="C1144" t="n">
        <v>0</v>
      </c>
      <c r="D1144" t="n">
        <v>1422</v>
      </c>
      <c r="E1144" t="s">
        <v>1152</v>
      </c>
      <c r="F1144" t="s"/>
      <c r="G1144" t="s"/>
      <c r="H1144" t="s"/>
      <c r="I1144" t="s"/>
      <c r="J1144" t="n">
        <v>0.5994</v>
      </c>
      <c r="K1144" t="n">
        <v>0</v>
      </c>
      <c r="L1144" t="n">
        <v>0.671</v>
      </c>
      <c r="M1144" t="n">
        <v>0.329</v>
      </c>
    </row>
    <row r="1145" spans="1:13">
      <c r="A1145" s="1">
        <f>HYPERLINK("http://www.twitter.com/NathanBLawrence/status/1000212973435215874", "1000212973435215874")</f>
        <v/>
      </c>
      <c r="B1145" s="2" t="n">
        <v>43246.13344907408</v>
      </c>
      <c r="C1145" t="n">
        <v>0</v>
      </c>
      <c r="D1145" t="n">
        <v>522</v>
      </c>
      <c r="E1145" t="s">
        <v>1153</v>
      </c>
      <c r="F1145">
        <f>HYPERLINK("http://pbs.twimg.com/media/DeFHO67U0AAMJ9b.jpg", "http://pbs.twimg.com/media/DeFHO67U0AAMJ9b.jpg")</f>
        <v/>
      </c>
      <c r="G1145" t="s"/>
      <c r="H1145" t="s"/>
      <c r="I1145" t="s"/>
      <c r="J1145" t="n">
        <v>0.4767</v>
      </c>
      <c r="K1145" t="n">
        <v>0</v>
      </c>
      <c r="L1145" t="n">
        <v>0.838</v>
      </c>
      <c r="M1145" t="n">
        <v>0.162</v>
      </c>
    </row>
    <row r="1146" spans="1:13">
      <c r="A1146" s="1">
        <f>HYPERLINK("http://www.twitter.com/NathanBLawrence/status/1000212002193788934", "1000212002193788934")</f>
        <v/>
      </c>
      <c r="B1146" s="2" t="n">
        <v>43246.13077546296</v>
      </c>
      <c r="C1146" t="n">
        <v>0</v>
      </c>
      <c r="D1146" t="n">
        <v>605</v>
      </c>
      <c r="E1146" t="s">
        <v>1154</v>
      </c>
      <c r="F1146" t="s"/>
      <c r="G1146" t="s"/>
      <c r="H1146" t="s"/>
      <c r="I1146" t="s"/>
      <c r="J1146" t="n">
        <v>-0.7579</v>
      </c>
      <c r="K1146" t="n">
        <v>0.277</v>
      </c>
      <c r="L1146" t="n">
        <v>0.723</v>
      </c>
      <c r="M1146" t="n">
        <v>0</v>
      </c>
    </row>
    <row r="1147" spans="1:13">
      <c r="A1147" s="1">
        <f>HYPERLINK("http://www.twitter.com/NathanBLawrence/status/1000211898858655744", "1000211898858655744")</f>
        <v/>
      </c>
      <c r="B1147" s="2" t="n">
        <v>43246.13048611111</v>
      </c>
      <c r="C1147" t="n">
        <v>0</v>
      </c>
      <c r="D1147" t="n">
        <v>6640</v>
      </c>
      <c r="E1147" t="s">
        <v>1155</v>
      </c>
      <c r="F1147">
        <f>HYPERLINK("https://video.twimg.com/ext_tw_video/1000070476289527808/pu/vid/720x720/LoSo87EIZTxrE_h8.mp4?tag=3", "https://video.twimg.com/ext_tw_video/1000070476289527808/pu/vid/720x720/LoSo87EIZTxrE_h8.mp4?tag=3")</f>
        <v/>
      </c>
      <c r="G1147" t="s"/>
      <c r="H1147" t="s"/>
      <c r="I1147" t="s"/>
      <c r="J1147" t="n">
        <v>0.5266999999999999</v>
      </c>
      <c r="K1147" t="n">
        <v>0.063</v>
      </c>
      <c r="L1147" t="n">
        <v>0.784</v>
      </c>
      <c r="M1147" t="n">
        <v>0.153</v>
      </c>
    </row>
    <row r="1148" spans="1:13">
      <c r="A1148" s="1">
        <f>HYPERLINK("http://www.twitter.com/NathanBLawrence/status/1000173118751760384", "1000173118751760384")</f>
        <v/>
      </c>
      <c r="B1148" s="2" t="n">
        <v>43246.02347222222</v>
      </c>
      <c r="C1148" t="n">
        <v>0</v>
      </c>
      <c r="D1148" t="n">
        <v>0</v>
      </c>
      <c r="E1148" t="s">
        <v>1156</v>
      </c>
      <c r="F1148" t="s"/>
      <c r="G1148" t="s"/>
      <c r="H1148" t="s"/>
      <c r="I1148" t="s"/>
      <c r="J1148" t="n">
        <v>-0.5266999999999999</v>
      </c>
      <c r="K1148" t="n">
        <v>0.159</v>
      </c>
      <c r="L1148" t="n">
        <v>0.841</v>
      </c>
      <c r="M1148" t="n">
        <v>0</v>
      </c>
    </row>
    <row r="1149" spans="1:13">
      <c r="A1149" s="1">
        <f>HYPERLINK("http://www.twitter.com/NathanBLawrence/status/1000172671794065408", "1000172671794065408")</f>
        <v/>
      </c>
      <c r="B1149" s="2" t="n">
        <v>43246.0222337963</v>
      </c>
      <c r="C1149" t="n">
        <v>0</v>
      </c>
      <c r="D1149" t="n">
        <v>1</v>
      </c>
      <c r="E1149" t="s">
        <v>1157</v>
      </c>
      <c r="F1149" t="s"/>
      <c r="G1149" t="s"/>
      <c r="H1149" t="s"/>
      <c r="I1149" t="s"/>
      <c r="J1149" t="n">
        <v>0.5719</v>
      </c>
      <c r="K1149" t="n">
        <v>0</v>
      </c>
      <c r="L1149" t="n">
        <v>0.856</v>
      </c>
      <c r="M1149" t="n">
        <v>0.144</v>
      </c>
    </row>
    <row r="1150" spans="1:13">
      <c r="A1150" s="1">
        <f>HYPERLINK("http://www.twitter.com/NathanBLawrence/status/1000172492663738368", "1000172492663738368")</f>
        <v/>
      </c>
      <c r="B1150" s="2" t="n">
        <v>43246.02174768518</v>
      </c>
      <c r="C1150" t="n">
        <v>0</v>
      </c>
      <c r="D1150" t="n">
        <v>532</v>
      </c>
      <c r="E1150" t="s">
        <v>1158</v>
      </c>
      <c r="F1150" t="s"/>
      <c r="G1150" t="s"/>
      <c r="H1150" t="s"/>
      <c r="I1150" t="s"/>
      <c r="J1150" t="n">
        <v>-0.886</v>
      </c>
      <c r="K1150" t="n">
        <v>0.394</v>
      </c>
      <c r="L1150" t="n">
        <v>0.606</v>
      </c>
      <c r="M1150" t="n">
        <v>0</v>
      </c>
    </row>
    <row r="1151" spans="1:13">
      <c r="A1151" s="1">
        <f>HYPERLINK("http://www.twitter.com/NathanBLawrence/status/1000170160689438720", "1000170160689438720")</f>
        <v/>
      </c>
      <c r="B1151" s="2" t="n">
        <v>43246.0153125</v>
      </c>
      <c r="C1151" t="n">
        <v>0</v>
      </c>
      <c r="D1151" t="n">
        <v>0</v>
      </c>
      <c r="E1151" t="s">
        <v>1159</v>
      </c>
      <c r="F1151" t="s"/>
      <c r="G1151" t="s"/>
      <c r="H1151" t="s"/>
      <c r="I1151" t="s"/>
      <c r="J1151" t="n">
        <v>0</v>
      </c>
      <c r="K1151" t="n">
        <v>0</v>
      </c>
      <c r="L1151" t="n">
        <v>1</v>
      </c>
      <c r="M1151" t="n">
        <v>0</v>
      </c>
    </row>
    <row r="1152" spans="1:13">
      <c r="A1152" s="1">
        <f>HYPERLINK("http://www.twitter.com/NathanBLawrence/status/1000169669934899200", "1000169669934899200")</f>
        <v/>
      </c>
      <c r="B1152" s="2" t="n">
        <v>43246.01395833334</v>
      </c>
      <c r="C1152" t="n">
        <v>1</v>
      </c>
      <c r="D1152" t="n">
        <v>0</v>
      </c>
      <c r="E1152" t="s">
        <v>1160</v>
      </c>
      <c r="F1152" t="s"/>
      <c r="G1152" t="s"/>
      <c r="H1152" t="s"/>
      <c r="I1152" t="s"/>
      <c r="J1152" t="n">
        <v>-0.2732</v>
      </c>
      <c r="K1152" t="n">
        <v>0.13</v>
      </c>
      <c r="L1152" t="n">
        <v>0.87</v>
      </c>
      <c r="M1152" t="n">
        <v>0</v>
      </c>
    </row>
    <row r="1153" spans="1:13">
      <c r="A1153" s="1">
        <f>HYPERLINK("http://www.twitter.com/NathanBLawrence/status/1000148402829701120", "1000148402829701120")</f>
        <v/>
      </c>
      <c r="B1153" s="2" t="n">
        <v>43245.9552662037</v>
      </c>
      <c r="C1153" t="n">
        <v>0</v>
      </c>
      <c r="D1153" t="n">
        <v>852</v>
      </c>
      <c r="E1153" t="s">
        <v>1161</v>
      </c>
      <c r="F1153">
        <f>HYPERLINK("https://video.twimg.com/ext_tw_video/1000135919884627968/pu/vid/320x180/sLqQ9Bxzwe7ujbkz.mp4?tag=3", "https://video.twimg.com/ext_tw_video/1000135919884627968/pu/vid/320x180/sLqQ9Bxzwe7ujbkz.mp4?tag=3")</f>
        <v/>
      </c>
      <c r="G1153" t="s"/>
      <c r="H1153" t="s"/>
      <c r="I1153" t="s"/>
      <c r="J1153" t="n">
        <v>-0.7003</v>
      </c>
      <c r="K1153" t="n">
        <v>0.285</v>
      </c>
      <c r="L1153" t="n">
        <v>0.634</v>
      </c>
      <c r="M1153" t="n">
        <v>0.081</v>
      </c>
    </row>
    <row r="1154" spans="1:13">
      <c r="A1154" s="1">
        <f>HYPERLINK("http://www.twitter.com/NathanBLawrence/status/1000148374304239617", "1000148374304239617")</f>
        <v/>
      </c>
      <c r="B1154" s="2" t="n">
        <v>43245.95518518519</v>
      </c>
      <c r="C1154" t="n">
        <v>0</v>
      </c>
      <c r="D1154" t="n">
        <v>2</v>
      </c>
      <c r="E1154" t="s">
        <v>1162</v>
      </c>
      <c r="F1154">
        <f>HYPERLINK("http://pbs.twimg.com/media/DeE8WlAV0AAy3K7.jpg", "http://pbs.twimg.com/media/DeE8WlAV0AAy3K7.jpg")</f>
        <v/>
      </c>
      <c r="G1154" t="s"/>
      <c r="H1154" t="s"/>
      <c r="I1154" t="s"/>
      <c r="J1154" t="n">
        <v>0</v>
      </c>
      <c r="K1154" t="n">
        <v>0</v>
      </c>
      <c r="L1154" t="n">
        <v>1</v>
      </c>
      <c r="M1154" t="n">
        <v>0</v>
      </c>
    </row>
    <row r="1155" spans="1:13">
      <c r="A1155" s="1">
        <f>HYPERLINK("http://www.twitter.com/NathanBLawrence/status/1000148252971368448", "1000148252971368448")</f>
        <v/>
      </c>
      <c r="B1155" s="2" t="n">
        <v>43245.95486111111</v>
      </c>
      <c r="C1155" t="n">
        <v>0</v>
      </c>
      <c r="D1155" t="n">
        <v>3</v>
      </c>
      <c r="E1155" t="s">
        <v>1163</v>
      </c>
      <c r="F1155" t="s"/>
      <c r="G1155" t="s"/>
      <c r="H1155" t="s"/>
      <c r="I1155" t="s"/>
      <c r="J1155" t="n">
        <v>-0.3164</v>
      </c>
      <c r="K1155" t="n">
        <v>0.203</v>
      </c>
      <c r="L1155" t="n">
        <v>0.797</v>
      </c>
      <c r="M1155" t="n">
        <v>0</v>
      </c>
    </row>
    <row r="1156" spans="1:13">
      <c r="A1156" s="1">
        <f>HYPERLINK("http://www.twitter.com/NathanBLawrence/status/1000148198042882048", "1000148198042882048")</f>
        <v/>
      </c>
      <c r="B1156" s="2" t="n">
        <v>43245.95469907407</v>
      </c>
      <c r="C1156" t="n">
        <v>0</v>
      </c>
      <c r="D1156" t="n">
        <v>69</v>
      </c>
      <c r="E1156" t="s">
        <v>1164</v>
      </c>
      <c r="F1156" t="s"/>
      <c r="G1156" t="s"/>
      <c r="H1156" t="s"/>
      <c r="I1156" t="s"/>
      <c r="J1156" t="n">
        <v>0.5994</v>
      </c>
      <c r="K1156" t="n">
        <v>0</v>
      </c>
      <c r="L1156" t="n">
        <v>0.776</v>
      </c>
      <c r="M1156" t="n">
        <v>0.224</v>
      </c>
    </row>
    <row r="1157" spans="1:13">
      <c r="A1157" s="1">
        <f>HYPERLINK("http://www.twitter.com/NathanBLawrence/status/1000148153574838273", "1000148153574838273")</f>
        <v/>
      </c>
      <c r="B1157" s="2" t="n">
        <v>43245.95458333333</v>
      </c>
      <c r="C1157" t="n">
        <v>0</v>
      </c>
      <c r="D1157" t="n">
        <v>355</v>
      </c>
      <c r="E1157" t="s">
        <v>1165</v>
      </c>
      <c r="F1157">
        <f>HYPERLINK("http://pbs.twimg.com/media/DeE0dtzWAAYRS4O.jpg", "http://pbs.twimg.com/media/DeE0dtzWAAYRS4O.jpg")</f>
        <v/>
      </c>
      <c r="G1157" t="s"/>
      <c r="H1157" t="s"/>
      <c r="I1157" t="s"/>
      <c r="J1157" t="n">
        <v>0.5411</v>
      </c>
      <c r="K1157" t="n">
        <v>0</v>
      </c>
      <c r="L1157" t="n">
        <v>0.83</v>
      </c>
      <c r="M1157" t="n">
        <v>0.17</v>
      </c>
    </row>
    <row r="1158" spans="1:13">
      <c r="A1158" s="1">
        <f>HYPERLINK("http://www.twitter.com/NathanBLawrence/status/1000134607516393474", "1000134607516393474")</f>
        <v/>
      </c>
      <c r="B1158" s="2" t="n">
        <v>43245.91719907407</v>
      </c>
      <c r="C1158" t="n">
        <v>1</v>
      </c>
      <c r="D1158" t="n">
        <v>0</v>
      </c>
      <c r="E1158" t="s">
        <v>1166</v>
      </c>
      <c r="F1158" t="s"/>
      <c r="G1158" t="s"/>
      <c r="H1158" t="s"/>
      <c r="I1158" t="s"/>
      <c r="J1158" t="n">
        <v>0.7345</v>
      </c>
      <c r="K1158" t="n">
        <v>0</v>
      </c>
      <c r="L1158" t="n">
        <v>0.677</v>
      </c>
      <c r="M1158" t="n">
        <v>0.323</v>
      </c>
    </row>
    <row r="1159" spans="1:13">
      <c r="A1159" s="1">
        <f>HYPERLINK("http://www.twitter.com/NathanBLawrence/status/1000123528698580993", "1000123528698580993")</f>
        <v/>
      </c>
      <c r="B1159" s="2" t="n">
        <v>43245.88663194444</v>
      </c>
      <c r="C1159" t="n">
        <v>0</v>
      </c>
      <c r="D1159" t="n">
        <v>1</v>
      </c>
      <c r="E1159" t="s">
        <v>1167</v>
      </c>
      <c r="F1159" t="s"/>
      <c r="G1159" t="s"/>
      <c r="H1159" t="s"/>
      <c r="I1159" t="s"/>
      <c r="J1159" t="n">
        <v>0.25</v>
      </c>
      <c r="K1159" t="n">
        <v>0.094</v>
      </c>
      <c r="L1159" t="n">
        <v>0.759</v>
      </c>
      <c r="M1159" t="n">
        <v>0.147</v>
      </c>
    </row>
    <row r="1160" spans="1:13">
      <c r="A1160" s="1">
        <f>HYPERLINK("http://www.twitter.com/NathanBLawrence/status/1000121634601172994", "1000121634601172994")</f>
        <v/>
      </c>
      <c r="B1160" s="2" t="n">
        <v>43245.88140046296</v>
      </c>
      <c r="C1160" t="n">
        <v>1</v>
      </c>
      <c r="D1160" t="n">
        <v>0</v>
      </c>
      <c r="E1160" t="s">
        <v>1168</v>
      </c>
      <c r="F1160" t="s"/>
      <c r="G1160" t="s"/>
      <c r="H1160" t="s"/>
      <c r="I1160" t="s"/>
      <c r="J1160" t="n">
        <v>0</v>
      </c>
      <c r="K1160" t="n">
        <v>0</v>
      </c>
      <c r="L1160" t="n">
        <v>1</v>
      </c>
      <c r="M1160" t="n">
        <v>0</v>
      </c>
    </row>
    <row r="1161" spans="1:13">
      <c r="A1161" s="1">
        <f>HYPERLINK("http://www.twitter.com/NathanBLawrence/status/1000120924627193858", "1000120924627193858")</f>
        <v/>
      </c>
      <c r="B1161" s="2" t="n">
        <v>43245.87944444444</v>
      </c>
      <c r="C1161" t="n">
        <v>3</v>
      </c>
      <c r="D1161" t="n">
        <v>0</v>
      </c>
      <c r="E1161" t="s">
        <v>1169</v>
      </c>
      <c r="F1161" t="s"/>
      <c r="G1161" t="s"/>
      <c r="H1161" t="s"/>
      <c r="I1161" t="s"/>
      <c r="J1161" t="n">
        <v>-0.7579</v>
      </c>
      <c r="K1161" t="n">
        <v>0.224</v>
      </c>
      <c r="L1161" t="n">
        <v>0.776</v>
      </c>
      <c r="M1161" t="n">
        <v>0</v>
      </c>
    </row>
    <row r="1162" spans="1:13">
      <c r="A1162" s="1">
        <f>HYPERLINK("http://www.twitter.com/NathanBLawrence/status/1000120277559324673", "1000120277559324673")</f>
        <v/>
      </c>
      <c r="B1162" s="2" t="n">
        <v>43245.87766203703</v>
      </c>
      <c r="C1162" t="n">
        <v>0</v>
      </c>
      <c r="D1162" t="n">
        <v>2</v>
      </c>
      <c r="E1162" t="s">
        <v>1170</v>
      </c>
      <c r="F1162" t="s"/>
      <c r="G1162" t="s"/>
      <c r="H1162" t="s"/>
      <c r="I1162" t="s"/>
      <c r="J1162" t="n">
        <v>-0.7096</v>
      </c>
      <c r="K1162" t="n">
        <v>0.254</v>
      </c>
      <c r="L1162" t="n">
        <v>0.662</v>
      </c>
      <c r="M1162" t="n">
        <v>0.08400000000000001</v>
      </c>
    </row>
    <row r="1163" spans="1:13">
      <c r="A1163" s="1">
        <f>HYPERLINK("http://www.twitter.com/NathanBLawrence/status/1000120039016685570", "1000120039016685570")</f>
        <v/>
      </c>
      <c r="B1163" s="2" t="n">
        <v>43245.87700231482</v>
      </c>
      <c r="C1163" t="n">
        <v>0</v>
      </c>
      <c r="D1163" t="n">
        <v>26830</v>
      </c>
      <c r="E1163" t="s">
        <v>1171</v>
      </c>
      <c r="F1163" t="s"/>
      <c r="G1163" t="s"/>
      <c r="H1163" t="s"/>
      <c r="I1163" t="s"/>
      <c r="J1163" t="n">
        <v>0.3612</v>
      </c>
      <c r="K1163" t="n">
        <v>0</v>
      </c>
      <c r="L1163" t="n">
        <v>0.898</v>
      </c>
      <c r="M1163" t="n">
        <v>0.102</v>
      </c>
    </row>
    <row r="1164" spans="1:13">
      <c r="A1164" s="1">
        <f>HYPERLINK("http://www.twitter.com/NathanBLawrence/status/1000119866534387713", "1000119866534387713")</f>
        <v/>
      </c>
      <c r="B1164" s="2" t="n">
        <v>43245.87652777778</v>
      </c>
      <c r="C1164" t="n">
        <v>0</v>
      </c>
      <c r="D1164" t="n">
        <v>1761</v>
      </c>
      <c r="E1164" t="s">
        <v>1172</v>
      </c>
      <c r="F1164" t="s"/>
      <c r="G1164" t="s"/>
      <c r="H1164" t="s"/>
      <c r="I1164" t="s"/>
      <c r="J1164" t="n">
        <v>0.8061</v>
      </c>
      <c r="K1164" t="n">
        <v>0</v>
      </c>
      <c r="L1164" t="n">
        <v>0.767</v>
      </c>
      <c r="M1164" t="n">
        <v>0.233</v>
      </c>
    </row>
    <row r="1165" spans="1:13">
      <c r="A1165" s="1">
        <f>HYPERLINK("http://www.twitter.com/NathanBLawrence/status/1000119577739702272", "1000119577739702272")</f>
        <v/>
      </c>
      <c r="B1165" s="2" t="n">
        <v>43245.87572916667</v>
      </c>
      <c r="C1165" t="n">
        <v>0</v>
      </c>
      <c r="D1165" t="n">
        <v>96</v>
      </c>
      <c r="E1165" t="s">
        <v>1173</v>
      </c>
      <c r="F1165" t="s"/>
      <c r="G1165" t="s"/>
      <c r="H1165" t="s"/>
      <c r="I1165" t="s"/>
      <c r="J1165" t="n">
        <v>0.4215</v>
      </c>
      <c r="K1165" t="n">
        <v>0</v>
      </c>
      <c r="L1165" t="n">
        <v>0.823</v>
      </c>
      <c r="M1165" t="n">
        <v>0.177</v>
      </c>
    </row>
    <row r="1166" spans="1:13">
      <c r="A1166" s="1">
        <f>HYPERLINK("http://www.twitter.com/NathanBLawrence/status/1000118295792635904", "1000118295792635904")</f>
        <v/>
      </c>
      <c r="B1166" s="2" t="n">
        <v>43245.8721875</v>
      </c>
      <c r="C1166" t="n">
        <v>0</v>
      </c>
      <c r="D1166" t="n">
        <v>271</v>
      </c>
      <c r="E1166" t="s">
        <v>1174</v>
      </c>
      <c r="F1166">
        <f>HYPERLINK("https://video.twimg.com/amplify_video/1000031504679030784/vid/1280x720/NfF8IqP42MYwxiYW.mp4?tag=2", "https://video.twimg.com/amplify_video/1000031504679030784/vid/1280x720/NfF8IqP42MYwxiYW.mp4?tag=2")</f>
        <v/>
      </c>
      <c r="G1166" t="s"/>
      <c r="H1166" t="s"/>
      <c r="I1166" t="s"/>
      <c r="J1166" t="n">
        <v>-0.0516</v>
      </c>
      <c r="K1166" t="n">
        <v>0.052</v>
      </c>
      <c r="L1166" t="n">
        <v>0.948</v>
      </c>
      <c r="M1166" t="n">
        <v>0</v>
      </c>
    </row>
    <row r="1167" spans="1:13">
      <c r="A1167" s="1">
        <f>HYPERLINK("http://www.twitter.com/NathanBLawrence/status/1000118247734341635", "1000118247734341635")</f>
        <v/>
      </c>
      <c r="B1167" s="2" t="n">
        <v>43245.87206018518</v>
      </c>
      <c r="C1167" t="n">
        <v>0</v>
      </c>
      <c r="D1167" t="n">
        <v>1322</v>
      </c>
      <c r="E1167" t="s">
        <v>1175</v>
      </c>
      <c r="F1167">
        <f>HYPERLINK("http://pbs.twimg.com/media/DeDSymIW0AEaJf5.jpg", "http://pbs.twimg.com/media/DeDSymIW0AEaJf5.jpg")</f>
        <v/>
      </c>
      <c r="G1167" t="s"/>
      <c r="H1167" t="s"/>
      <c r="I1167" t="s"/>
      <c r="J1167" t="n">
        <v>0.8375</v>
      </c>
      <c r="K1167" t="n">
        <v>0.042</v>
      </c>
      <c r="L1167" t="n">
        <v>0.655</v>
      </c>
      <c r="M1167" t="n">
        <v>0.302</v>
      </c>
    </row>
    <row r="1168" spans="1:13">
      <c r="A1168" s="1">
        <f>HYPERLINK("http://www.twitter.com/NathanBLawrence/status/1000118177458769920", "1000118177458769920")</f>
        <v/>
      </c>
      <c r="B1168" s="2" t="n">
        <v>43245.87186342593</v>
      </c>
      <c r="C1168" t="n">
        <v>0</v>
      </c>
      <c r="D1168" t="n">
        <v>505</v>
      </c>
      <c r="E1168" t="s">
        <v>1176</v>
      </c>
      <c r="F1168">
        <f>HYPERLINK("http://pbs.twimg.com/media/DeEPYn1UQAAj-zQ.jpg", "http://pbs.twimg.com/media/DeEPYn1UQAAj-zQ.jpg")</f>
        <v/>
      </c>
      <c r="G1168" t="s"/>
      <c r="H1168" t="s"/>
      <c r="I1168" t="s"/>
      <c r="J1168" t="n">
        <v>0.7213000000000001</v>
      </c>
      <c r="K1168" t="n">
        <v>0.068</v>
      </c>
      <c r="L1168" t="n">
        <v>0.6830000000000001</v>
      </c>
      <c r="M1168" t="n">
        <v>0.249</v>
      </c>
    </row>
    <row r="1169" spans="1:13">
      <c r="A1169" s="1">
        <f>HYPERLINK("http://www.twitter.com/NathanBLawrence/status/1000118106973442049", "1000118106973442049")</f>
        <v/>
      </c>
      <c r="B1169" s="2" t="n">
        <v>43245.87166666667</v>
      </c>
      <c r="C1169" t="n">
        <v>0</v>
      </c>
      <c r="D1169" t="n">
        <v>14</v>
      </c>
      <c r="E1169" t="s">
        <v>1177</v>
      </c>
      <c r="F1169" t="s"/>
      <c r="G1169" t="s"/>
      <c r="H1169" t="s"/>
      <c r="I1169" t="s"/>
      <c r="J1169" t="n">
        <v>-0.34</v>
      </c>
      <c r="K1169" t="n">
        <v>0.08799999999999999</v>
      </c>
      <c r="L1169" t="n">
        <v>0.912</v>
      </c>
      <c r="M1169" t="n">
        <v>0</v>
      </c>
    </row>
    <row r="1170" spans="1:13">
      <c r="A1170" s="1">
        <f>HYPERLINK("http://www.twitter.com/NathanBLawrence/status/1000117968032976896", "1000117968032976896")</f>
        <v/>
      </c>
      <c r="B1170" s="2" t="n">
        <v>43245.87128472222</v>
      </c>
      <c r="C1170" t="n">
        <v>0</v>
      </c>
      <c r="D1170" t="n">
        <v>26</v>
      </c>
      <c r="E1170" t="s">
        <v>1178</v>
      </c>
      <c r="F1170" t="s"/>
      <c r="G1170" t="s"/>
      <c r="H1170" t="s"/>
      <c r="I1170" t="s"/>
      <c r="J1170" t="n">
        <v>-0.347</v>
      </c>
      <c r="K1170" t="n">
        <v>0.327</v>
      </c>
      <c r="L1170" t="n">
        <v>0.673</v>
      </c>
      <c r="M1170" t="n">
        <v>0</v>
      </c>
    </row>
    <row r="1171" spans="1:13">
      <c r="A1171" s="1">
        <f>HYPERLINK("http://www.twitter.com/NathanBLawrence/status/1000117836071735302", "1000117836071735302")</f>
        <v/>
      </c>
      <c r="B1171" s="2" t="n">
        <v>43245.87092592593</v>
      </c>
      <c r="C1171" t="n">
        <v>0</v>
      </c>
      <c r="D1171" t="n">
        <v>6</v>
      </c>
      <c r="E1171" t="s">
        <v>1179</v>
      </c>
      <c r="F1171" t="s"/>
      <c r="G1171" t="s"/>
      <c r="H1171" t="s"/>
      <c r="I1171" t="s"/>
      <c r="J1171" t="n">
        <v>0.3749</v>
      </c>
      <c r="K1171" t="n">
        <v>0</v>
      </c>
      <c r="L1171" t="n">
        <v>0.797</v>
      </c>
      <c r="M1171" t="n">
        <v>0.203</v>
      </c>
    </row>
    <row r="1172" spans="1:13">
      <c r="A1172" s="1">
        <f>HYPERLINK("http://www.twitter.com/NathanBLawrence/status/1000115222504493056", "1000115222504493056")</f>
        <v/>
      </c>
      <c r="B1172" s="2" t="n">
        <v>43245.8637037037</v>
      </c>
      <c r="C1172" t="n">
        <v>0</v>
      </c>
      <c r="D1172" t="n">
        <v>12</v>
      </c>
      <c r="E1172" t="s">
        <v>1180</v>
      </c>
      <c r="F1172" t="s"/>
      <c r="G1172" t="s"/>
      <c r="H1172" t="s"/>
      <c r="I1172" t="s"/>
      <c r="J1172" t="n">
        <v>0.3382</v>
      </c>
      <c r="K1172" t="n">
        <v>0.082</v>
      </c>
      <c r="L1172" t="n">
        <v>0.784</v>
      </c>
      <c r="M1172" t="n">
        <v>0.134</v>
      </c>
    </row>
    <row r="1173" spans="1:13">
      <c r="A1173" s="1">
        <f>HYPERLINK("http://www.twitter.com/NathanBLawrence/status/1000115162681106432", "1000115162681106432")</f>
        <v/>
      </c>
      <c r="B1173" s="2" t="n">
        <v>43245.86354166667</v>
      </c>
      <c r="C1173" t="n">
        <v>0</v>
      </c>
      <c r="D1173" t="n">
        <v>144</v>
      </c>
      <c r="E1173" t="s">
        <v>1181</v>
      </c>
      <c r="F1173" t="s"/>
      <c r="G1173" t="s"/>
      <c r="H1173" t="s"/>
      <c r="I1173" t="s"/>
      <c r="J1173" t="n">
        <v>0.2023</v>
      </c>
      <c r="K1173" t="n">
        <v>0.127</v>
      </c>
      <c r="L1173" t="n">
        <v>0.6850000000000001</v>
      </c>
      <c r="M1173" t="n">
        <v>0.188</v>
      </c>
    </row>
    <row r="1174" spans="1:13">
      <c r="A1174" s="1">
        <f>HYPERLINK("http://www.twitter.com/NathanBLawrence/status/1000114866374537216", "1000114866374537216")</f>
        <v/>
      </c>
      <c r="B1174" s="2" t="n">
        <v>43245.86273148148</v>
      </c>
      <c r="C1174" t="n">
        <v>0</v>
      </c>
      <c r="D1174" t="n">
        <v>98</v>
      </c>
      <c r="E1174" t="s">
        <v>1182</v>
      </c>
      <c r="F1174" t="s"/>
      <c r="G1174" t="s"/>
      <c r="H1174" t="s"/>
      <c r="I1174" t="s"/>
      <c r="J1174" t="n">
        <v>0</v>
      </c>
      <c r="K1174" t="n">
        <v>0</v>
      </c>
      <c r="L1174" t="n">
        <v>1</v>
      </c>
      <c r="M1174" t="n">
        <v>0</v>
      </c>
    </row>
    <row r="1175" spans="1:13">
      <c r="A1175" s="1">
        <f>HYPERLINK("http://www.twitter.com/NathanBLawrence/status/1000112340019417088", "1000112340019417088")</f>
        <v/>
      </c>
      <c r="B1175" s="2" t="n">
        <v>43245.85575231481</v>
      </c>
      <c r="C1175" t="n">
        <v>0</v>
      </c>
      <c r="D1175" t="n">
        <v>0</v>
      </c>
      <c r="E1175" t="s">
        <v>1183</v>
      </c>
      <c r="F1175" t="s"/>
      <c r="G1175" t="s"/>
      <c r="H1175" t="s"/>
      <c r="I1175" t="s"/>
      <c r="J1175" t="n">
        <v>0.1695</v>
      </c>
      <c r="K1175" t="n">
        <v>0</v>
      </c>
      <c r="L1175" t="n">
        <v>0.915</v>
      </c>
      <c r="M1175" t="n">
        <v>0.08500000000000001</v>
      </c>
    </row>
    <row r="1176" spans="1:13">
      <c r="A1176" s="1">
        <f>HYPERLINK("http://www.twitter.com/NathanBLawrence/status/1000111669446496256", "1000111669446496256")</f>
        <v/>
      </c>
      <c r="B1176" s="2" t="n">
        <v>43245.85390046296</v>
      </c>
      <c r="C1176" t="n">
        <v>0</v>
      </c>
      <c r="D1176" t="n">
        <v>8492</v>
      </c>
      <c r="E1176" t="s">
        <v>1184</v>
      </c>
      <c r="F1176" t="s"/>
      <c r="G1176" t="s"/>
      <c r="H1176" t="s"/>
      <c r="I1176" t="s"/>
      <c r="J1176" t="n">
        <v>0.3802</v>
      </c>
      <c r="K1176" t="n">
        <v>0</v>
      </c>
      <c r="L1176" t="n">
        <v>0.885</v>
      </c>
      <c r="M1176" t="n">
        <v>0.115</v>
      </c>
    </row>
    <row r="1177" spans="1:13">
      <c r="A1177" s="1">
        <f>HYPERLINK("http://www.twitter.com/NathanBLawrence/status/1000111436406935553", "1000111436406935553")</f>
        <v/>
      </c>
      <c r="B1177" s="2" t="n">
        <v>43245.85326388889</v>
      </c>
      <c r="C1177" t="n">
        <v>0</v>
      </c>
      <c r="D1177" t="n">
        <v>194</v>
      </c>
      <c r="E1177" t="s">
        <v>1185</v>
      </c>
      <c r="F1177" t="s"/>
      <c r="G1177" t="s"/>
      <c r="H1177" t="s"/>
      <c r="I1177" t="s"/>
      <c r="J1177" t="n">
        <v>0</v>
      </c>
      <c r="K1177" t="n">
        <v>0</v>
      </c>
      <c r="L1177" t="n">
        <v>1</v>
      </c>
      <c r="M1177" t="n">
        <v>0</v>
      </c>
    </row>
    <row r="1178" spans="1:13">
      <c r="A1178" s="1">
        <f>HYPERLINK("http://www.twitter.com/NathanBLawrence/status/1000111292500316160", "1000111292500316160")</f>
        <v/>
      </c>
      <c r="B1178" s="2" t="n">
        <v>43245.85285879629</v>
      </c>
      <c r="C1178" t="n">
        <v>0</v>
      </c>
      <c r="D1178" t="n">
        <v>182</v>
      </c>
      <c r="E1178" t="s">
        <v>1186</v>
      </c>
      <c r="F1178" t="s"/>
      <c r="G1178" t="s"/>
      <c r="H1178" t="s"/>
      <c r="I1178" t="s"/>
      <c r="J1178" t="n">
        <v>0</v>
      </c>
      <c r="K1178" t="n">
        <v>0</v>
      </c>
      <c r="L1178" t="n">
        <v>1</v>
      </c>
      <c r="M1178" t="n">
        <v>0</v>
      </c>
    </row>
    <row r="1179" spans="1:13">
      <c r="A1179" s="1">
        <f>HYPERLINK("http://www.twitter.com/NathanBLawrence/status/1000111183586832385", "1000111183586832385")</f>
        <v/>
      </c>
      <c r="B1179" s="2" t="n">
        <v>43245.85255787037</v>
      </c>
      <c r="C1179" t="n">
        <v>0</v>
      </c>
      <c r="D1179" t="n">
        <v>216</v>
      </c>
      <c r="E1179" t="s">
        <v>1187</v>
      </c>
      <c r="F1179" t="s"/>
      <c r="G1179" t="s"/>
      <c r="H1179" t="s"/>
      <c r="I1179" t="s"/>
      <c r="J1179" t="n">
        <v>0.6115</v>
      </c>
      <c r="K1179" t="n">
        <v>0</v>
      </c>
      <c r="L1179" t="n">
        <v>0.762</v>
      </c>
      <c r="M1179" t="n">
        <v>0.238</v>
      </c>
    </row>
    <row r="1180" spans="1:13">
      <c r="A1180" s="1">
        <f>HYPERLINK("http://www.twitter.com/NathanBLawrence/status/1000110408269729793", "1000110408269729793")</f>
        <v/>
      </c>
      <c r="B1180" s="2" t="n">
        <v>43245.85042824074</v>
      </c>
      <c r="C1180" t="n">
        <v>0</v>
      </c>
      <c r="D1180" t="n">
        <v>103</v>
      </c>
      <c r="E1180" t="s">
        <v>1188</v>
      </c>
      <c r="F1180" t="s"/>
      <c r="G1180" t="s"/>
      <c r="H1180" t="s"/>
      <c r="I1180" t="s"/>
      <c r="J1180" t="n">
        <v>-0.4939</v>
      </c>
      <c r="K1180" t="n">
        <v>0.158</v>
      </c>
      <c r="L1180" t="n">
        <v>0.842</v>
      </c>
      <c r="M1180" t="n">
        <v>0</v>
      </c>
    </row>
    <row r="1181" spans="1:13">
      <c r="A1181" s="1">
        <f>HYPERLINK("http://www.twitter.com/NathanBLawrence/status/1000109442296369152", "1000109442296369152")</f>
        <v/>
      </c>
      <c r="B1181" s="2" t="n">
        <v>43245.84775462963</v>
      </c>
      <c r="C1181" t="n">
        <v>0</v>
      </c>
      <c r="D1181" t="n">
        <v>50</v>
      </c>
      <c r="E1181" t="s">
        <v>1189</v>
      </c>
      <c r="F1181" t="s"/>
      <c r="G1181" t="s"/>
      <c r="H1181" t="s"/>
      <c r="I1181" t="s"/>
      <c r="J1181" t="n">
        <v>0.101</v>
      </c>
      <c r="K1181" t="n">
        <v>0</v>
      </c>
      <c r="L1181" t="n">
        <v>0.928</v>
      </c>
      <c r="M1181" t="n">
        <v>0.07199999999999999</v>
      </c>
    </row>
    <row r="1182" spans="1:13">
      <c r="A1182" s="1">
        <f>HYPERLINK("http://www.twitter.com/NathanBLawrence/status/1000109387942424577", "1000109387942424577")</f>
        <v/>
      </c>
      <c r="B1182" s="2" t="n">
        <v>43245.84760416667</v>
      </c>
      <c r="C1182" t="n">
        <v>0</v>
      </c>
      <c r="D1182" t="n">
        <v>40</v>
      </c>
      <c r="E1182" t="s">
        <v>1190</v>
      </c>
      <c r="F1182" t="s"/>
      <c r="G1182" t="s"/>
      <c r="H1182" t="s"/>
      <c r="I1182" t="s"/>
      <c r="J1182" t="n">
        <v>-0.7003</v>
      </c>
      <c r="K1182" t="n">
        <v>0.195</v>
      </c>
      <c r="L1182" t="n">
        <v>0.805</v>
      </c>
      <c r="M1182" t="n">
        <v>0</v>
      </c>
    </row>
    <row r="1183" spans="1:13">
      <c r="A1183" s="1">
        <f>HYPERLINK("http://www.twitter.com/NathanBLawrence/status/1000109243637358593", "1000109243637358593")</f>
        <v/>
      </c>
      <c r="B1183" s="2" t="n">
        <v>43245.84721064815</v>
      </c>
      <c r="C1183" t="n">
        <v>0</v>
      </c>
      <c r="D1183" t="n">
        <v>263</v>
      </c>
      <c r="E1183" t="s">
        <v>1191</v>
      </c>
      <c r="F1183" t="s"/>
      <c r="G1183" t="s"/>
      <c r="H1183" t="s"/>
      <c r="I1183" t="s"/>
      <c r="J1183" t="n">
        <v>-0.4404</v>
      </c>
      <c r="K1183" t="n">
        <v>0.209</v>
      </c>
      <c r="L1183" t="n">
        <v>0.791</v>
      </c>
      <c r="M1183" t="n">
        <v>0</v>
      </c>
    </row>
    <row r="1184" spans="1:13">
      <c r="A1184" s="1">
        <f>HYPERLINK("http://www.twitter.com/NathanBLawrence/status/1000109190608801792", "1000109190608801792")</f>
        <v/>
      </c>
      <c r="B1184" s="2" t="n">
        <v>43245.84706018519</v>
      </c>
      <c r="C1184" t="n">
        <v>0</v>
      </c>
      <c r="D1184" t="n">
        <v>62</v>
      </c>
      <c r="E1184" t="s">
        <v>1192</v>
      </c>
      <c r="F1184" t="s"/>
      <c r="G1184" t="s"/>
      <c r="H1184" t="s"/>
      <c r="I1184" t="s"/>
      <c r="J1184" t="n">
        <v>0</v>
      </c>
      <c r="K1184" t="n">
        <v>0</v>
      </c>
      <c r="L1184" t="n">
        <v>1</v>
      </c>
      <c r="M1184" t="n">
        <v>0</v>
      </c>
    </row>
    <row r="1185" spans="1:13">
      <c r="A1185" s="1">
        <f>HYPERLINK("http://www.twitter.com/NathanBLawrence/status/1000108701792067590", "1000108701792067590")</f>
        <v/>
      </c>
      <c r="B1185" s="2" t="n">
        <v>43245.84571759259</v>
      </c>
      <c r="C1185" t="n">
        <v>0</v>
      </c>
      <c r="D1185" t="n">
        <v>0</v>
      </c>
      <c r="E1185" t="s">
        <v>1193</v>
      </c>
      <c r="F1185" t="s"/>
      <c r="G1185" t="s"/>
      <c r="H1185" t="s"/>
      <c r="I1185" t="s"/>
      <c r="J1185" t="n">
        <v>0</v>
      </c>
      <c r="K1185" t="n">
        <v>0</v>
      </c>
      <c r="L1185" t="n">
        <v>1</v>
      </c>
      <c r="M1185" t="n">
        <v>0</v>
      </c>
    </row>
    <row r="1186" spans="1:13">
      <c r="A1186" s="1">
        <f>HYPERLINK("http://www.twitter.com/NathanBLawrence/status/1000108180511297536", "1000108180511297536")</f>
        <v/>
      </c>
      <c r="B1186" s="2" t="n">
        <v>43245.84428240741</v>
      </c>
      <c r="C1186" t="n">
        <v>0</v>
      </c>
      <c r="D1186" t="n">
        <v>0</v>
      </c>
      <c r="E1186" t="s">
        <v>1194</v>
      </c>
      <c r="F1186" t="s"/>
      <c r="G1186" t="s"/>
      <c r="H1186" t="s"/>
      <c r="I1186" t="s"/>
      <c r="J1186" t="n">
        <v>0.0772</v>
      </c>
      <c r="K1186" t="n">
        <v>0</v>
      </c>
      <c r="L1186" t="n">
        <v>0.915</v>
      </c>
      <c r="M1186" t="n">
        <v>0.08500000000000001</v>
      </c>
    </row>
    <row r="1187" spans="1:13">
      <c r="A1187" s="1">
        <f>HYPERLINK("http://www.twitter.com/NathanBLawrence/status/1000090674564300800", "1000090674564300800")</f>
        <v/>
      </c>
      <c r="B1187" s="2" t="n">
        <v>43245.79597222222</v>
      </c>
      <c r="C1187" t="n">
        <v>0</v>
      </c>
      <c r="D1187" t="n">
        <v>456</v>
      </c>
      <c r="E1187" t="s">
        <v>1195</v>
      </c>
      <c r="F1187">
        <f>HYPERLINK("http://pbs.twimg.com/media/DeDdQgrVQAAomxg.jpg", "http://pbs.twimg.com/media/DeDdQgrVQAAomxg.jpg")</f>
        <v/>
      </c>
      <c r="G1187" t="s"/>
      <c r="H1187" t="s"/>
      <c r="I1187" t="s"/>
      <c r="J1187" t="n">
        <v>0.656</v>
      </c>
      <c r="K1187" t="n">
        <v>0.124</v>
      </c>
      <c r="L1187" t="n">
        <v>0.621</v>
      </c>
      <c r="M1187" t="n">
        <v>0.255</v>
      </c>
    </row>
    <row r="1188" spans="1:13">
      <c r="A1188" s="1">
        <f>HYPERLINK("http://www.twitter.com/NathanBLawrence/status/1000053000784752640", "1000053000784752640")</f>
        <v/>
      </c>
      <c r="B1188" s="2" t="n">
        <v>43245.69201388889</v>
      </c>
      <c r="C1188" t="n">
        <v>0</v>
      </c>
      <c r="D1188" t="n">
        <v>1</v>
      </c>
      <c r="E1188" t="s">
        <v>1196</v>
      </c>
      <c r="F1188" t="s"/>
      <c r="G1188" t="s"/>
      <c r="H1188" t="s"/>
      <c r="I1188" t="s"/>
      <c r="J1188" t="n">
        <v>-0.25</v>
      </c>
      <c r="K1188" t="n">
        <v>0.049</v>
      </c>
      <c r="L1188" t="n">
        <v>0.951</v>
      </c>
      <c r="M1188" t="n">
        <v>0</v>
      </c>
    </row>
    <row r="1189" spans="1:13">
      <c r="A1189" s="1">
        <f>HYPERLINK("http://www.twitter.com/NathanBLawrence/status/1000046283766292481", "1000046283766292481")</f>
        <v/>
      </c>
      <c r="B1189" s="2" t="n">
        <v>43245.67347222222</v>
      </c>
      <c r="C1189" t="n">
        <v>0</v>
      </c>
      <c r="D1189" t="n">
        <v>1</v>
      </c>
      <c r="E1189" t="s">
        <v>1197</v>
      </c>
      <c r="F1189" t="s"/>
      <c r="G1189" t="s"/>
      <c r="H1189" t="s"/>
      <c r="I1189" t="s"/>
      <c r="J1189" t="n">
        <v>0.5266999999999999</v>
      </c>
      <c r="K1189" t="n">
        <v>0</v>
      </c>
      <c r="L1189" t="n">
        <v>0.804</v>
      </c>
      <c r="M1189" t="n">
        <v>0.196</v>
      </c>
    </row>
    <row r="1190" spans="1:13">
      <c r="A1190" s="1">
        <f>HYPERLINK("http://www.twitter.com/NathanBLawrence/status/1000038426664685570", "1000038426664685570")</f>
        <v/>
      </c>
      <c r="B1190" s="2" t="n">
        <v>43245.65179398148</v>
      </c>
      <c r="C1190" t="n">
        <v>0</v>
      </c>
      <c r="D1190" t="n">
        <v>0</v>
      </c>
      <c r="E1190" t="s">
        <v>1198</v>
      </c>
      <c r="F1190" t="s"/>
      <c r="G1190" t="s"/>
      <c r="H1190" t="s"/>
      <c r="I1190" t="s"/>
      <c r="J1190" t="n">
        <v>0.0276</v>
      </c>
      <c r="K1190" t="n">
        <v>0.142</v>
      </c>
      <c r="L1190" t="n">
        <v>0.711</v>
      </c>
      <c r="M1190" t="n">
        <v>0.148</v>
      </c>
    </row>
    <row r="1191" spans="1:13">
      <c r="A1191" s="1">
        <f>HYPERLINK("http://www.twitter.com/NathanBLawrence/status/1000023664904097793", "1000023664904097793")</f>
        <v/>
      </c>
      <c r="B1191" s="2" t="n">
        <v>43245.61105324074</v>
      </c>
      <c r="C1191" t="n">
        <v>0</v>
      </c>
      <c r="D1191" t="n">
        <v>6654</v>
      </c>
      <c r="E1191" t="s">
        <v>1199</v>
      </c>
      <c r="F1191" t="s"/>
      <c r="G1191" t="s"/>
      <c r="H1191" t="s"/>
      <c r="I1191" t="s"/>
      <c r="J1191" t="n">
        <v>-0.0516</v>
      </c>
      <c r="K1191" t="n">
        <v>0.096</v>
      </c>
      <c r="L1191" t="n">
        <v>0.8159999999999999</v>
      </c>
      <c r="M1191" t="n">
        <v>0.089</v>
      </c>
    </row>
    <row r="1192" spans="1:13">
      <c r="A1192" s="1">
        <f>HYPERLINK("http://www.twitter.com/NathanBLawrence/status/1000023627570479104", "1000023627570479104")</f>
        <v/>
      </c>
      <c r="B1192" s="2" t="n">
        <v>43245.61096064815</v>
      </c>
      <c r="C1192" t="n">
        <v>0</v>
      </c>
      <c r="D1192" t="n">
        <v>2131</v>
      </c>
      <c r="E1192" t="s">
        <v>1200</v>
      </c>
      <c r="F1192" t="s"/>
      <c r="G1192" t="s"/>
      <c r="H1192" t="s"/>
      <c r="I1192" t="s"/>
      <c r="J1192" t="n">
        <v>0</v>
      </c>
      <c r="K1192" t="n">
        <v>0</v>
      </c>
      <c r="L1192" t="n">
        <v>1</v>
      </c>
      <c r="M1192" t="n">
        <v>0</v>
      </c>
    </row>
    <row r="1193" spans="1:13">
      <c r="A1193" s="1">
        <f>HYPERLINK("http://www.twitter.com/NathanBLawrence/status/1000023576219672576", "1000023576219672576")</f>
        <v/>
      </c>
      <c r="B1193" s="2" t="n">
        <v>43245.61081018519</v>
      </c>
      <c r="C1193" t="n">
        <v>0</v>
      </c>
      <c r="D1193" t="n">
        <v>13487</v>
      </c>
      <c r="E1193" t="s">
        <v>1201</v>
      </c>
      <c r="F1193">
        <f>HYPERLINK("http://pbs.twimg.com/media/DeASXu0VMAEvqqE.jpg", "http://pbs.twimg.com/media/DeASXu0VMAEvqqE.jpg")</f>
        <v/>
      </c>
      <c r="G1193" t="s"/>
      <c r="H1193" t="s"/>
      <c r="I1193" t="s"/>
      <c r="J1193" t="n">
        <v>0.4753</v>
      </c>
      <c r="K1193" t="n">
        <v>0</v>
      </c>
      <c r="L1193" t="n">
        <v>0.8120000000000001</v>
      </c>
      <c r="M1193" t="n">
        <v>0.188</v>
      </c>
    </row>
    <row r="1194" spans="1:13">
      <c r="A1194" s="1">
        <f>HYPERLINK("http://www.twitter.com/NathanBLawrence/status/1000023485887012865", "1000023485887012865")</f>
        <v/>
      </c>
      <c r="B1194" s="2" t="n">
        <v>43245.61056712963</v>
      </c>
      <c r="C1194" t="n">
        <v>0</v>
      </c>
      <c r="D1194" t="n">
        <v>1153</v>
      </c>
      <c r="E1194" t="s">
        <v>1202</v>
      </c>
      <c r="F1194" t="s"/>
      <c r="G1194" t="s"/>
      <c r="H1194" t="s"/>
      <c r="I1194" t="s"/>
      <c r="J1194" t="n">
        <v>0.4927</v>
      </c>
      <c r="K1194" t="n">
        <v>0</v>
      </c>
      <c r="L1194" t="n">
        <v>0.856</v>
      </c>
      <c r="M1194" t="n">
        <v>0.144</v>
      </c>
    </row>
    <row r="1195" spans="1:13">
      <c r="A1195" s="1">
        <f>HYPERLINK("http://www.twitter.com/NathanBLawrence/status/1000023460494630912", "1000023460494630912")</f>
        <v/>
      </c>
      <c r="B1195" s="2" t="n">
        <v>43245.61049768519</v>
      </c>
      <c r="C1195" t="n">
        <v>0</v>
      </c>
      <c r="D1195" t="n">
        <v>1014</v>
      </c>
      <c r="E1195" t="s">
        <v>1203</v>
      </c>
      <c r="F1195" t="s"/>
      <c r="G1195" t="s"/>
      <c r="H1195" t="s"/>
      <c r="I1195" t="s"/>
      <c r="J1195" t="n">
        <v>0</v>
      </c>
      <c r="K1195" t="n">
        <v>0</v>
      </c>
      <c r="L1195" t="n">
        <v>1</v>
      </c>
      <c r="M1195" t="n">
        <v>0</v>
      </c>
    </row>
    <row r="1196" spans="1:13">
      <c r="A1196" s="1">
        <f>HYPERLINK("http://www.twitter.com/NathanBLawrence/status/1000023183238615042", "1000023183238615042")</f>
        <v/>
      </c>
      <c r="B1196" s="2" t="n">
        <v>43245.60973379629</v>
      </c>
      <c r="C1196" t="n">
        <v>0</v>
      </c>
      <c r="D1196" t="n">
        <v>2</v>
      </c>
      <c r="E1196" t="s">
        <v>1204</v>
      </c>
      <c r="F1196" t="s"/>
      <c r="G1196" t="s"/>
      <c r="H1196" t="s"/>
      <c r="I1196" t="s"/>
      <c r="J1196" t="n">
        <v>-0.3612</v>
      </c>
      <c r="K1196" t="n">
        <v>0.182</v>
      </c>
      <c r="L1196" t="n">
        <v>0.722</v>
      </c>
      <c r="M1196" t="n">
        <v>0.096</v>
      </c>
    </row>
    <row r="1197" spans="1:13">
      <c r="A1197" s="1">
        <f>HYPERLINK("http://www.twitter.com/NathanBLawrence/status/1000023061712834560", "1000023061712834560")</f>
        <v/>
      </c>
      <c r="B1197" s="2" t="n">
        <v>43245.60939814815</v>
      </c>
      <c r="C1197" t="n">
        <v>0</v>
      </c>
      <c r="D1197" t="n">
        <v>71</v>
      </c>
      <c r="E1197" t="s">
        <v>1205</v>
      </c>
      <c r="F1197">
        <f>HYPERLINK("http://pbs.twimg.com/media/Dd9UMPSVwAA4yU9.jpg", "http://pbs.twimg.com/media/Dd9UMPSVwAA4yU9.jpg")</f>
        <v/>
      </c>
      <c r="G1197" t="s"/>
      <c r="H1197" t="s"/>
      <c r="I1197" t="s"/>
      <c r="J1197" t="n">
        <v>-0.3182</v>
      </c>
      <c r="K1197" t="n">
        <v>0.206</v>
      </c>
      <c r="L1197" t="n">
        <v>0.6870000000000001</v>
      </c>
      <c r="M1197" t="n">
        <v>0.107</v>
      </c>
    </row>
    <row r="1198" spans="1:13">
      <c r="A1198" s="1">
        <f>HYPERLINK("http://www.twitter.com/NathanBLawrence/status/1000022979735097345", "1000022979735097345")</f>
        <v/>
      </c>
      <c r="B1198" s="2" t="n">
        <v>43245.60916666667</v>
      </c>
      <c r="C1198" t="n">
        <v>3</v>
      </c>
      <c r="D1198" t="n">
        <v>2</v>
      </c>
      <c r="E1198" t="s">
        <v>1206</v>
      </c>
      <c r="F1198">
        <f>HYPERLINK("http://pbs.twimg.com/media/DeDLlZUVMAE1ice.jpg", "http://pbs.twimg.com/media/DeDLlZUVMAE1ice.jpg")</f>
        <v/>
      </c>
      <c r="G1198" t="s"/>
      <c r="H1198" t="s"/>
      <c r="I1198" t="s"/>
      <c r="J1198" t="n">
        <v>0.4871</v>
      </c>
      <c r="K1198" t="n">
        <v>0.083</v>
      </c>
      <c r="L1198" t="n">
        <v>0.752</v>
      </c>
      <c r="M1198" t="n">
        <v>0.165</v>
      </c>
    </row>
    <row r="1199" spans="1:13">
      <c r="A1199" s="1">
        <f>HYPERLINK("http://www.twitter.com/NathanBLawrence/status/1000022075262816256", "1000022075262816256")</f>
        <v/>
      </c>
      <c r="B1199" s="2" t="n">
        <v>43245.60666666667</v>
      </c>
      <c r="C1199" t="n">
        <v>0</v>
      </c>
      <c r="D1199" t="n">
        <v>3841</v>
      </c>
      <c r="E1199" t="s">
        <v>1207</v>
      </c>
      <c r="F1199" t="s"/>
      <c r="G1199" t="s"/>
      <c r="H1199" t="s"/>
      <c r="I1199" t="s"/>
      <c r="J1199" t="n">
        <v>-0.6908</v>
      </c>
      <c r="K1199" t="n">
        <v>0.206</v>
      </c>
      <c r="L1199" t="n">
        <v>0.794</v>
      </c>
      <c r="M1199" t="n">
        <v>0</v>
      </c>
    </row>
    <row r="1200" spans="1:13">
      <c r="A1200" s="1">
        <f>HYPERLINK("http://www.twitter.com/NathanBLawrence/status/1000022032443113472", "1000022032443113472")</f>
        <v/>
      </c>
      <c r="B1200" s="2" t="n">
        <v>43245.60655092593</v>
      </c>
      <c r="C1200" t="n">
        <v>0</v>
      </c>
      <c r="D1200" t="n">
        <v>570</v>
      </c>
      <c r="E1200" t="s">
        <v>1208</v>
      </c>
      <c r="F1200" t="s"/>
      <c r="G1200" t="s"/>
      <c r="H1200" t="s"/>
      <c r="I1200" t="s"/>
      <c r="J1200" t="n">
        <v>-0.6597</v>
      </c>
      <c r="K1200" t="n">
        <v>0.23</v>
      </c>
      <c r="L1200" t="n">
        <v>0.714</v>
      </c>
      <c r="M1200" t="n">
        <v>0.056</v>
      </c>
    </row>
    <row r="1201" spans="1:13">
      <c r="A1201" s="1">
        <f>HYPERLINK("http://www.twitter.com/NathanBLawrence/status/1000021982677753857", "1000021982677753857")</f>
        <v/>
      </c>
      <c r="B1201" s="2" t="n">
        <v>43245.60641203704</v>
      </c>
      <c r="C1201" t="n">
        <v>0</v>
      </c>
      <c r="D1201" t="n">
        <v>1999</v>
      </c>
      <c r="E1201" t="s">
        <v>1209</v>
      </c>
      <c r="F1201" t="s"/>
      <c r="G1201" t="s"/>
      <c r="H1201" t="s"/>
      <c r="I1201" t="s"/>
      <c r="J1201" t="n">
        <v>-0.5106000000000001</v>
      </c>
      <c r="K1201" t="n">
        <v>0.212</v>
      </c>
      <c r="L1201" t="n">
        <v>0.788</v>
      </c>
      <c r="M1201" t="n">
        <v>0</v>
      </c>
    </row>
    <row r="1202" spans="1:13">
      <c r="A1202" s="1">
        <f>HYPERLINK("http://www.twitter.com/NathanBLawrence/status/1000021924326658049", "1000021924326658049")</f>
        <v/>
      </c>
      <c r="B1202" s="2" t="n">
        <v>43245.60625</v>
      </c>
      <c r="C1202" t="n">
        <v>0</v>
      </c>
      <c r="D1202" t="n">
        <v>2249</v>
      </c>
      <c r="E1202" t="s">
        <v>1210</v>
      </c>
      <c r="F1202" t="s"/>
      <c r="G1202" t="s"/>
      <c r="H1202" t="s"/>
      <c r="I1202" t="s"/>
      <c r="J1202" t="n">
        <v>-0.5994</v>
      </c>
      <c r="K1202" t="n">
        <v>0.256</v>
      </c>
      <c r="L1202" t="n">
        <v>0.583</v>
      </c>
      <c r="M1202" t="n">
        <v>0.162</v>
      </c>
    </row>
    <row r="1203" spans="1:13">
      <c r="A1203" s="1">
        <f>HYPERLINK("http://www.twitter.com/NathanBLawrence/status/1000021725227122688", "1000021725227122688")</f>
        <v/>
      </c>
      <c r="B1203" s="2" t="n">
        <v>43245.60570601852</v>
      </c>
      <c r="C1203" t="n">
        <v>0</v>
      </c>
      <c r="D1203" t="n">
        <v>379</v>
      </c>
      <c r="E1203" t="s">
        <v>1211</v>
      </c>
      <c r="F1203" t="s"/>
      <c r="G1203" t="s"/>
      <c r="H1203" t="s"/>
      <c r="I1203" t="s"/>
      <c r="J1203" t="n">
        <v>0</v>
      </c>
      <c r="K1203" t="n">
        <v>0</v>
      </c>
      <c r="L1203" t="n">
        <v>1</v>
      </c>
      <c r="M1203" t="n">
        <v>0</v>
      </c>
    </row>
    <row r="1204" spans="1:13">
      <c r="A1204" s="1">
        <f>HYPERLINK("http://www.twitter.com/NathanBLawrence/status/1000021699851706371", "1000021699851706371")</f>
        <v/>
      </c>
      <c r="B1204" s="2" t="n">
        <v>43245.60563657407</v>
      </c>
      <c r="C1204" t="n">
        <v>0</v>
      </c>
      <c r="D1204" t="n">
        <v>2712</v>
      </c>
      <c r="E1204" t="s">
        <v>1212</v>
      </c>
      <c r="F1204">
        <f>HYPERLINK("http://pbs.twimg.com/media/DeCQnObXUAAy-q8.jpg", "http://pbs.twimg.com/media/DeCQnObXUAAy-q8.jpg")</f>
        <v/>
      </c>
      <c r="G1204" t="s"/>
      <c r="H1204" t="s"/>
      <c r="I1204" t="s"/>
      <c r="J1204" t="n">
        <v>0.5574</v>
      </c>
      <c r="K1204" t="n">
        <v>0</v>
      </c>
      <c r="L1204" t="n">
        <v>0.841</v>
      </c>
      <c r="M1204" t="n">
        <v>0.159</v>
      </c>
    </row>
    <row r="1205" spans="1:13">
      <c r="A1205" s="1">
        <f>HYPERLINK("http://www.twitter.com/NathanBLawrence/status/1000021649834565632", "1000021649834565632")</f>
        <v/>
      </c>
      <c r="B1205" s="2" t="n">
        <v>43245.60549768519</v>
      </c>
      <c r="C1205" t="n">
        <v>0</v>
      </c>
      <c r="D1205" t="n">
        <v>259</v>
      </c>
      <c r="E1205" t="s">
        <v>1213</v>
      </c>
      <c r="F1205" t="s"/>
      <c r="G1205" t="s"/>
      <c r="H1205" t="s"/>
      <c r="I1205" t="s"/>
      <c r="J1205" t="n">
        <v>0.5683</v>
      </c>
      <c r="K1205" t="n">
        <v>0.089</v>
      </c>
      <c r="L1205" t="n">
        <v>0.669</v>
      </c>
      <c r="M1205" t="n">
        <v>0.242</v>
      </c>
    </row>
    <row r="1206" spans="1:13">
      <c r="A1206" s="1">
        <f>HYPERLINK("http://www.twitter.com/NathanBLawrence/status/1000021625465720832", "1000021625465720832")</f>
        <v/>
      </c>
      <c r="B1206" s="2" t="n">
        <v>43245.60542824074</v>
      </c>
      <c r="C1206" t="n">
        <v>0</v>
      </c>
      <c r="D1206" t="n">
        <v>1939</v>
      </c>
      <c r="E1206" t="s">
        <v>1214</v>
      </c>
      <c r="F1206" t="s"/>
      <c r="G1206" t="s"/>
      <c r="H1206" t="s"/>
      <c r="I1206" t="s"/>
      <c r="J1206" t="n">
        <v>-0.34</v>
      </c>
      <c r="K1206" t="n">
        <v>0.098</v>
      </c>
      <c r="L1206" t="n">
        <v>0.902</v>
      </c>
      <c r="M1206" t="n">
        <v>0</v>
      </c>
    </row>
    <row r="1207" spans="1:13">
      <c r="A1207" s="1">
        <f>HYPERLINK("http://www.twitter.com/NathanBLawrence/status/1000021592754171905", "1000021592754171905")</f>
        <v/>
      </c>
      <c r="B1207" s="2" t="n">
        <v>43245.60533564815</v>
      </c>
      <c r="C1207" t="n">
        <v>0</v>
      </c>
      <c r="D1207" t="n">
        <v>17</v>
      </c>
      <c r="E1207" t="s">
        <v>1215</v>
      </c>
      <c r="F1207" t="s"/>
      <c r="G1207" t="s"/>
      <c r="H1207" t="s"/>
      <c r="I1207" t="s"/>
      <c r="J1207" t="n">
        <v>-0.4084</v>
      </c>
      <c r="K1207" t="n">
        <v>0.149</v>
      </c>
      <c r="L1207" t="n">
        <v>0.782</v>
      </c>
      <c r="M1207" t="n">
        <v>0.06900000000000001</v>
      </c>
    </row>
    <row r="1208" spans="1:13">
      <c r="A1208" s="1">
        <f>HYPERLINK("http://www.twitter.com/NathanBLawrence/status/1000021490295885825", "1000021490295885825")</f>
        <v/>
      </c>
      <c r="B1208" s="2" t="n">
        <v>43245.60505787037</v>
      </c>
      <c r="C1208" t="n">
        <v>0</v>
      </c>
      <c r="D1208" t="n">
        <v>556</v>
      </c>
      <c r="E1208" t="s">
        <v>1216</v>
      </c>
      <c r="F1208" t="s"/>
      <c r="G1208" t="s"/>
      <c r="H1208" t="s"/>
      <c r="I1208" t="s"/>
      <c r="J1208" t="n">
        <v>0.6096</v>
      </c>
      <c r="K1208" t="n">
        <v>0</v>
      </c>
      <c r="L1208" t="n">
        <v>0.847</v>
      </c>
      <c r="M1208" t="n">
        <v>0.153</v>
      </c>
    </row>
    <row r="1209" spans="1:13">
      <c r="A1209" s="1">
        <f>HYPERLINK("http://www.twitter.com/NathanBLawrence/status/1000021435035811840", "1000021435035811840")</f>
        <v/>
      </c>
      <c r="B1209" s="2" t="n">
        <v>43245.60490740741</v>
      </c>
      <c r="C1209" t="n">
        <v>0</v>
      </c>
      <c r="D1209" t="n">
        <v>4</v>
      </c>
      <c r="E1209" t="s">
        <v>1217</v>
      </c>
      <c r="F1209" t="s"/>
      <c r="G1209" t="s"/>
      <c r="H1209" t="s"/>
      <c r="I1209" t="s"/>
      <c r="J1209" t="n">
        <v>0.9186</v>
      </c>
      <c r="K1209" t="n">
        <v>0</v>
      </c>
      <c r="L1209" t="n">
        <v>0.462</v>
      </c>
      <c r="M1209" t="n">
        <v>0.538</v>
      </c>
    </row>
    <row r="1210" spans="1:13">
      <c r="A1210" s="1">
        <f>HYPERLINK("http://www.twitter.com/NathanBLawrence/status/1000021384028938240", "1000021384028938240")</f>
        <v/>
      </c>
      <c r="B1210" s="2" t="n">
        <v>43245.60476851852</v>
      </c>
      <c r="C1210" t="n">
        <v>0</v>
      </c>
      <c r="D1210" t="n">
        <v>102</v>
      </c>
      <c r="E1210" t="s">
        <v>1218</v>
      </c>
      <c r="F1210">
        <f>HYPERLINK("https://video.twimg.com/amplify_video/999830874089803776/vid/1280x720/TS0_1e26O8E-XWTP.mp4?tag=2", "https://video.twimg.com/amplify_video/999830874089803776/vid/1280x720/TS0_1e26O8E-XWTP.mp4?tag=2")</f>
        <v/>
      </c>
      <c r="G1210" t="s"/>
      <c r="H1210" t="s"/>
      <c r="I1210" t="s"/>
      <c r="J1210" t="n">
        <v>0.6892</v>
      </c>
      <c r="K1210" t="n">
        <v>0</v>
      </c>
      <c r="L1210" t="n">
        <v>0.824</v>
      </c>
      <c r="M1210" t="n">
        <v>0.176</v>
      </c>
    </row>
    <row r="1211" spans="1:13">
      <c r="A1211" s="1">
        <f>HYPERLINK("http://www.twitter.com/NathanBLawrence/status/1000006718963806208", "1000006718963806208")</f>
        <v/>
      </c>
      <c r="B1211" s="2" t="n">
        <v>43245.56429398148</v>
      </c>
      <c r="C1211" t="n">
        <v>0</v>
      </c>
      <c r="D1211" t="n">
        <v>1349</v>
      </c>
      <c r="E1211" t="s">
        <v>1219</v>
      </c>
      <c r="F1211" t="s"/>
      <c r="G1211" t="s"/>
      <c r="H1211" t="s"/>
      <c r="I1211" t="s"/>
      <c r="J1211" t="n">
        <v>0.4019</v>
      </c>
      <c r="K1211" t="n">
        <v>0</v>
      </c>
      <c r="L1211" t="n">
        <v>0.886</v>
      </c>
      <c r="M1211" t="n">
        <v>0.114</v>
      </c>
    </row>
    <row r="1212" spans="1:13">
      <c r="A1212" s="1">
        <f>HYPERLINK("http://www.twitter.com/NathanBLawrence/status/1000006693110059009", "1000006693110059009")</f>
        <v/>
      </c>
      <c r="B1212" s="2" t="n">
        <v>43245.56422453704</v>
      </c>
      <c r="C1212" t="n">
        <v>0</v>
      </c>
      <c r="D1212" t="n">
        <v>74</v>
      </c>
      <c r="E1212" t="s">
        <v>1220</v>
      </c>
      <c r="F1212" t="s"/>
      <c r="G1212" t="s"/>
      <c r="H1212" t="s"/>
      <c r="I1212" t="s"/>
      <c r="J1212" t="n">
        <v>0.12</v>
      </c>
      <c r="K1212" t="n">
        <v>0.133</v>
      </c>
      <c r="L1212" t="n">
        <v>0.756</v>
      </c>
      <c r="M1212" t="n">
        <v>0.111</v>
      </c>
    </row>
    <row r="1213" spans="1:13">
      <c r="A1213" s="1">
        <f>HYPERLINK("http://www.twitter.com/NathanBLawrence/status/1000006635425845248", "1000006635425845248")</f>
        <v/>
      </c>
      <c r="B1213" s="2" t="n">
        <v>43245.5640625</v>
      </c>
      <c r="C1213" t="n">
        <v>1</v>
      </c>
      <c r="D1213" t="n">
        <v>0</v>
      </c>
      <c r="E1213" t="s">
        <v>1221</v>
      </c>
      <c r="F1213" t="s"/>
      <c r="G1213" t="s"/>
      <c r="H1213" t="s"/>
      <c r="I1213" t="s"/>
      <c r="J1213" t="n">
        <v>0</v>
      </c>
      <c r="K1213" t="n">
        <v>0</v>
      </c>
      <c r="L1213" t="n">
        <v>1</v>
      </c>
      <c r="M1213" t="n">
        <v>0</v>
      </c>
    </row>
    <row r="1214" spans="1:13">
      <c r="A1214" s="1">
        <f>HYPERLINK("http://www.twitter.com/NathanBLawrence/status/1000006314213433344", "1000006314213433344")</f>
        <v/>
      </c>
      <c r="B1214" s="2" t="n">
        <v>43245.56318287037</v>
      </c>
      <c r="C1214" t="n">
        <v>0</v>
      </c>
      <c r="D1214" t="n">
        <v>6</v>
      </c>
      <c r="E1214" t="s">
        <v>1222</v>
      </c>
      <c r="F1214" t="s"/>
      <c r="G1214" t="s"/>
      <c r="H1214" t="s"/>
      <c r="I1214" t="s"/>
      <c r="J1214" t="n">
        <v>0.4404</v>
      </c>
      <c r="K1214" t="n">
        <v>0</v>
      </c>
      <c r="L1214" t="n">
        <v>0.838</v>
      </c>
      <c r="M1214" t="n">
        <v>0.162</v>
      </c>
    </row>
    <row r="1215" spans="1:13">
      <c r="A1215" s="1">
        <f>HYPERLINK("http://www.twitter.com/NathanBLawrence/status/1000006182680096768", "1000006182680096768")</f>
        <v/>
      </c>
      <c r="B1215" s="2" t="n">
        <v>43245.5628125</v>
      </c>
      <c r="C1215" t="n">
        <v>0</v>
      </c>
      <c r="D1215" t="n">
        <v>17</v>
      </c>
      <c r="E1215" t="s">
        <v>1223</v>
      </c>
      <c r="F1215" t="s"/>
      <c r="G1215" t="s"/>
      <c r="H1215" t="s"/>
      <c r="I1215" t="s"/>
      <c r="J1215" t="n">
        <v>0.126</v>
      </c>
      <c r="K1215" t="n">
        <v>0.18</v>
      </c>
      <c r="L1215" t="n">
        <v>0.613</v>
      </c>
      <c r="M1215" t="n">
        <v>0.207</v>
      </c>
    </row>
    <row r="1216" spans="1:13">
      <c r="A1216" s="1">
        <f>HYPERLINK("http://www.twitter.com/NathanBLawrence/status/1000005889292750854", "1000005889292750854")</f>
        <v/>
      </c>
      <c r="B1216" s="2" t="n">
        <v>43245.56200231481</v>
      </c>
      <c r="C1216" t="n">
        <v>0</v>
      </c>
      <c r="D1216" t="n">
        <v>2879</v>
      </c>
      <c r="E1216" t="s">
        <v>1224</v>
      </c>
      <c r="F1216" t="s"/>
      <c r="G1216" t="s"/>
      <c r="H1216" t="s"/>
      <c r="I1216" t="s"/>
      <c r="J1216" t="n">
        <v>-0.4019</v>
      </c>
      <c r="K1216" t="n">
        <v>0.124</v>
      </c>
      <c r="L1216" t="n">
        <v>0.876</v>
      </c>
      <c r="M1216" t="n">
        <v>0</v>
      </c>
    </row>
    <row r="1217" spans="1:13">
      <c r="A1217" s="1">
        <f>HYPERLINK("http://www.twitter.com/NathanBLawrence/status/1000005836503207936", "1000005836503207936")</f>
        <v/>
      </c>
      <c r="B1217" s="2" t="n">
        <v>43245.56186342592</v>
      </c>
      <c r="C1217" t="n">
        <v>0</v>
      </c>
      <c r="D1217" t="n">
        <v>578</v>
      </c>
      <c r="E1217" t="s">
        <v>1225</v>
      </c>
      <c r="F1217" t="s"/>
      <c r="G1217" t="s"/>
      <c r="H1217" t="s"/>
      <c r="I1217" t="s"/>
      <c r="J1217" t="n">
        <v>0</v>
      </c>
      <c r="K1217" t="n">
        <v>0</v>
      </c>
      <c r="L1217" t="n">
        <v>1</v>
      </c>
      <c r="M1217" t="n">
        <v>0</v>
      </c>
    </row>
    <row r="1218" spans="1:13">
      <c r="A1218" s="1">
        <f>HYPERLINK("http://www.twitter.com/NathanBLawrence/status/1000005745801420800", "1000005745801420800")</f>
        <v/>
      </c>
      <c r="B1218" s="2" t="n">
        <v>43245.5616087963</v>
      </c>
      <c r="C1218" t="n">
        <v>0</v>
      </c>
      <c r="D1218" t="n">
        <v>2184</v>
      </c>
      <c r="E1218" t="s">
        <v>1226</v>
      </c>
      <c r="F1218" t="s"/>
      <c r="G1218" t="s"/>
      <c r="H1218" t="s"/>
      <c r="I1218" t="s"/>
      <c r="J1218" t="n">
        <v>0.0772</v>
      </c>
      <c r="K1218" t="n">
        <v>0.133</v>
      </c>
      <c r="L1218" t="n">
        <v>0.6830000000000001</v>
      </c>
      <c r="M1218" t="n">
        <v>0.185</v>
      </c>
    </row>
    <row r="1219" spans="1:13">
      <c r="A1219" s="1">
        <f>HYPERLINK("http://www.twitter.com/NathanBLawrence/status/1000004772181704704", "1000004772181704704")</f>
        <v/>
      </c>
      <c r="B1219" s="2" t="n">
        <v>43245.55892361111</v>
      </c>
      <c r="C1219" t="n">
        <v>0</v>
      </c>
      <c r="D1219" t="n">
        <v>259</v>
      </c>
      <c r="E1219" t="s">
        <v>1227</v>
      </c>
      <c r="F1219" t="s"/>
      <c r="G1219" t="s"/>
      <c r="H1219" t="s"/>
      <c r="I1219" t="s"/>
      <c r="J1219" t="n">
        <v>0</v>
      </c>
      <c r="K1219" t="n">
        <v>0</v>
      </c>
      <c r="L1219" t="n">
        <v>1</v>
      </c>
      <c r="M1219" t="n">
        <v>0</v>
      </c>
    </row>
    <row r="1220" spans="1:13">
      <c r="A1220" s="1">
        <f>HYPERLINK("http://www.twitter.com/NathanBLawrence/status/1000004719409090565", "1000004719409090565")</f>
        <v/>
      </c>
      <c r="B1220" s="2" t="n">
        <v>43245.55877314815</v>
      </c>
      <c r="C1220" t="n">
        <v>0</v>
      </c>
      <c r="D1220" t="n">
        <v>134</v>
      </c>
      <c r="E1220" t="s">
        <v>1228</v>
      </c>
      <c r="F1220" t="s"/>
      <c r="G1220" t="s"/>
      <c r="H1220" t="s"/>
      <c r="I1220" t="s"/>
      <c r="J1220" t="n">
        <v>0.5719</v>
      </c>
      <c r="K1220" t="n">
        <v>0</v>
      </c>
      <c r="L1220" t="n">
        <v>0.856</v>
      </c>
      <c r="M1220" t="n">
        <v>0.144</v>
      </c>
    </row>
    <row r="1221" spans="1:13">
      <c r="A1221" s="1">
        <f>HYPERLINK("http://www.twitter.com/NathanBLawrence/status/1000004647128567808", "1000004647128567808")</f>
        <v/>
      </c>
      <c r="B1221" s="2" t="n">
        <v>43245.55857638889</v>
      </c>
      <c r="C1221" t="n">
        <v>0</v>
      </c>
      <c r="D1221" t="n">
        <v>1008</v>
      </c>
      <c r="E1221" t="s">
        <v>1229</v>
      </c>
      <c r="F1221" t="s"/>
      <c r="G1221" t="s"/>
      <c r="H1221" t="s"/>
      <c r="I1221" t="s"/>
      <c r="J1221" t="n">
        <v>0</v>
      </c>
      <c r="K1221" t="n">
        <v>0</v>
      </c>
      <c r="L1221" t="n">
        <v>1</v>
      </c>
      <c r="M1221" t="n">
        <v>0</v>
      </c>
    </row>
    <row r="1222" spans="1:13">
      <c r="A1222" s="1">
        <f>HYPERLINK("http://www.twitter.com/NathanBLawrence/status/1000004541142700035", "1000004541142700035")</f>
        <v/>
      </c>
      <c r="B1222" s="2" t="n">
        <v>43245.55828703703</v>
      </c>
      <c r="C1222" t="n">
        <v>0</v>
      </c>
      <c r="D1222" t="n">
        <v>1210</v>
      </c>
      <c r="E1222" t="s">
        <v>1230</v>
      </c>
      <c r="F1222">
        <f>HYPERLINK("http://pbs.twimg.com/media/DeAmSkRXUAArLwG.jpg", "http://pbs.twimg.com/media/DeAmSkRXUAArLwG.jpg")</f>
        <v/>
      </c>
      <c r="G1222" t="s"/>
      <c r="H1222" t="s"/>
      <c r="I1222" t="s"/>
      <c r="J1222" t="n">
        <v>0</v>
      </c>
      <c r="K1222" t="n">
        <v>0</v>
      </c>
      <c r="L1222" t="n">
        <v>1</v>
      </c>
      <c r="M1222" t="n">
        <v>0</v>
      </c>
    </row>
    <row r="1223" spans="1:13">
      <c r="A1223" s="1">
        <f>HYPERLINK("http://www.twitter.com/NathanBLawrence/status/1000004512696930304", "1000004512696930304")</f>
        <v/>
      </c>
      <c r="B1223" s="2" t="n">
        <v>43245.55820601852</v>
      </c>
      <c r="C1223" t="n">
        <v>0</v>
      </c>
      <c r="D1223" t="n">
        <v>662</v>
      </c>
      <c r="E1223" t="s">
        <v>1231</v>
      </c>
      <c r="F1223" t="s"/>
      <c r="G1223" t="s"/>
      <c r="H1223" t="s"/>
      <c r="I1223" t="s"/>
      <c r="J1223" t="n">
        <v>0.5719</v>
      </c>
      <c r="K1223" t="n">
        <v>0</v>
      </c>
      <c r="L1223" t="n">
        <v>0.844</v>
      </c>
      <c r="M1223" t="n">
        <v>0.156</v>
      </c>
    </row>
    <row r="1224" spans="1:13">
      <c r="A1224" s="1">
        <f>HYPERLINK("http://www.twitter.com/NathanBLawrence/status/1000004402747461633", "1000004402747461633")</f>
        <v/>
      </c>
      <c r="B1224" s="2" t="n">
        <v>43245.5579050926</v>
      </c>
      <c r="C1224" t="n">
        <v>0</v>
      </c>
      <c r="D1224" t="n">
        <v>558</v>
      </c>
      <c r="E1224" t="s">
        <v>1232</v>
      </c>
      <c r="F1224" t="s"/>
      <c r="G1224" t="s"/>
      <c r="H1224" t="s"/>
      <c r="I1224" t="s"/>
      <c r="J1224" t="n">
        <v>-0.4215</v>
      </c>
      <c r="K1224" t="n">
        <v>0.118</v>
      </c>
      <c r="L1224" t="n">
        <v>0.882</v>
      </c>
      <c r="M1224" t="n">
        <v>0</v>
      </c>
    </row>
    <row r="1225" spans="1:13">
      <c r="A1225" s="1">
        <f>HYPERLINK("http://www.twitter.com/NathanBLawrence/status/1000004218869174272", "1000004218869174272")</f>
        <v/>
      </c>
      <c r="B1225" s="2" t="n">
        <v>43245.55739583333</v>
      </c>
      <c r="C1225" t="n">
        <v>0</v>
      </c>
      <c r="D1225" t="n">
        <v>40</v>
      </c>
      <c r="E1225" t="s">
        <v>1233</v>
      </c>
      <c r="F1225" t="s"/>
      <c r="G1225" t="s"/>
      <c r="H1225" t="s"/>
      <c r="I1225" t="s"/>
      <c r="J1225" t="n">
        <v>0.3147</v>
      </c>
      <c r="K1225" t="n">
        <v>0.183</v>
      </c>
      <c r="L1225" t="n">
        <v>0.586</v>
      </c>
      <c r="M1225" t="n">
        <v>0.23</v>
      </c>
    </row>
    <row r="1226" spans="1:13">
      <c r="A1226" s="1">
        <f>HYPERLINK("http://www.twitter.com/NathanBLawrence/status/1000004163957415937", "1000004163957415937")</f>
        <v/>
      </c>
      <c r="B1226" s="2" t="n">
        <v>43245.55724537037</v>
      </c>
      <c r="C1226" t="n">
        <v>0</v>
      </c>
      <c r="D1226" t="n">
        <v>73</v>
      </c>
      <c r="E1226" t="s">
        <v>1234</v>
      </c>
      <c r="F1226" t="s"/>
      <c r="G1226" t="s"/>
      <c r="H1226" t="s"/>
      <c r="I1226" t="s"/>
      <c r="J1226" t="n">
        <v>0.3182</v>
      </c>
      <c r="K1226" t="n">
        <v>0</v>
      </c>
      <c r="L1226" t="n">
        <v>0.887</v>
      </c>
      <c r="M1226" t="n">
        <v>0.113</v>
      </c>
    </row>
    <row r="1227" spans="1:13">
      <c r="A1227" s="1">
        <f>HYPERLINK("http://www.twitter.com/NathanBLawrence/status/1000004123205492736", "1000004123205492736")</f>
        <v/>
      </c>
      <c r="B1227" s="2" t="n">
        <v>43245.55712962963</v>
      </c>
      <c r="C1227" t="n">
        <v>0</v>
      </c>
      <c r="D1227" t="n">
        <v>54</v>
      </c>
      <c r="E1227" t="s">
        <v>1235</v>
      </c>
      <c r="F1227" t="s"/>
      <c r="G1227" t="s"/>
      <c r="H1227" t="s"/>
      <c r="I1227" t="s"/>
      <c r="J1227" t="n">
        <v>0.802</v>
      </c>
      <c r="K1227" t="n">
        <v>0</v>
      </c>
      <c r="L1227" t="n">
        <v>0.631</v>
      </c>
      <c r="M1227" t="n">
        <v>0.369</v>
      </c>
    </row>
    <row r="1228" spans="1:13">
      <c r="A1228" s="1">
        <f>HYPERLINK("http://www.twitter.com/NathanBLawrence/status/1000003624330842113", "1000003624330842113")</f>
        <v/>
      </c>
      <c r="B1228" s="2" t="n">
        <v>43245.55575231482</v>
      </c>
      <c r="C1228" t="n">
        <v>0</v>
      </c>
      <c r="D1228" t="n">
        <v>51</v>
      </c>
      <c r="E1228" t="s">
        <v>1236</v>
      </c>
      <c r="F1228" t="s"/>
      <c r="G1228" t="s"/>
      <c r="H1228" t="s"/>
      <c r="I1228" t="s"/>
      <c r="J1228" t="n">
        <v>0.6705</v>
      </c>
      <c r="K1228" t="n">
        <v>0</v>
      </c>
      <c r="L1228" t="n">
        <v>0.756</v>
      </c>
      <c r="M1228" t="n">
        <v>0.244</v>
      </c>
    </row>
    <row r="1229" spans="1:13">
      <c r="A1229" s="1">
        <f>HYPERLINK("http://www.twitter.com/NathanBLawrence/status/1000003537982681088", "1000003537982681088")</f>
        <v/>
      </c>
      <c r="B1229" s="2" t="n">
        <v>43245.55552083333</v>
      </c>
      <c r="C1229" t="n">
        <v>0</v>
      </c>
      <c r="D1229" t="n">
        <v>89</v>
      </c>
      <c r="E1229" t="s">
        <v>1237</v>
      </c>
      <c r="F1229" t="s"/>
      <c r="G1229" t="s"/>
      <c r="H1229" t="s"/>
      <c r="I1229" t="s"/>
      <c r="J1229" t="n">
        <v>0</v>
      </c>
      <c r="K1229" t="n">
        <v>0</v>
      </c>
      <c r="L1229" t="n">
        <v>1</v>
      </c>
      <c r="M1229" t="n">
        <v>0</v>
      </c>
    </row>
    <row r="1230" spans="1:13">
      <c r="A1230" s="1">
        <f>HYPERLINK("http://www.twitter.com/NathanBLawrence/status/1000003499768385536", "1000003499768385536")</f>
        <v/>
      </c>
      <c r="B1230" s="2" t="n">
        <v>43245.55541666667</v>
      </c>
      <c r="C1230" t="n">
        <v>0</v>
      </c>
      <c r="D1230" t="n">
        <v>192</v>
      </c>
      <c r="E1230" t="s">
        <v>1238</v>
      </c>
      <c r="F1230" t="s"/>
      <c r="G1230" t="s"/>
      <c r="H1230" t="s"/>
      <c r="I1230" t="s"/>
      <c r="J1230" t="n">
        <v>0</v>
      </c>
      <c r="K1230" t="n">
        <v>0</v>
      </c>
      <c r="L1230" t="n">
        <v>1</v>
      </c>
      <c r="M1230" t="n">
        <v>0</v>
      </c>
    </row>
    <row r="1231" spans="1:13">
      <c r="A1231" s="1">
        <f>HYPERLINK("http://www.twitter.com/NathanBLawrence/status/1000003458869682181", "1000003458869682181")</f>
        <v/>
      </c>
      <c r="B1231" s="2" t="n">
        <v>43245.55530092592</v>
      </c>
      <c r="C1231" t="n">
        <v>0</v>
      </c>
      <c r="D1231" t="n">
        <v>180</v>
      </c>
      <c r="E1231" t="s">
        <v>1239</v>
      </c>
      <c r="F1231" t="s"/>
      <c r="G1231" t="s"/>
      <c r="H1231" t="s"/>
      <c r="I1231" t="s"/>
      <c r="J1231" t="n">
        <v>0</v>
      </c>
      <c r="K1231" t="n">
        <v>0</v>
      </c>
      <c r="L1231" t="n">
        <v>1</v>
      </c>
      <c r="M1231" t="n">
        <v>0</v>
      </c>
    </row>
    <row r="1232" spans="1:13">
      <c r="A1232" s="1">
        <f>HYPERLINK("http://www.twitter.com/NathanBLawrence/status/1000003372311830528", "1000003372311830528")</f>
        <v/>
      </c>
      <c r="B1232" s="2" t="n">
        <v>43245.55505787037</v>
      </c>
      <c r="C1232" t="n">
        <v>0</v>
      </c>
      <c r="D1232" t="n">
        <v>692</v>
      </c>
      <c r="E1232" t="s">
        <v>1240</v>
      </c>
      <c r="F1232" t="s"/>
      <c r="G1232" t="s"/>
      <c r="H1232" t="s"/>
      <c r="I1232" t="s"/>
      <c r="J1232" t="n">
        <v>-0.4588</v>
      </c>
      <c r="K1232" t="n">
        <v>0.224</v>
      </c>
      <c r="L1232" t="n">
        <v>0.662</v>
      </c>
      <c r="M1232" t="n">
        <v>0.114</v>
      </c>
    </row>
    <row r="1233" spans="1:13">
      <c r="A1233" s="1">
        <f>HYPERLINK("http://www.twitter.com/NathanBLawrence/status/1000003193286332416", "1000003193286332416")</f>
        <v/>
      </c>
      <c r="B1233" s="2" t="n">
        <v>43245.55457175926</v>
      </c>
      <c r="C1233" t="n">
        <v>0</v>
      </c>
      <c r="D1233" t="n">
        <v>131</v>
      </c>
      <c r="E1233" t="s">
        <v>1241</v>
      </c>
      <c r="F1233" t="s"/>
      <c r="G1233" t="s"/>
      <c r="H1233" t="s"/>
      <c r="I1233" t="s"/>
      <c r="J1233" t="n">
        <v>0</v>
      </c>
      <c r="K1233" t="n">
        <v>0</v>
      </c>
      <c r="L1233" t="n">
        <v>1</v>
      </c>
      <c r="M1233" t="n">
        <v>0</v>
      </c>
    </row>
    <row r="1234" spans="1:13">
      <c r="A1234" s="1">
        <f>HYPERLINK("http://www.twitter.com/NathanBLawrence/status/1000002396263723008", "1000002396263723008")</f>
        <v/>
      </c>
      <c r="B1234" s="2" t="n">
        <v>43245.55237268518</v>
      </c>
      <c r="C1234" t="n">
        <v>0</v>
      </c>
      <c r="D1234" t="n">
        <v>505</v>
      </c>
      <c r="E1234" t="s">
        <v>1242</v>
      </c>
      <c r="F1234" t="s"/>
      <c r="G1234" t="s"/>
      <c r="H1234" t="s"/>
      <c r="I1234" t="s"/>
      <c r="J1234" t="n">
        <v>-0.25</v>
      </c>
      <c r="K1234" t="n">
        <v>0.08699999999999999</v>
      </c>
      <c r="L1234" t="n">
        <v>0.913</v>
      </c>
      <c r="M1234" t="n">
        <v>0</v>
      </c>
    </row>
    <row r="1235" spans="1:13">
      <c r="A1235" s="1">
        <f>HYPERLINK("http://www.twitter.com/NathanBLawrence/status/1000001388129243139", "1000001388129243139")</f>
        <v/>
      </c>
      <c r="B1235" s="2" t="n">
        <v>43245.54958333333</v>
      </c>
      <c r="C1235" t="n">
        <v>0</v>
      </c>
      <c r="D1235" t="n">
        <v>874</v>
      </c>
      <c r="E1235" t="s">
        <v>1243</v>
      </c>
      <c r="F1235">
        <f>HYPERLINK("http://pbs.twimg.com/media/Dd_UUpDV4AAYZXs.jpg", "http://pbs.twimg.com/media/Dd_UUpDV4AAYZXs.jpg")</f>
        <v/>
      </c>
      <c r="G1235" t="s"/>
      <c r="H1235" t="s"/>
      <c r="I1235" t="s"/>
      <c r="J1235" t="n">
        <v>0.4767</v>
      </c>
      <c r="K1235" t="n">
        <v>0</v>
      </c>
      <c r="L1235" t="n">
        <v>0.853</v>
      </c>
      <c r="M1235" t="n">
        <v>0.147</v>
      </c>
    </row>
    <row r="1236" spans="1:13">
      <c r="A1236" s="1">
        <f>HYPERLINK("http://www.twitter.com/NathanBLawrence/status/1000001205697941505", "1000001205697941505")</f>
        <v/>
      </c>
      <c r="B1236" s="2" t="n">
        <v>43245.54908564815</v>
      </c>
      <c r="C1236" t="n">
        <v>51</v>
      </c>
      <c r="D1236" t="n">
        <v>9</v>
      </c>
      <c r="E1236" t="s">
        <v>1244</v>
      </c>
      <c r="F1236">
        <f>HYPERLINK("http://pbs.twimg.com/media/DeC3ydrUwAAKEqX.jpg", "http://pbs.twimg.com/media/DeC3ydrUwAAKEqX.jpg")</f>
        <v/>
      </c>
      <c r="G1236" t="s"/>
      <c r="H1236" t="s"/>
      <c r="I1236" t="s"/>
      <c r="J1236" t="n">
        <v>-0.2711</v>
      </c>
      <c r="K1236" t="n">
        <v>0.194</v>
      </c>
      <c r="L1236" t="n">
        <v>0.667</v>
      </c>
      <c r="M1236" t="n">
        <v>0.138</v>
      </c>
    </row>
    <row r="1237" spans="1:13">
      <c r="A1237" s="1">
        <f>HYPERLINK("http://www.twitter.com/NathanBLawrence/status/999999952947417088", "999999952947417088")</f>
        <v/>
      </c>
      <c r="B1237" s="2" t="n">
        <v>43245.545625</v>
      </c>
      <c r="C1237" t="n">
        <v>0</v>
      </c>
      <c r="D1237" t="n">
        <v>80</v>
      </c>
      <c r="E1237" t="s">
        <v>1245</v>
      </c>
      <c r="F1237" t="s"/>
      <c r="G1237" t="s"/>
      <c r="H1237" t="s"/>
      <c r="I1237" t="s"/>
      <c r="J1237" t="n">
        <v>-0.6715</v>
      </c>
      <c r="K1237" t="n">
        <v>0.2</v>
      </c>
      <c r="L1237" t="n">
        <v>0.8</v>
      </c>
      <c r="M1237" t="n">
        <v>0</v>
      </c>
    </row>
    <row r="1238" spans="1:13">
      <c r="A1238" s="1">
        <f>HYPERLINK("http://www.twitter.com/NathanBLawrence/status/999999882617384961", "999999882617384961")</f>
        <v/>
      </c>
      <c r="B1238" s="2" t="n">
        <v>43245.54542824074</v>
      </c>
      <c r="C1238" t="n">
        <v>0</v>
      </c>
      <c r="D1238" t="n">
        <v>614</v>
      </c>
      <c r="E1238" t="s">
        <v>1246</v>
      </c>
      <c r="F1238" t="s"/>
      <c r="G1238" t="s"/>
      <c r="H1238" t="s"/>
      <c r="I1238" t="s"/>
      <c r="J1238" t="n">
        <v>0.7845</v>
      </c>
      <c r="K1238" t="n">
        <v>0</v>
      </c>
      <c r="L1238" t="n">
        <v>0.6850000000000001</v>
      </c>
      <c r="M1238" t="n">
        <v>0.315</v>
      </c>
    </row>
    <row r="1239" spans="1:13">
      <c r="A1239" s="1">
        <f>HYPERLINK("http://www.twitter.com/NathanBLawrence/status/999999743223791616", "999999743223791616")</f>
        <v/>
      </c>
      <c r="B1239" s="2" t="n">
        <v>43245.5450462963</v>
      </c>
      <c r="C1239" t="n">
        <v>0</v>
      </c>
      <c r="D1239" t="n">
        <v>3394</v>
      </c>
      <c r="E1239" t="s">
        <v>1247</v>
      </c>
      <c r="F1239" t="s"/>
      <c r="G1239" t="s"/>
      <c r="H1239" t="s"/>
      <c r="I1239" t="s"/>
      <c r="J1239" t="n">
        <v>0</v>
      </c>
      <c r="K1239" t="n">
        <v>0</v>
      </c>
      <c r="L1239" t="n">
        <v>1</v>
      </c>
      <c r="M1239" t="n">
        <v>0</v>
      </c>
    </row>
    <row r="1240" spans="1:13">
      <c r="A1240" s="1">
        <f>HYPERLINK("http://www.twitter.com/NathanBLawrence/status/999999718909448192", "999999718909448192")</f>
        <v/>
      </c>
      <c r="B1240" s="2" t="n">
        <v>43245.54497685185</v>
      </c>
      <c r="C1240" t="n">
        <v>0</v>
      </c>
      <c r="D1240" t="n">
        <v>419</v>
      </c>
      <c r="E1240" t="s">
        <v>1248</v>
      </c>
      <c r="F1240">
        <f>HYPERLINK("http://pbs.twimg.com/media/Dd_U1wkVQAMAkVi.jpg", "http://pbs.twimg.com/media/Dd_U1wkVQAMAkVi.jpg")</f>
        <v/>
      </c>
      <c r="G1240" t="s"/>
      <c r="H1240" t="s"/>
      <c r="I1240" t="s"/>
      <c r="J1240" t="n">
        <v>0</v>
      </c>
      <c r="K1240" t="n">
        <v>0</v>
      </c>
      <c r="L1240" t="n">
        <v>1</v>
      </c>
      <c r="M1240" t="n">
        <v>0</v>
      </c>
    </row>
    <row r="1241" spans="1:13">
      <c r="A1241" s="1">
        <f>HYPERLINK("http://www.twitter.com/NathanBLawrence/status/999999653763518464", "999999653763518464")</f>
        <v/>
      </c>
      <c r="B1241" s="2" t="n">
        <v>43245.54480324074</v>
      </c>
      <c r="C1241" t="n">
        <v>0</v>
      </c>
      <c r="D1241" t="n">
        <v>356</v>
      </c>
      <c r="E1241" t="s">
        <v>1249</v>
      </c>
      <c r="F1241" t="s"/>
      <c r="G1241" t="s"/>
      <c r="H1241" t="s"/>
      <c r="I1241" t="s"/>
      <c r="J1241" t="n">
        <v>0.5423</v>
      </c>
      <c r="K1241" t="n">
        <v>0</v>
      </c>
      <c r="L1241" t="n">
        <v>0.8</v>
      </c>
      <c r="M1241" t="n">
        <v>0.2</v>
      </c>
    </row>
    <row r="1242" spans="1:13">
      <c r="A1242" s="1">
        <f>HYPERLINK("http://www.twitter.com/NathanBLawrence/status/999876741324853248", "999876741324853248")</f>
        <v/>
      </c>
      <c r="B1242" s="2" t="n">
        <v>43245.205625</v>
      </c>
      <c r="C1242" t="n">
        <v>1</v>
      </c>
      <c r="D1242" t="n">
        <v>1</v>
      </c>
      <c r="E1242" t="s">
        <v>1250</v>
      </c>
      <c r="F1242" t="s"/>
      <c r="G1242" t="s"/>
      <c r="H1242" t="s"/>
      <c r="I1242" t="s"/>
      <c r="J1242" t="n">
        <v>-0.5106000000000001</v>
      </c>
      <c r="K1242" t="n">
        <v>0.171</v>
      </c>
      <c r="L1242" t="n">
        <v>0.829</v>
      </c>
      <c r="M1242" t="n">
        <v>0</v>
      </c>
    </row>
    <row r="1243" spans="1:13">
      <c r="A1243" s="1">
        <f>HYPERLINK("http://www.twitter.com/NathanBLawrence/status/999876151903432705", "999876151903432705")</f>
        <v/>
      </c>
      <c r="B1243" s="2" t="n">
        <v>43245.20400462963</v>
      </c>
      <c r="C1243" t="n">
        <v>0</v>
      </c>
      <c r="D1243" t="n">
        <v>2354</v>
      </c>
      <c r="E1243" t="s">
        <v>1251</v>
      </c>
      <c r="F1243" t="s"/>
      <c r="G1243" t="s"/>
      <c r="H1243" t="s"/>
      <c r="I1243" t="s"/>
      <c r="J1243" t="n">
        <v>-0.4767</v>
      </c>
      <c r="K1243" t="n">
        <v>0.2</v>
      </c>
      <c r="L1243" t="n">
        <v>0.698</v>
      </c>
      <c r="M1243" t="n">
        <v>0.102</v>
      </c>
    </row>
    <row r="1244" spans="1:13">
      <c r="A1244" s="1">
        <f>HYPERLINK("http://www.twitter.com/NathanBLawrence/status/999875942813196289", "999875942813196289")</f>
        <v/>
      </c>
      <c r="B1244" s="2" t="n">
        <v>43245.20342592592</v>
      </c>
      <c r="C1244" t="n">
        <v>0</v>
      </c>
      <c r="D1244" t="n">
        <v>1</v>
      </c>
      <c r="E1244" t="s">
        <v>1252</v>
      </c>
      <c r="F1244" t="s"/>
      <c r="G1244" t="s"/>
      <c r="H1244" t="s"/>
      <c r="I1244" t="s"/>
      <c r="J1244" t="n">
        <v>0.8070000000000001</v>
      </c>
      <c r="K1244" t="n">
        <v>0</v>
      </c>
      <c r="L1244" t="n">
        <v>0.672</v>
      </c>
      <c r="M1244" t="n">
        <v>0.328</v>
      </c>
    </row>
    <row r="1245" spans="1:13">
      <c r="A1245" s="1">
        <f>HYPERLINK("http://www.twitter.com/NathanBLawrence/status/999868265555025921", "999868265555025921")</f>
        <v/>
      </c>
      <c r="B1245" s="2" t="n">
        <v>43245.18223379629</v>
      </c>
      <c r="C1245" t="n">
        <v>0</v>
      </c>
      <c r="D1245" t="n">
        <v>3</v>
      </c>
      <c r="E1245" t="s">
        <v>1253</v>
      </c>
      <c r="F1245" t="s"/>
      <c r="G1245" t="s"/>
      <c r="H1245" t="s"/>
      <c r="I1245" t="s"/>
      <c r="J1245" t="n">
        <v>0.128</v>
      </c>
      <c r="K1245" t="n">
        <v>0.08799999999999999</v>
      </c>
      <c r="L1245" t="n">
        <v>0.803</v>
      </c>
      <c r="M1245" t="n">
        <v>0.108</v>
      </c>
    </row>
    <row r="1246" spans="1:13">
      <c r="A1246" s="1">
        <f>HYPERLINK("http://www.twitter.com/NathanBLawrence/status/999868080707776512", "999868080707776512")</f>
        <v/>
      </c>
      <c r="B1246" s="2" t="n">
        <v>43245.18172453704</v>
      </c>
      <c r="C1246" t="n">
        <v>0</v>
      </c>
      <c r="D1246" t="n">
        <v>0</v>
      </c>
      <c r="E1246" t="s">
        <v>1254</v>
      </c>
      <c r="F1246" t="s"/>
      <c r="G1246" t="s"/>
      <c r="H1246" t="s"/>
      <c r="I1246" t="s"/>
      <c r="J1246" t="n">
        <v>-0.4015</v>
      </c>
      <c r="K1246" t="n">
        <v>0.31</v>
      </c>
      <c r="L1246" t="n">
        <v>0.6899999999999999</v>
      </c>
      <c r="M1246" t="n">
        <v>0</v>
      </c>
    </row>
    <row r="1247" spans="1:13">
      <c r="A1247" s="1">
        <f>HYPERLINK("http://www.twitter.com/NathanBLawrence/status/999867676683067394", "999867676683067394")</f>
        <v/>
      </c>
      <c r="B1247" s="2" t="n">
        <v>43245.18061342592</v>
      </c>
      <c r="C1247" t="n">
        <v>4</v>
      </c>
      <c r="D1247" t="n">
        <v>3</v>
      </c>
      <c r="E1247" t="s">
        <v>1255</v>
      </c>
      <c r="F1247" t="s"/>
      <c r="G1247" t="s"/>
      <c r="H1247" t="s"/>
      <c r="I1247" t="s"/>
      <c r="J1247" t="n">
        <v>-0.7717000000000001</v>
      </c>
      <c r="K1247" t="n">
        <v>0.226</v>
      </c>
      <c r="L1247" t="n">
        <v>0.774</v>
      </c>
      <c r="M1247" t="n">
        <v>0</v>
      </c>
    </row>
    <row r="1248" spans="1:13">
      <c r="A1248" s="1">
        <f>HYPERLINK("http://www.twitter.com/NathanBLawrence/status/999867269575598081", "999867269575598081")</f>
        <v/>
      </c>
      <c r="B1248" s="2" t="n">
        <v>43245.17949074074</v>
      </c>
      <c r="C1248" t="n">
        <v>0</v>
      </c>
      <c r="D1248" t="n">
        <v>416</v>
      </c>
      <c r="E1248" t="s">
        <v>1256</v>
      </c>
      <c r="F1248" t="s"/>
      <c r="G1248" t="s"/>
      <c r="H1248" t="s"/>
      <c r="I1248" t="s"/>
      <c r="J1248" t="n">
        <v>-0.802</v>
      </c>
      <c r="K1248" t="n">
        <v>0.403</v>
      </c>
      <c r="L1248" t="n">
        <v>0.5</v>
      </c>
      <c r="M1248" t="n">
        <v>0.097</v>
      </c>
    </row>
    <row r="1249" spans="1:13">
      <c r="A1249" s="1">
        <f>HYPERLINK("http://www.twitter.com/NathanBLawrence/status/999867224088371200", "999867224088371200")</f>
        <v/>
      </c>
      <c r="B1249" s="2" t="n">
        <v>43245.17936342592</v>
      </c>
      <c r="C1249" t="n">
        <v>0</v>
      </c>
      <c r="D1249" t="n">
        <v>6433</v>
      </c>
      <c r="E1249" t="s">
        <v>1257</v>
      </c>
      <c r="F1249" t="s"/>
      <c r="G1249" t="s"/>
      <c r="H1249" t="s"/>
      <c r="I1249" t="s"/>
      <c r="J1249" t="n">
        <v>-0.7823</v>
      </c>
      <c r="K1249" t="n">
        <v>0.407</v>
      </c>
      <c r="L1249" t="n">
        <v>0.593</v>
      </c>
      <c r="M1249" t="n">
        <v>0</v>
      </c>
    </row>
    <row r="1250" spans="1:13">
      <c r="A1250" s="1">
        <f>HYPERLINK("http://www.twitter.com/NathanBLawrence/status/999867203309785088", "999867203309785088")</f>
        <v/>
      </c>
      <c r="B1250" s="2" t="n">
        <v>43245.17930555555</v>
      </c>
      <c r="C1250" t="n">
        <v>0</v>
      </c>
      <c r="D1250" t="n">
        <v>600</v>
      </c>
      <c r="E1250" t="s">
        <v>1258</v>
      </c>
      <c r="F1250">
        <f>HYPERLINK("http://pbs.twimg.com/media/DeAVG2EUwAA9EwC.jpg", "http://pbs.twimg.com/media/DeAVG2EUwAA9EwC.jpg")</f>
        <v/>
      </c>
      <c r="G1250" t="s"/>
      <c r="H1250" t="s"/>
      <c r="I1250" t="s"/>
      <c r="J1250" t="n">
        <v>-0.6705</v>
      </c>
      <c r="K1250" t="n">
        <v>0.231</v>
      </c>
      <c r="L1250" t="n">
        <v>0.769</v>
      </c>
      <c r="M1250" t="n">
        <v>0</v>
      </c>
    </row>
    <row r="1251" spans="1:13">
      <c r="A1251" s="1">
        <f>HYPERLINK("http://www.twitter.com/NathanBLawrence/status/999866869879312384", "999866869879312384")</f>
        <v/>
      </c>
      <c r="B1251" s="2" t="n">
        <v>43245.17839120371</v>
      </c>
      <c r="C1251" t="n">
        <v>0</v>
      </c>
      <c r="D1251" t="n">
        <v>209</v>
      </c>
      <c r="E1251" t="s">
        <v>1259</v>
      </c>
      <c r="F1251" t="s"/>
      <c r="G1251" t="s"/>
      <c r="H1251" t="s"/>
      <c r="I1251" t="s"/>
      <c r="J1251" t="n">
        <v>0</v>
      </c>
      <c r="K1251" t="n">
        <v>0</v>
      </c>
      <c r="L1251" t="n">
        <v>1</v>
      </c>
      <c r="M1251" t="n">
        <v>0</v>
      </c>
    </row>
    <row r="1252" spans="1:13">
      <c r="A1252" s="1">
        <f>HYPERLINK("http://www.twitter.com/NathanBLawrence/status/999829634593251334", "999829634593251334")</f>
        <v/>
      </c>
      <c r="B1252" s="2" t="n">
        <v>43245.07563657407</v>
      </c>
      <c r="C1252" t="n">
        <v>0</v>
      </c>
      <c r="D1252" t="n">
        <v>51</v>
      </c>
      <c r="E1252" t="s">
        <v>1260</v>
      </c>
      <c r="F1252" t="s"/>
      <c r="G1252" t="s"/>
      <c r="H1252" t="s"/>
      <c r="I1252" t="s"/>
      <c r="J1252" t="n">
        <v>0</v>
      </c>
      <c r="K1252" t="n">
        <v>0</v>
      </c>
      <c r="L1252" t="n">
        <v>1</v>
      </c>
      <c r="M1252" t="n">
        <v>0</v>
      </c>
    </row>
    <row r="1253" spans="1:13">
      <c r="A1253" s="1">
        <f>HYPERLINK("http://www.twitter.com/NathanBLawrence/status/999828517830496256", "999828517830496256")</f>
        <v/>
      </c>
      <c r="B1253" s="2" t="n">
        <v>43245.07255787037</v>
      </c>
      <c r="C1253" t="n">
        <v>0</v>
      </c>
      <c r="D1253" t="n">
        <v>0</v>
      </c>
      <c r="E1253" t="s">
        <v>1261</v>
      </c>
      <c r="F1253" t="s"/>
      <c r="G1253" t="s"/>
      <c r="H1253" t="s"/>
      <c r="I1253" t="s"/>
      <c r="J1253" t="n">
        <v>0.4767</v>
      </c>
      <c r="K1253" t="n">
        <v>0</v>
      </c>
      <c r="L1253" t="n">
        <v>0.893</v>
      </c>
      <c r="M1253" t="n">
        <v>0.107</v>
      </c>
    </row>
    <row r="1254" spans="1:13">
      <c r="A1254" s="1">
        <f>HYPERLINK("http://www.twitter.com/NathanBLawrence/status/999827828458905600", "999827828458905600")</f>
        <v/>
      </c>
      <c r="B1254" s="2" t="n">
        <v>43245.07064814815</v>
      </c>
      <c r="C1254" t="n">
        <v>0</v>
      </c>
      <c r="D1254" t="n">
        <v>1</v>
      </c>
      <c r="E1254" t="s">
        <v>1262</v>
      </c>
      <c r="F1254" t="s"/>
      <c r="G1254" t="s"/>
      <c r="H1254" t="s"/>
      <c r="I1254" t="s"/>
      <c r="J1254" t="n">
        <v>0</v>
      </c>
      <c r="K1254" t="n">
        <v>0</v>
      </c>
      <c r="L1254" t="n">
        <v>1</v>
      </c>
      <c r="M1254" t="n">
        <v>0</v>
      </c>
    </row>
    <row r="1255" spans="1:13">
      <c r="A1255" s="1">
        <f>HYPERLINK("http://www.twitter.com/NathanBLawrence/status/999827802466803712", "999827802466803712")</f>
        <v/>
      </c>
      <c r="B1255" s="2" t="n">
        <v>43245.0705787037</v>
      </c>
      <c r="C1255" t="n">
        <v>0</v>
      </c>
      <c r="D1255" t="n">
        <v>121</v>
      </c>
      <c r="E1255" t="s">
        <v>1263</v>
      </c>
      <c r="F1255">
        <f>HYPERLINK("http://pbs.twimg.com/media/DdQIXCBXcAAUnh4.jpg", "http://pbs.twimg.com/media/DdQIXCBXcAAUnh4.jpg")</f>
        <v/>
      </c>
      <c r="G1255" t="s"/>
      <c r="H1255" t="s"/>
      <c r="I1255" t="s"/>
      <c r="J1255" t="n">
        <v>-0.2789</v>
      </c>
      <c r="K1255" t="n">
        <v>0.117</v>
      </c>
      <c r="L1255" t="n">
        <v>0.883</v>
      </c>
      <c r="M1255" t="n">
        <v>0</v>
      </c>
    </row>
    <row r="1256" spans="1:13">
      <c r="A1256" s="1">
        <f>HYPERLINK("http://www.twitter.com/NathanBLawrence/status/999824267574472704", "999824267574472704")</f>
        <v/>
      </c>
      <c r="B1256" s="2" t="n">
        <v>43245.06082175926</v>
      </c>
      <c r="C1256" t="n">
        <v>0</v>
      </c>
      <c r="D1256" t="n">
        <v>333</v>
      </c>
      <c r="E1256" t="s">
        <v>1264</v>
      </c>
      <c r="F1256" t="s"/>
      <c r="G1256" t="s"/>
      <c r="H1256" t="s"/>
      <c r="I1256" t="s"/>
      <c r="J1256" t="n">
        <v>-0.5684</v>
      </c>
      <c r="K1256" t="n">
        <v>0.162</v>
      </c>
      <c r="L1256" t="n">
        <v>0.838</v>
      </c>
      <c r="M1256" t="n">
        <v>0</v>
      </c>
    </row>
    <row r="1257" spans="1:13">
      <c r="A1257" s="1">
        <f>HYPERLINK("http://www.twitter.com/NathanBLawrence/status/999824210003398656", "999824210003398656")</f>
        <v/>
      </c>
      <c r="B1257" s="2" t="n">
        <v>43245.0606712963</v>
      </c>
      <c r="C1257" t="n">
        <v>0</v>
      </c>
      <c r="D1257" t="n">
        <v>1339</v>
      </c>
      <c r="E1257" t="s">
        <v>1265</v>
      </c>
      <c r="F1257" t="s"/>
      <c r="G1257" t="s"/>
      <c r="H1257" t="s"/>
      <c r="I1257" t="s"/>
      <c r="J1257" t="n">
        <v>-0.6597</v>
      </c>
      <c r="K1257" t="n">
        <v>0.223</v>
      </c>
      <c r="L1257" t="n">
        <v>0.7</v>
      </c>
      <c r="M1257" t="n">
        <v>0.077</v>
      </c>
    </row>
    <row r="1258" spans="1:13">
      <c r="A1258" s="1">
        <f>HYPERLINK("http://www.twitter.com/NathanBLawrence/status/999823912308387841", "999823912308387841")</f>
        <v/>
      </c>
      <c r="B1258" s="2" t="n">
        <v>43245.05984953704</v>
      </c>
      <c r="C1258" t="n">
        <v>0</v>
      </c>
      <c r="D1258" t="n">
        <v>1293</v>
      </c>
      <c r="E1258" t="s">
        <v>1266</v>
      </c>
      <c r="F1258" t="s"/>
      <c r="G1258" t="s"/>
      <c r="H1258" t="s"/>
      <c r="I1258" t="s"/>
      <c r="J1258" t="n">
        <v>-0.6486</v>
      </c>
      <c r="K1258" t="n">
        <v>0.227</v>
      </c>
      <c r="L1258" t="n">
        <v>0.773</v>
      </c>
      <c r="M1258" t="n">
        <v>0</v>
      </c>
    </row>
    <row r="1259" spans="1:13">
      <c r="A1259" s="1">
        <f>HYPERLINK("http://www.twitter.com/NathanBLawrence/status/999823846114021376", "999823846114021376")</f>
        <v/>
      </c>
      <c r="B1259" s="2" t="n">
        <v>43245.05966435185</v>
      </c>
      <c r="C1259" t="n">
        <v>1</v>
      </c>
      <c r="D1259" t="n">
        <v>1</v>
      </c>
      <c r="E1259" t="s">
        <v>1267</v>
      </c>
      <c r="F1259" t="s"/>
      <c r="G1259" t="s"/>
      <c r="H1259" t="s"/>
      <c r="I1259" t="s"/>
      <c r="J1259" t="n">
        <v>0.4939</v>
      </c>
      <c r="K1259" t="n">
        <v>0</v>
      </c>
      <c r="L1259" t="n">
        <v>0.6860000000000001</v>
      </c>
      <c r="M1259" t="n">
        <v>0.314</v>
      </c>
    </row>
    <row r="1260" spans="1:13">
      <c r="A1260" s="1">
        <f>HYPERLINK("http://www.twitter.com/NathanBLawrence/status/999821065634316289", "999821065634316289")</f>
        <v/>
      </c>
      <c r="B1260" s="2" t="n">
        <v>43245.05199074074</v>
      </c>
      <c r="C1260" t="n">
        <v>0</v>
      </c>
      <c r="D1260" t="n">
        <v>1</v>
      </c>
      <c r="E1260" t="s">
        <v>1268</v>
      </c>
      <c r="F1260" t="s"/>
      <c r="G1260" t="s"/>
      <c r="H1260" t="s"/>
      <c r="I1260" t="s"/>
      <c r="J1260" t="n">
        <v>0.7845</v>
      </c>
      <c r="K1260" t="n">
        <v>0</v>
      </c>
      <c r="L1260" t="n">
        <v>0.655</v>
      </c>
      <c r="M1260" t="n">
        <v>0.345</v>
      </c>
    </row>
    <row r="1261" spans="1:13">
      <c r="A1261" s="1">
        <f>HYPERLINK("http://www.twitter.com/NathanBLawrence/status/999821017810915328", "999821017810915328")</f>
        <v/>
      </c>
      <c r="B1261" s="2" t="n">
        <v>43245.05186342593</v>
      </c>
      <c r="C1261" t="n">
        <v>0</v>
      </c>
      <c r="D1261" t="n">
        <v>4</v>
      </c>
      <c r="E1261" t="s">
        <v>1269</v>
      </c>
      <c r="F1261" t="s"/>
      <c r="G1261" t="s"/>
      <c r="H1261" t="s"/>
      <c r="I1261" t="s"/>
      <c r="J1261" t="n">
        <v>-0.5255</v>
      </c>
      <c r="K1261" t="n">
        <v>0.145</v>
      </c>
      <c r="L1261" t="n">
        <v>0.855</v>
      </c>
      <c r="M1261" t="n">
        <v>0</v>
      </c>
    </row>
    <row r="1262" spans="1:13">
      <c r="A1262" s="1">
        <f>HYPERLINK("http://www.twitter.com/NathanBLawrence/status/999820997103620097", "999820997103620097")</f>
        <v/>
      </c>
      <c r="B1262" s="2" t="n">
        <v>43245.05180555556</v>
      </c>
      <c r="C1262" t="n">
        <v>0</v>
      </c>
      <c r="D1262" t="n">
        <v>1</v>
      </c>
      <c r="E1262" t="s">
        <v>1270</v>
      </c>
      <c r="F1262" t="s"/>
      <c r="G1262" t="s"/>
      <c r="H1262" t="s"/>
      <c r="I1262" t="s"/>
      <c r="J1262" t="n">
        <v>0</v>
      </c>
      <c r="K1262" t="n">
        <v>0</v>
      </c>
      <c r="L1262" t="n">
        <v>1</v>
      </c>
      <c r="M1262" t="n">
        <v>0</v>
      </c>
    </row>
    <row r="1263" spans="1:13">
      <c r="A1263" s="1">
        <f>HYPERLINK("http://www.twitter.com/NathanBLawrence/status/999809214355828736", "999809214355828736")</f>
        <v/>
      </c>
      <c r="B1263" s="2" t="n">
        <v>43245.0192824074</v>
      </c>
      <c r="C1263" t="n">
        <v>0</v>
      </c>
      <c r="D1263" t="n">
        <v>1</v>
      </c>
      <c r="E1263" t="s">
        <v>1271</v>
      </c>
      <c r="F1263" t="s"/>
      <c r="G1263" t="s"/>
      <c r="H1263" t="s"/>
      <c r="I1263" t="s"/>
      <c r="J1263" t="n">
        <v>0</v>
      </c>
      <c r="K1263" t="n">
        <v>0</v>
      </c>
      <c r="L1263" t="n">
        <v>1</v>
      </c>
      <c r="M1263" t="n">
        <v>0</v>
      </c>
    </row>
    <row r="1264" spans="1:13">
      <c r="A1264" s="1">
        <f>HYPERLINK("http://www.twitter.com/NathanBLawrence/status/999809119262511104", "999809119262511104")</f>
        <v/>
      </c>
      <c r="B1264" s="2" t="n">
        <v>43245.01902777778</v>
      </c>
      <c r="C1264" t="n">
        <v>0</v>
      </c>
      <c r="D1264" t="n">
        <v>1109</v>
      </c>
      <c r="E1264" t="s">
        <v>1272</v>
      </c>
      <c r="F1264" t="s"/>
      <c r="G1264" t="s"/>
      <c r="H1264" t="s"/>
      <c r="I1264" t="s"/>
      <c r="J1264" t="n">
        <v>0</v>
      </c>
      <c r="K1264" t="n">
        <v>0</v>
      </c>
      <c r="L1264" t="n">
        <v>1</v>
      </c>
      <c r="M1264" t="n">
        <v>0</v>
      </c>
    </row>
    <row r="1265" spans="1:13">
      <c r="A1265" s="1">
        <f>HYPERLINK("http://www.twitter.com/NathanBLawrence/status/999809085196455936", "999809085196455936")</f>
        <v/>
      </c>
      <c r="B1265" s="2" t="n">
        <v>43245.01893518519</v>
      </c>
      <c r="C1265" t="n">
        <v>0</v>
      </c>
      <c r="D1265" t="n">
        <v>4331</v>
      </c>
      <c r="E1265" t="s">
        <v>1273</v>
      </c>
      <c r="F1265" t="s"/>
      <c r="G1265" t="s"/>
      <c r="H1265" t="s"/>
      <c r="I1265" t="s"/>
      <c r="J1265" t="n">
        <v>-0.8270999999999999</v>
      </c>
      <c r="K1265" t="n">
        <v>0.367</v>
      </c>
      <c r="L1265" t="n">
        <v>0.633</v>
      </c>
      <c r="M1265" t="n">
        <v>0</v>
      </c>
    </row>
    <row r="1266" spans="1:13">
      <c r="A1266" s="1">
        <f>HYPERLINK("http://www.twitter.com/NathanBLawrence/status/999808669930983427", "999808669930983427")</f>
        <v/>
      </c>
      <c r="B1266" s="2" t="n">
        <v>43245.01778935185</v>
      </c>
      <c r="C1266" t="n">
        <v>0</v>
      </c>
      <c r="D1266" t="n">
        <v>2</v>
      </c>
      <c r="E1266" t="s">
        <v>1274</v>
      </c>
      <c r="F1266" t="s"/>
      <c r="G1266" t="s"/>
      <c r="H1266" t="s"/>
      <c r="I1266" t="s"/>
      <c r="J1266" t="n">
        <v>0.0772</v>
      </c>
      <c r="K1266" t="n">
        <v>0</v>
      </c>
      <c r="L1266" t="n">
        <v>0.944</v>
      </c>
      <c r="M1266" t="n">
        <v>0.056</v>
      </c>
    </row>
    <row r="1267" spans="1:13">
      <c r="A1267" s="1">
        <f>HYPERLINK("http://www.twitter.com/NathanBLawrence/status/999808541295771650", "999808541295771650")</f>
        <v/>
      </c>
      <c r="B1267" s="2" t="n">
        <v>43245.01743055556</v>
      </c>
      <c r="C1267" t="n">
        <v>0</v>
      </c>
      <c r="D1267" t="n">
        <v>974</v>
      </c>
      <c r="E1267" t="s">
        <v>1275</v>
      </c>
      <c r="F1267" t="s"/>
      <c r="G1267" t="s"/>
      <c r="H1267" t="s"/>
      <c r="I1267" t="s"/>
      <c r="J1267" t="n">
        <v>-0.2577</v>
      </c>
      <c r="K1267" t="n">
        <v>0.107</v>
      </c>
      <c r="L1267" t="n">
        <v>0.893</v>
      </c>
      <c r="M1267" t="n">
        <v>0</v>
      </c>
    </row>
    <row r="1268" spans="1:13">
      <c r="A1268" s="1">
        <f>HYPERLINK("http://www.twitter.com/NathanBLawrence/status/999808493015138304", "999808493015138304")</f>
        <v/>
      </c>
      <c r="B1268" s="2" t="n">
        <v>43245.01729166666</v>
      </c>
      <c r="C1268" t="n">
        <v>0</v>
      </c>
      <c r="D1268" t="n">
        <v>197</v>
      </c>
      <c r="E1268" t="s">
        <v>1276</v>
      </c>
      <c r="F1268" t="s"/>
      <c r="G1268" t="s"/>
      <c r="H1268" t="s"/>
      <c r="I1268" t="s"/>
      <c r="J1268" t="n">
        <v>0.3182</v>
      </c>
      <c r="K1268" t="n">
        <v>0</v>
      </c>
      <c r="L1268" t="n">
        <v>0.874</v>
      </c>
      <c r="M1268" t="n">
        <v>0.126</v>
      </c>
    </row>
    <row r="1269" spans="1:13">
      <c r="A1269" s="1">
        <f>HYPERLINK("http://www.twitter.com/NathanBLawrence/status/999808273531404289", "999808273531404289")</f>
        <v/>
      </c>
      <c r="B1269" s="2" t="n">
        <v>43245.01668981482</v>
      </c>
      <c r="C1269" t="n">
        <v>0</v>
      </c>
      <c r="D1269" t="n">
        <v>142</v>
      </c>
      <c r="E1269" t="s">
        <v>1277</v>
      </c>
      <c r="F1269" t="s"/>
      <c r="G1269" t="s"/>
      <c r="H1269" t="s"/>
      <c r="I1269" t="s"/>
      <c r="J1269" t="n">
        <v>-0.296</v>
      </c>
      <c r="K1269" t="n">
        <v>0.095</v>
      </c>
      <c r="L1269" t="n">
        <v>0.905</v>
      </c>
      <c r="M1269" t="n">
        <v>0</v>
      </c>
    </row>
    <row r="1270" spans="1:13">
      <c r="A1270" s="1">
        <f>HYPERLINK("http://www.twitter.com/NathanBLawrence/status/999808100545724419", "999808100545724419")</f>
        <v/>
      </c>
      <c r="B1270" s="2" t="n">
        <v>43245.01621527778</v>
      </c>
      <c r="C1270" t="n">
        <v>0</v>
      </c>
      <c r="D1270" t="n">
        <v>156</v>
      </c>
      <c r="E1270" t="s">
        <v>1278</v>
      </c>
      <c r="F1270">
        <f>HYPERLINK("http://pbs.twimg.com/media/Dd7SKDAU8AAq8Ir.jpg", "http://pbs.twimg.com/media/Dd7SKDAU8AAq8Ir.jpg")</f>
        <v/>
      </c>
      <c r="G1270" t="s"/>
      <c r="H1270" t="s"/>
      <c r="I1270" t="s"/>
      <c r="J1270" t="n">
        <v>0</v>
      </c>
      <c r="K1270" t="n">
        <v>0</v>
      </c>
      <c r="L1270" t="n">
        <v>1</v>
      </c>
      <c r="M1270" t="n">
        <v>0</v>
      </c>
    </row>
    <row r="1271" spans="1:13">
      <c r="A1271" s="1">
        <f>HYPERLINK("http://www.twitter.com/NathanBLawrence/status/999808080379510784", "999808080379510784")</f>
        <v/>
      </c>
      <c r="B1271" s="2" t="n">
        <v>43245.01615740741</v>
      </c>
      <c r="C1271" t="n">
        <v>0</v>
      </c>
      <c r="D1271" t="n">
        <v>538</v>
      </c>
      <c r="E1271" t="s">
        <v>1279</v>
      </c>
      <c r="F1271">
        <f>HYPERLINK("https://video.twimg.com/amplify_video/999429475870822400/vid/1280x720/p4qL4hH6Slnp1DtN.mp4?tag=2", "https://video.twimg.com/amplify_video/999429475870822400/vid/1280x720/p4qL4hH6Slnp1DtN.mp4?tag=2")</f>
        <v/>
      </c>
      <c r="G1271" t="s"/>
      <c r="H1271" t="s"/>
      <c r="I1271" t="s"/>
      <c r="J1271" t="n">
        <v>0.765</v>
      </c>
      <c r="K1271" t="n">
        <v>0</v>
      </c>
      <c r="L1271" t="n">
        <v>0.769</v>
      </c>
      <c r="M1271" t="n">
        <v>0.231</v>
      </c>
    </row>
    <row r="1272" spans="1:13">
      <c r="A1272" s="1">
        <f>HYPERLINK("http://www.twitter.com/NathanBLawrence/status/999808010938699777", "999808010938699777")</f>
        <v/>
      </c>
      <c r="B1272" s="2" t="n">
        <v>43245.01596064815</v>
      </c>
      <c r="C1272" t="n">
        <v>0</v>
      </c>
      <c r="D1272" t="n">
        <v>820</v>
      </c>
      <c r="E1272" t="s">
        <v>1280</v>
      </c>
      <c r="F1272" t="s"/>
      <c r="G1272" t="s"/>
      <c r="H1272" t="s"/>
      <c r="I1272" t="s"/>
      <c r="J1272" t="n">
        <v>0.7783</v>
      </c>
      <c r="K1272" t="n">
        <v>0.051</v>
      </c>
      <c r="L1272" t="n">
        <v>0.652</v>
      </c>
      <c r="M1272" t="n">
        <v>0.297</v>
      </c>
    </row>
    <row r="1273" spans="1:13">
      <c r="A1273" s="1">
        <f>HYPERLINK("http://www.twitter.com/NathanBLawrence/status/999807925551009797", "999807925551009797")</f>
        <v/>
      </c>
      <c r="B1273" s="2" t="n">
        <v>43245.01572916667</v>
      </c>
      <c r="C1273" t="n">
        <v>0</v>
      </c>
      <c r="D1273" t="n">
        <v>139</v>
      </c>
      <c r="E1273" t="s">
        <v>1281</v>
      </c>
      <c r="F1273" t="s"/>
      <c r="G1273" t="s"/>
      <c r="H1273" t="s"/>
      <c r="I1273" t="s"/>
      <c r="J1273" t="n">
        <v>-0.128</v>
      </c>
      <c r="K1273" t="n">
        <v>0.176</v>
      </c>
      <c r="L1273" t="n">
        <v>0.824</v>
      </c>
      <c r="M1273" t="n">
        <v>0</v>
      </c>
    </row>
    <row r="1274" spans="1:13">
      <c r="A1274" s="1">
        <f>HYPERLINK("http://www.twitter.com/NathanBLawrence/status/999807894790049793", "999807894790049793")</f>
        <v/>
      </c>
      <c r="B1274" s="2" t="n">
        <v>43245.01564814815</v>
      </c>
      <c r="C1274" t="n">
        <v>0</v>
      </c>
      <c r="D1274" t="n">
        <v>352</v>
      </c>
      <c r="E1274" t="s">
        <v>1282</v>
      </c>
      <c r="F1274">
        <f>HYPERLINK("http://pbs.twimg.com/media/Dd-Nd8mU0AEFb0t.jpg", "http://pbs.twimg.com/media/Dd-Nd8mU0AEFb0t.jpg")</f>
        <v/>
      </c>
      <c r="G1274" t="s"/>
      <c r="H1274" t="s"/>
      <c r="I1274" t="s"/>
      <c r="J1274" t="n">
        <v>0.1027</v>
      </c>
      <c r="K1274" t="n">
        <v>0.238</v>
      </c>
      <c r="L1274" t="n">
        <v>0.514</v>
      </c>
      <c r="M1274" t="n">
        <v>0.249</v>
      </c>
    </row>
    <row r="1275" spans="1:13">
      <c r="A1275" s="1">
        <f>HYPERLINK("http://www.twitter.com/NathanBLawrence/status/999807752129204225", "999807752129204225")</f>
        <v/>
      </c>
      <c r="B1275" s="2" t="n">
        <v>43245.01525462963</v>
      </c>
      <c r="C1275" t="n">
        <v>0</v>
      </c>
      <c r="D1275" t="n">
        <v>1227</v>
      </c>
      <c r="E1275" t="s">
        <v>1283</v>
      </c>
      <c r="F1275" t="s"/>
      <c r="G1275" t="s"/>
      <c r="H1275" t="s"/>
      <c r="I1275" t="s"/>
      <c r="J1275" t="n">
        <v>-0.2732</v>
      </c>
      <c r="K1275" t="n">
        <v>0.105</v>
      </c>
      <c r="L1275" t="n">
        <v>0.837</v>
      </c>
      <c r="M1275" t="n">
        <v>0.059</v>
      </c>
    </row>
    <row r="1276" spans="1:13">
      <c r="A1276" s="1">
        <f>HYPERLINK("http://www.twitter.com/NathanBLawrence/status/999807644088094720", "999807644088094720")</f>
        <v/>
      </c>
      <c r="B1276" s="2" t="n">
        <v>43245.01495370371</v>
      </c>
      <c r="C1276" t="n">
        <v>0</v>
      </c>
      <c r="D1276" t="n">
        <v>191</v>
      </c>
      <c r="E1276" t="s">
        <v>1284</v>
      </c>
      <c r="F1276">
        <f>HYPERLINK("http://pbs.twimg.com/media/Dd_XbvNV0AA--ET.jpg", "http://pbs.twimg.com/media/Dd_XbvNV0AA--ET.jpg")</f>
        <v/>
      </c>
      <c r="G1276" t="s"/>
      <c r="H1276" t="s"/>
      <c r="I1276" t="s"/>
      <c r="J1276" t="n">
        <v>0.8126</v>
      </c>
      <c r="K1276" t="n">
        <v>0</v>
      </c>
      <c r="L1276" t="n">
        <v>0.704</v>
      </c>
      <c r="M1276" t="n">
        <v>0.296</v>
      </c>
    </row>
    <row r="1277" spans="1:13">
      <c r="A1277" s="1">
        <f>HYPERLINK("http://www.twitter.com/NathanBLawrence/status/999807571744772096", "999807571744772096")</f>
        <v/>
      </c>
      <c r="B1277" s="2" t="n">
        <v>43245.01475694445</v>
      </c>
      <c r="C1277" t="n">
        <v>0</v>
      </c>
      <c r="D1277" t="n">
        <v>449</v>
      </c>
      <c r="E1277" t="s">
        <v>1285</v>
      </c>
      <c r="F1277" t="s"/>
      <c r="G1277" t="s"/>
      <c r="H1277" t="s"/>
      <c r="I1277" t="s"/>
      <c r="J1277" t="n">
        <v>-0.5904</v>
      </c>
      <c r="K1277" t="n">
        <v>0.354</v>
      </c>
      <c r="L1277" t="n">
        <v>0.646</v>
      </c>
      <c r="M1277" t="n">
        <v>0</v>
      </c>
    </row>
    <row r="1278" spans="1:13">
      <c r="A1278" s="1">
        <f>HYPERLINK("http://www.twitter.com/NathanBLawrence/status/999807515092307968", "999807515092307968")</f>
        <v/>
      </c>
      <c r="B1278" s="2" t="n">
        <v>43245.01459490741</v>
      </c>
      <c r="C1278" t="n">
        <v>0</v>
      </c>
      <c r="D1278" t="n">
        <v>17002</v>
      </c>
      <c r="E1278" t="s">
        <v>1286</v>
      </c>
      <c r="F1278" t="s"/>
      <c r="G1278" t="s"/>
      <c r="H1278" t="s"/>
      <c r="I1278" t="s"/>
      <c r="J1278" t="n">
        <v>0.4404</v>
      </c>
      <c r="K1278" t="n">
        <v>0</v>
      </c>
      <c r="L1278" t="n">
        <v>0.868</v>
      </c>
      <c r="M1278" t="n">
        <v>0.132</v>
      </c>
    </row>
    <row r="1279" spans="1:13">
      <c r="A1279" s="1">
        <f>HYPERLINK("http://www.twitter.com/NathanBLawrence/status/999807200578228224", "999807200578228224")</f>
        <v/>
      </c>
      <c r="B1279" s="2" t="n">
        <v>43245.01372685185</v>
      </c>
      <c r="C1279" t="n">
        <v>0</v>
      </c>
      <c r="D1279" t="n">
        <v>280</v>
      </c>
      <c r="E1279" t="s">
        <v>1287</v>
      </c>
      <c r="F1279">
        <f>HYPERLINK("https://video.twimg.com/ext_tw_video/999786034249453568/pu/vid/1280x720/hPhXcYklQCJHFcrV.mp4?tag=3", "https://video.twimg.com/ext_tw_video/999786034249453568/pu/vid/1280x720/hPhXcYklQCJHFcrV.mp4?tag=3")</f>
        <v/>
      </c>
      <c r="G1279" t="s"/>
      <c r="H1279" t="s"/>
      <c r="I1279" t="s"/>
      <c r="J1279" t="n">
        <v>-0.5266999999999999</v>
      </c>
      <c r="K1279" t="n">
        <v>0.145</v>
      </c>
      <c r="L1279" t="n">
        <v>0.855</v>
      </c>
      <c r="M1279" t="n">
        <v>0</v>
      </c>
    </row>
    <row r="1280" spans="1:13">
      <c r="A1280" s="1">
        <f>HYPERLINK("http://www.twitter.com/NathanBLawrence/status/999807128159358977", "999807128159358977")</f>
        <v/>
      </c>
      <c r="B1280" s="2" t="n">
        <v>43245.01353009259</v>
      </c>
      <c r="C1280" t="n">
        <v>0</v>
      </c>
      <c r="D1280" t="n">
        <v>881</v>
      </c>
      <c r="E1280" t="s">
        <v>1288</v>
      </c>
      <c r="F1280">
        <f>HYPERLINK("http://pbs.twimg.com/media/Dd_WbFEVMAENE1X.jpg", "http://pbs.twimg.com/media/Dd_WbFEVMAENE1X.jpg")</f>
        <v/>
      </c>
      <c r="G1280" t="s"/>
      <c r="H1280" t="s"/>
      <c r="I1280" t="s"/>
      <c r="J1280" t="n">
        <v>0.1007</v>
      </c>
      <c r="K1280" t="n">
        <v>0.099</v>
      </c>
      <c r="L1280" t="n">
        <v>0.785</v>
      </c>
      <c r="M1280" t="n">
        <v>0.115</v>
      </c>
    </row>
    <row r="1281" spans="1:13">
      <c r="A1281" s="1">
        <f>HYPERLINK("http://www.twitter.com/NathanBLawrence/status/999807035377143808", "999807035377143808")</f>
        <v/>
      </c>
      <c r="B1281" s="2" t="n">
        <v>43245.01327546296</v>
      </c>
      <c r="C1281" t="n">
        <v>0</v>
      </c>
      <c r="D1281" t="n">
        <v>15</v>
      </c>
      <c r="E1281" t="s">
        <v>1289</v>
      </c>
      <c r="F1281" t="s"/>
      <c r="G1281" t="s"/>
      <c r="H1281" t="s"/>
      <c r="I1281" t="s"/>
      <c r="J1281" t="n">
        <v>-0.7506</v>
      </c>
      <c r="K1281" t="n">
        <v>0.516</v>
      </c>
      <c r="L1281" t="n">
        <v>0.484</v>
      </c>
      <c r="M1281" t="n">
        <v>0</v>
      </c>
    </row>
    <row r="1282" spans="1:13">
      <c r="A1282" s="1">
        <f>HYPERLINK("http://www.twitter.com/NathanBLawrence/status/999806898491789312", "999806898491789312")</f>
        <v/>
      </c>
      <c r="B1282" s="2" t="n">
        <v>43245.01289351852</v>
      </c>
      <c r="C1282" t="n">
        <v>0</v>
      </c>
      <c r="D1282" t="n">
        <v>99</v>
      </c>
      <c r="E1282" t="s">
        <v>1290</v>
      </c>
      <c r="F1282" t="s"/>
      <c r="G1282" t="s"/>
      <c r="H1282" t="s"/>
      <c r="I1282" t="s"/>
      <c r="J1282" t="n">
        <v>0</v>
      </c>
      <c r="K1282" t="n">
        <v>0</v>
      </c>
      <c r="L1282" t="n">
        <v>1</v>
      </c>
      <c r="M1282" t="n">
        <v>0</v>
      </c>
    </row>
    <row r="1283" spans="1:13">
      <c r="A1283" s="1">
        <f>HYPERLINK("http://www.twitter.com/NathanBLawrence/status/999806738047094784", "999806738047094784")</f>
        <v/>
      </c>
      <c r="B1283" s="2" t="n">
        <v>43245.0124537037</v>
      </c>
      <c r="C1283" t="n">
        <v>0</v>
      </c>
      <c r="D1283" t="n">
        <v>13</v>
      </c>
      <c r="E1283" t="s">
        <v>1291</v>
      </c>
      <c r="F1283" t="s"/>
      <c r="G1283" t="s"/>
      <c r="H1283" t="s"/>
      <c r="I1283" t="s"/>
      <c r="J1283" t="n">
        <v>-0.2023</v>
      </c>
      <c r="K1283" t="n">
        <v>0.207</v>
      </c>
      <c r="L1283" t="n">
        <v>0.61</v>
      </c>
      <c r="M1283" t="n">
        <v>0.183</v>
      </c>
    </row>
    <row r="1284" spans="1:13">
      <c r="A1284" s="1">
        <f>HYPERLINK("http://www.twitter.com/NathanBLawrence/status/999806652584022016", "999806652584022016")</f>
        <v/>
      </c>
      <c r="B1284" s="2" t="n">
        <v>43245.01222222222</v>
      </c>
      <c r="C1284" t="n">
        <v>0</v>
      </c>
      <c r="D1284" t="n">
        <v>3158</v>
      </c>
      <c r="E1284" t="s">
        <v>1292</v>
      </c>
      <c r="F1284" t="s"/>
      <c r="G1284" t="s"/>
      <c r="H1284" t="s"/>
      <c r="I1284" t="s"/>
      <c r="J1284" t="n">
        <v>0.3612</v>
      </c>
      <c r="K1284" t="n">
        <v>0</v>
      </c>
      <c r="L1284" t="n">
        <v>0.878</v>
      </c>
      <c r="M1284" t="n">
        <v>0.122</v>
      </c>
    </row>
    <row r="1285" spans="1:13">
      <c r="A1285" s="1">
        <f>HYPERLINK("http://www.twitter.com/NathanBLawrence/status/999806611739828226", "999806611739828226")</f>
        <v/>
      </c>
      <c r="B1285" s="2" t="n">
        <v>43245.01210648148</v>
      </c>
      <c r="C1285" t="n">
        <v>0</v>
      </c>
      <c r="D1285" t="n">
        <v>1</v>
      </c>
      <c r="E1285" t="s">
        <v>1293</v>
      </c>
      <c r="F1285" t="s"/>
      <c r="G1285" t="s"/>
      <c r="H1285" t="s"/>
      <c r="I1285" t="s"/>
      <c r="J1285" t="n">
        <v>0</v>
      </c>
      <c r="K1285" t="n">
        <v>0</v>
      </c>
      <c r="L1285" t="n">
        <v>1</v>
      </c>
      <c r="M1285" t="n">
        <v>0</v>
      </c>
    </row>
    <row r="1286" spans="1:13">
      <c r="A1286" s="1">
        <f>HYPERLINK("http://www.twitter.com/NathanBLawrence/status/999806320466448384", "999806320466448384")</f>
        <v/>
      </c>
      <c r="B1286" s="2" t="n">
        <v>43245.0112962963</v>
      </c>
      <c r="C1286" t="n">
        <v>0</v>
      </c>
      <c r="D1286" t="n">
        <v>10</v>
      </c>
      <c r="E1286" t="s">
        <v>1294</v>
      </c>
      <c r="F1286">
        <f>HYPERLINK("http://pbs.twimg.com/media/Dd_8enyVQAEiJyA.jpg", "http://pbs.twimg.com/media/Dd_8enyVQAEiJyA.jpg")</f>
        <v/>
      </c>
      <c r="G1286">
        <f>HYPERLINK("http://pbs.twimg.com/media/Dd_8enyVMAAxrD_.jpg", "http://pbs.twimg.com/media/Dd_8enyVMAAxrD_.jpg")</f>
        <v/>
      </c>
      <c r="H1286" t="s"/>
      <c r="I1286" t="s"/>
      <c r="J1286" t="n">
        <v>0.9022</v>
      </c>
      <c r="K1286" t="n">
        <v>0</v>
      </c>
      <c r="L1286" t="n">
        <v>0.584</v>
      </c>
      <c r="M1286" t="n">
        <v>0.416</v>
      </c>
    </row>
    <row r="1287" spans="1:13">
      <c r="A1287" s="1">
        <f>HYPERLINK("http://www.twitter.com/NathanBLawrence/status/999806244570501120", "999806244570501120")</f>
        <v/>
      </c>
      <c r="B1287" s="2" t="n">
        <v>43245.01108796296</v>
      </c>
      <c r="C1287" t="n">
        <v>0</v>
      </c>
      <c r="D1287" t="n">
        <v>878</v>
      </c>
      <c r="E1287" t="s">
        <v>1295</v>
      </c>
      <c r="F1287" t="s"/>
      <c r="G1287" t="s"/>
      <c r="H1287" t="s"/>
      <c r="I1287" t="s"/>
      <c r="J1287" t="n">
        <v>0.8074</v>
      </c>
      <c r="K1287" t="n">
        <v>0</v>
      </c>
      <c r="L1287" t="n">
        <v>0.742</v>
      </c>
      <c r="M1287" t="n">
        <v>0.258</v>
      </c>
    </row>
    <row r="1288" spans="1:13">
      <c r="A1288" s="1">
        <f>HYPERLINK("http://www.twitter.com/NathanBLawrence/status/999806204426838016", "999806204426838016")</f>
        <v/>
      </c>
      <c r="B1288" s="2" t="n">
        <v>43245.0109837963</v>
      </c>
      <c r="C1288" t="n">
        <v>0</v>
      </c>
      <c r="D1288" t="n">
        <v>303</v>
      </c>
      <c r="E1288" t="s">
        <v>1296</v>
      </c>
      <c r="F1288" t="s"/>
      <c r="G1288" t="s"/>
      <c r="H1288" t="s"/>
      <c r="I1288" t="s"/>
      <c r="J1288" t="n">
        <v>0.0222</v>
      </c>
      <c r="K1288" t="n">
        <v>0.065</v>
      </c>
      <c r="L1288" t="n">
        <v>0.866</v>
      </c>
      <c r="M1288" t="n">
        <v>0.06900000000000001</v>
      </c>
    </row>
    <row r="1289" spans="1:13">
      <c r="A1289" s="1">
        <f>HYPERLINK("http://www.twitter.com/NathanBLawrence/status/999806129923387392", "999806129923387392")</f>
        <v/>
      </c>
      <c r="B1289" s="2" t="n">
        <v>43245.01077546296</v>
      </c>
      <c r="C1289" t="n">
        <v>0</v>
      </c>
      <c r="D1289" t="n">
        <v>71</v>
      </c>
      <c r="E1289" t="s">
        <v>1297</v>
      </c>
      <c r="F1289">
        <f>HYPERLINK("https://video.twimg.com/ext_tw_video/999258299819212800/pu/vid/640x360/2qmxMuR59EqlvCk1.mp4?tag=3", "https://video.twimg.com/ext_tw_video/999258299819212800/pu/vid/640x360/2qmxMuR59EqlvCk1.mp4?tag=3")</f>
        <v/>
      </c>
      <c r="G1289" t="s"/>
      <c r="H1289" t="s"/>
      <c r="I1289" t="s"/>
      <c r="J1289" t="n">
        <v>-0.296</v>
      </c>
      <c r="K1289" t="n">
        <v>0.099</v>
      </c>
      <c r="L1289" t="n">
        <v>0.901</v>
      </c>
      <c r="M1289" t="n">
        <v>0</v>
      </c>
    </row>
    <row r="1290" spans="1:13">
      <c r="A1290" s="1">
        <f>HYPERLINK("http://www.twitter.com/NathanBLawrence/status/999805757385256961", "999805757385256961")</f>
        <v/>
      </c>
      <c r="B1290" s="2" t="n">
        <v>43245.00974537037</v>
      </c>
      <c r="C1290" t="n">
        <v>0</v>
      </c>
      <c r="D1290" t="n">
        <v>31</v>
      </c>
      <c r="E1290" t="s">
        <v>1298</v>
      </c>
      <c r="F1290" t="s"/>
      <c r="G1290" t="s"/>
      <c r="H1290" t="s"/>
      <c r="I1290" t="s"/>
      <c r="J1290" t="n">
        <v>0</v>
      </c>
      <c r="K1290" t="n">
        <v>0</v>
      </c>
      <c r="L1290" t="n">
        <v>1</v>
      </c>
      <c r="M1290" t="n">
        <v>0</v>
      </c>
    </row>
    <row r="1291" spans="1:13">
      <c r="A1291" s="1">
        <f>HYPERLINK("http://www.twitter.com/NathanBLawrence/status/999805612656615425", "999805612656615425")</f>
        <v/>
      </c>
      <c r="B1291" s="2" t="n">
        <v>43245.00935185186</v>
      </c>
      <c r="C1291" t="n">
        <v>0</v>
      </c>
      <c r="D1291" t="n">
        <v>515</v>
      </c>
      <c r="E1291" t="s">
        <v>1299</v>
      </c>
      <c r="F1291" t="s"/>
      <c r="G1291" t="s"/>
      <c r="H1291" t="s"/>
      <c r="I1291" t="s"/>
      <c r="J1291" t="n">
        <v>0.4767</v>
      </c>
      <c r="K1291" t="n">
        <v>0.111</v>
      </c>
      <c r="L1291" t="n">
        <v>0.664</v>
      </c>
      <c r="M1291" t="n">
        <v>0.225</v>
      </c>
    </row>
    <row r="1292" spans="1:13">
      <c r="A1292" s="1">
        <f>HYPERLINK("http://www.twitter.com/NathanBLawrence/status/999805575784484865", "999805575784484865")</f>
        <v/>
      </c>
      <c r="B1292" s="2" t="n">
        <v>43245.00924768519</v>
      </c>
      <c r="C1292" t="n">
        <v>0</v>
      </c>
      <c r="D1292" t="n">
        <v>8</v>
      </c>
      <c r="E1292" t="s">
        <v>1300</v>
      </c>
      <c r="F1292" t="s"/>
      <c r="G1292" t="s"/>
      <c r="H1292" t="s"/>
      <c r="I1292" t="s"/>
      <c r="J1292" t="n">
        <v>0.0258</v>
      </c>
      <c r="K1292" t="n">
        <v>0.112</v>
      </c>
      <c r="L1292" t="n">
        <v>0.73</v>
      </c>
      <c r="M1292" t="n">
        <v>0.159</v>
      </c>
    </row>
    <row r="1293" spans="1:13">
      <c r="A1293" s="1">
        <f>HYPERLINK("http://www.twitter.com/NathanBLawrence/status/999805517085233152", "999805517085233152")</f>
        <v/>
      </c>
      <c r="B1293" s="2" t="n">
        <v>43245.00908564815</v>
      </c>
      <c r="C1293" t="n">
        <v>0</v>
      </c>
      <c r="D1293" t="n">
        <v>1</v>
      </c>
      <c r="E1293" t="s">
        <v>1301</v>
      </c>
      <c r="F1293" t="s"/>
      <c r="G1293" t="s"/>
      <c r="H1293" t="s"/>
      <c r="I1293" t="s"/>
      <c r="J1293" t="n">
        <v>-0.8625</v>
      </c>
      <c r="K1293" t="n">
        <v>0.407</v>
      </c>
      <c r="L1293" t="n">
        <v>0.593</v>
      </c>
      <c r="M1293" t="n">
        <v>0</v>
      </c>
    </row>
    <row r="1294" spans="1:13">
      <c r="A1294" s="1">
        <f>HYPERLINK("http://www.twitter.com/NathanBLawrence/status/999805075634745344", "999805075634745344")</f>
        <v/>
      </c>
      <c r="B1294" s="2" t="n">
        <v>43245.00787037037</v>
      </c>
      <c r="C1294" t="n">
        <v>0</v>
      </c>
      <c r="D1294" t="n">
        <v>8</v>
      </c>
      <c r="E1294" t="s">
        <v>1302</v>
      </c>
      <c r="F1294" t="s"/>
      <c r="G1294" t="s"/>
      <c r="H1294" t="s"/>
      <c r="I1294" t="s"/>
      <c r="J1294" t="n">
        <v>0</v>
      </c>
      <c r="K1294" t="n">
        <v>0</v>
      </c>
      <c r="L1294" t="n">
        <v>1</v>
      </c>
      <c r="M1294" t="n">
        <v>0</v>
      </c>
    </row>
    <row r="1295" spans="1:13">
      <c r="A1295" s="1">
        <f>HYPERLINK("http://www.twitter.com/NathanBLawrence/status/999805058018611200", "999805058018611200")</f>
        <v/>
      </c>
      <c r="B1295" s="2" t="n">
        <v>43245.0078125</v>
      </c>
      <c r="C1295" t="n">
        <v>0</v>
      </c>
      <c r="D1295" t="n">
        <v>45</v>
      </c>
      <c r="E1295" t="s">
        <v>1303</v>
      </c>
      <c r="F1295" t="s"/>
      <c r="G1295" t="s"/>
      <c r="H1295" t="s"/>
      <c r="I1295" t="s"/>
      <c r="J1295" t="n">
        <v>0.296</v>
      </c>
      <c r="K1295" t="n">
        <v>0</v>
      </c>
      <c r="L1295" t="n">
        <v>0.916</v>
      </c>
      <c r="M1295" t="n">
        <v>0.08400000000000001</v>
      </c>
    </row>
    <row r="1296" spans="1:13">
      <c r="A1296" s="1">
        <f>HYPERLINK("http://www.twitter.com/NathanBLawrence/status/999803097928159233", "999803097928159233")</f>
        <v/>
      </c>
      <c r="B1296" s="2" t="n">
        <v>43245.00240740741</v>
      </c>
      <c r="C1296" t="n">
        <v>0</v>
      </c>
      <c r="D1296" t="n">
        <v>12922</v>
      </c>
      <c r="E1296" t="s">
        <v>1304</v>
      </c>
      <c r="F1296">
        <f>HYPERLINK("https://video.twimg.com/amplify_video/999680167126560768/vid/1280x720/5knxejiKsPdDDTIH.mp4?tag=2", "https://video.twimg.com/amplify_video/999680167126560768/vid/1280x720/5knxejiKsPdDDTIH.mp4?tag=2")</f>
        <v/>
      </c>
      <c r="G1296" t="s"/>
      <c r="H1296" t="s"/>
      <c r="I1296" t="s"/>
      <c r="J1296" t="n">
        <v>0.6597</v>
      </c>
      <c r="K1296" t="n">
        <v>0.099</v>
      </c>
      <c r="L1296" t="n">
        <v>0.651</v>
      </c>
      <c r="M1296" t="n">
        <v>0.25</v>
      </c>
    </row>
    <row r="1297" spans="1:13">
      <c r="A1297" s="1">
        <f>HYPERLINK("http://www.twitter.com/NathanBLawrence/status/999803020568297477", "999803020568297477")</f>
        <v/>
      </c>
      <c r="B1297" s="2" t="n">
        <v>43245.00219907407</v>
      </c>
      <c r="C1297" t="n">
        <v>0</v>
      </c>
      <c r="D1297" t="n">
        <v>104</v>
      </c>
      <c r="E1297" t="s">
        <v>1305</v>
      </c>
      <c r="F1297" t="s"/>
      <c r="G1297" t="s"/>
      <c r="H1297" t="s"/>
      <c r="I1297" t="s"/>
      <c r="J1297" t="n">
        <v>-0.2173</v>
      </c>
      <c r="K1297" t="n">
        <v>0.198</v>
      </c>
      <c r="L1297" t="n">
        <v>0.67</v>
      </c>
      <c r="M1297" t="n">
        <v>0.132</v>
      </c>
    </row>
    <row r="1298" spans="1:13">
      <c r="A1298" s="1">
        <f>HYPERLINK("http://www.twitter.com/NathanBLawrence/status/999802877173477376", "999802877173477376")</f>
        <v/>
      </c>
      <c r="B1298" s="2" t="n">
        <v>43245.00180555556</v>
      </c>
      <c r="C1298" t="n">
        <v>0</v>
      </c>
      <c r="D1298" t="n">
        <v>0</v>
      </c>
      <c r="E1298" t="s">
        <v>1306</v>
      </c>
      <c r="F1298" t="s"/>
      <c r="G1298" t="s"/>
      <c r="H1298" t="s"/>
      <c r="I1298" t="s"/>
      <c r="J1298" t="n">
        <v>-0.8070000000000001</v>
      </c>
      <c r="K1298" t="n">
        <v>0.288</v>
      </c>
      <c r="L1298" t="n">
        <v>0.712</v>
      </c>
      <c r="M1298" t="n">
        <v>0</v>
      </c>
    </row>
    <row r="1299" spans="1:13">
      <c r="A1299" s="1">
        <f>HYPERLINK("http://www.twitter.com/NathanBLawrence/status/999802175466426369", "999802175466426369")</f>
        <v/>
      </c>
      <c r="B1299" s="2" t="n">
        <v>43244.99986111111</v>
      </c>
      <c r="C1299" t="n">
        <v>0</v>
      </c>
      <c r="D1299" t="n">
        <v>528</v>
      </c>
      <c r="E1299" t="s">
        <v>1307</v>
      </c>
      <c r="F1299" t="s"/>
      <c r="G1299" t="s"/>
      <c r="H1299" t="s"/>
      <c r="I1299" t="s"/>
      <c r="J1299" t="n">
        <v>0</v>
      </c>
      <c r="K1299" t="n">
        <v>0</v>
      </c>
      <c r="L1299" t="n">
        <v>1</v>
      </c>
      <c r="M1299" t="n">
        <v>0</v>
      </c>
    </row>
    <row r="1300" spans="1:13">
      <c r="A1300" s="1">
        <f>HYPERLINK("http://www.twitter.com/NathanBLawrence/status/999802124019093504", "999802124019093504")</f>
        <v/>
      </c>
      <c r="B1300" s="2" t="n">
        <v>43244.99972222222</v>
      </c>
      <c r="C1300" t="n">
        <v>0</v>
      </c>
      <c r="D1300" t="n">
        <v>0</v>
      </c>
      <c r="E1300" t="s">
        <v>1308</v>
      </c>
      <c r="F1300" t="s"/>
      <c r="G1300" t="s"/>
      <c r="H1300" t="s"/>
      <c r="I1300" t="s"/>
      <c r="J1300" t="n">
        <v>0.5562</v>
      </c>
      <c r="K1300" t="n">
        <v>0</v>
      </c>
      <c r="L1300" t="n">
        <v>0.604</v>
      </c>
      <c r="M1300" t="n">
        <v>0.396</v>
      </c>
    </row>
    <row r="1301" spans="1:13">
      <c r="A1301" s="1">
        <f>HYPERLINK("http://www.twitter.com/NathanBLawrence/status/999800300205731848", "999800300205731848")</f>
        <v/>
      </c>
      <c r="B1301" s="2" t="n">
        <v>43244.9946875</v>
      </c>
      <c r="C1301" t="n">
        <v>0</v>
      </c>
      <c r="D1301" t="n">
        <v>2436</v>
      </c>
      <c r="E1301" t="s">
        <v>1309</v>
      </c>
      <c r="F1301" t="s"/>
      <c r="G1301" t="s"/>
      <c r="H1301" t="s"/>
      <c r="I1301" t="s"/>
      <c r="J1301" t="n">
        <v>-0.3412</v>
      </c>
      <c r="K1301" t="n">
        <v>0.103</v>
      </c>
      <c r="L1301" t="n">
        <v>0.897</v>
      </c>
      <c r="M1301" t="n">
        <v>0</v>
      </c>
    </row>
    <row r="1302" spans="1:13">
      <c r="A1302" s="1">
        <f>HYPERLINK("http://www.twitter.com/NathanBLawrence/status/999800260460535808", "999800260460535808")</f>
        <v/>
      </c>
      <c r="B1302" s="2" t="n">
        <v>43244.99458333333</v>
      </c>
      <c r="C1302" t="n">
        <v>0</v>
      </c>
      <c r="D1302" t="n">
        <v>72</v>
      </c>
      <c r="E1302" t="s">
        <v>1310</v>
      </c>
      <c r="F1302" t="s"/>
      <c r="G1302" t="s"/>
      <c r="H1302" t="s"/>
      <c r="I1302" t="s"/>
      <c r="J1302" t="n">
        <v>-0.0772</v>
      </c>
      <c r="K1302" t="n">
        <v>0.08799999999999999</v>
      </c>
      <c r="L1302" t="n">
        <v>0.837</v>
      </c>
      <c r="M1302" t="n">
        <v>0.076</v>
      </c>
    </row>
    <row r="1303" spans="1:13">
      <c r="A1303" s="1">
        <f>HYPERLINK("http://www.twitter.com/NathanBLawrence/status/999800235978383360", "999800235978383360")</f>
        <v/>
      </c>
      <c r="B1303" s="2" t="n">
        <v>43244.99451388889</v>
      </c>
      <c r="C1303" t="n">
        <v>0</v>
      </c>
      <c r="D1303" t="n">
        <v>0</v>
      </c>
      <c r="E1303" t="s">
        <v>1311</v>
      </c>
      <c r="F1303" t="s"/>
      <c r="G1303" t="s"/>
      <c r="H1303" t="s"/>
      <c r="I1303" t="s"/>
      <c r="J1303" t="n">
        <v>0</v>
      </c>
      <c r="K1303" t="n">
        <v>0</v>
      </c>
      <c r="L1303" t="n">
        <v>1</v>
      </c>
      <c r="M1303" t="n">
        <v>0</v>
      </c>
    </row>
    <row r="1304" spans="1:13">
      <c r="A1304" s="1">
        <f>HYPERLINK("http://www.twitter.com/NathanBLawrence/status/999800044965548033", "999800044965548033")</f>
        <v/>
      </c>
      <c r="B1304" s="2" t="n">
        <v>43244.99398148148</v>
      </c>
      <c r="C1304" t="n">
        <v>0</v>
      </c>
      <c r="D1304" t="n">
        <v>6063</v>
      </c>
      <c r="E1304" t="s">
        <v>1312</v>
      </c>
      <c r="F1304" t="s"/>
      <c r="G1304" t="s"/>
      <c r="H1304" t="s"/>
      <c r="I1304" t="s"/>
      <c r="J1304" t="n">
        <v>0.4588</v>
      </c>
      <c r="K1304" t="n">
        <v>0</v>
      </c>
      <c r="L1304" t="n">
        <v>0.786</v>
      </c>
      <c r="M1304" t="n">
        <v>0.214</v>
      </c>
    </row>
    <row r="1305" spans="1:13">
      <c r="A1305" s="1">
        <f>HYPERLINK("http://www.twitter.com/NathanBLawrence/status/999799926354792449", "999799926354792449")</f>
        <v/>
      </c>
      <c r="B1305" s="2" t="n">
        <v>43244.99365740741</v>
      </c>
      <c r="C1305" t="n">
        <v>0</v>
      </c>
      <c r="D1305" t="n">
        <v>93</v>
      </c>
      <c r="E1305" t="s">
        <v>1313</v>
      </c>
      <c r="F1305">
        <f>HYPERLINK("http://pbs.twimg.com/media/Dd6-RnYUQAEpxt4.jpg", "http://pbs.twimg.com/media/Dd6-RnYUQAEpxt4.jpg")</f>
        <v/>
      </c>
      <c r="G1305" t="s"/>
      <c r="H1305" t="s"/>
      <c r="I1305" t="s"/>
      <c r="J1305" t="n">
        <v>-0.1027</v>
      </c>
      <c r="K1305" t="n">
        <v>0.193</v>
      </c>
      <c r="L1305" t="n">
        <v>0.672</v>
      </c>
      <c r="M1305" t="n">
        <v>0.134</v>
      </c>
    </row>
    <row r="1306" spans="1:13">
      <c r="A1306" s="1">
        <f>HYPERLINK("http://www.twitter.com/NathanBLawrence/status/999799837037080576", "999799837037080576")</f>
        <v/>
      </c>
      <c r="B1306" s="2" t="n">
        <v>43244.99341435185</v>
      </c>
      <c r="C1306" t="n">
        <v>0</v>
      </c>
      <c r="D1306" t="n">
        <v>75</v>
      </c>
      <c r="E1306" t="s">
        <v>1314</v>
      </c>
      <c r="F1306" t="s"/>
      <c r="G1306" t="s"/>
      <c r="H1306" t="s"/>
      <c r="I1306" t="s"/>
      <c r="J1306" t="n">
        <v>-0.4404</v>
      </c>
      <c r="K1306" t="n">
        <v>0.157</v>
      </c>
      <c r="L1306" t="n">
        <v>0.843</v>
      </c>
      <c r="M1306" t="n">
        <v>0</v>
      </c>
    </row>
    <row r="1307" spans="1:13">
      <c r="A1307" s="1">
        <f>HYPERLINK("http://www.twitter.com/NathanBLawrence/status/999799728983498754", "999799728983498754")</f>
        <v/>
      </c>
      <c r="B1307" s="2" t="n">
        <v>43244.99311342592</v>
      </c>
      <c r="C1307" t="n">
        <v>0</v>
      </c>
      <c r="D1307" t="n">
        <v>186</v>
      </c>
      <c r="E1307" t="s">
        <v>1315</v>
      </c>
      <c r="F1307" t="s"/>
      <c r="G1307" t="s"/>
      <c r="H1307" t="s"/>
      <c r="I1307" t="s"/>
      <c r="J1307" t="n">
        <v>0.2263</v>
      </c>
      <c r="K1307" t="n">
        <v>0.099</v>
      </c>
      <c r="L1307" t="n">
        <v>0.745</v>
      </c>
      <c r="M1307" t="n">
        <v>0.155</v>
      </c>
    </row>
    <row r="1308" spans="1:13">
      <c r="A1308" s="1">
        <f>HYPERLINK("http://www.twitter.com/NathanBLawrence/status/999799666748293125", "999799666748293125")</f>
        <v/>
      </c>
      <c r="B1308" s="2" t="n">
        <v>43244.99293981482</v>
      </c>
      <c r="C1308" t="n">
        <v>0</v>
      </c>
      <c r="D1308" t="n">
        <v>364</v>
      </c>
      <c r="E1308" t="s">
        <v>1316</v>
      </c>
      <c r="F1308" t="s"/>
      <c r="G1308" t="s"/>
      <c r="H1308" t="s"/>
      <c r="I1308" t="s"/>
      <c r="J1308" t="n">
        <v>-0.4019</v>
      </c>
      <c r="K1308" t="n">
        <v>0.105</v>
      </c>
      <c r="L1308" t="n">
        <v>0.895</v>
      </c>
      <c r="M1308" t="n">
        <v>0</v>
      </c>
    </row>
    <row r="1309" spans="1:13">
      <c r="A1309" s="1">
        <f>HYPERLINK("http://www.twitter.com/NathanBLawrence/status/999799526952140801", "999799526952140801")</f>
        <v/>
      </c>
      <c r="B1309" s="2" t="n">
        <v>43244.99255787037</v>
      </c>
      <c r="C1309" t="n">
        <v>0</v>
      </c>
      <c r="D1309" t="n">
        <v>503</v>
      </c>
      <c r="E1309" t="s">
        <v>1317</v>
      </c>
      <c r="F1309">
        <f>HYPERLINK("http://pbs.twimg.com/media/Dd_eI8FVQAAij5k.jpg", "http://pbs.twimg.com/media/Dd_eI8FVQAAij5k.jpg")</f>
        <v/>
      </c>
      <c r="G1309" t="s"/>
      <c r="H1309" t="s"/>
      <c r="I1309" t="s"/>
      <c r="J1309" t="n">
        <v>-0.2023</v>
      </c>
      <c r="K1309" t="n">
        <v>0.137</v>
      </c>
      <c r="L1309" t="n">
        <v>0.769</v>
      </c>
      <c r="M1309" t="n">
        <v>0.093</v>
      </c>
    </row>
    <row r="1310" spans="1:13">
      <c r="A1310" s="1">
        <f>HYPERLINK("http://www.twitter.com/NathanBLawrence/status/999797376427675649", "999797376427675649")</f>
        <v/>
      </c>
      <c r="B1310" s="2" t="n">
        <v>43244.98662037037</v>
      </c>
      <c r="C1310" t="n">
        <v>0</v>
      </c>
      <c r="D1310" t="n">
        <v>1</v>
      </c>
      <c r="E1310" t="s">
        <v>1318</v>
      </c>
      <c r="F1310" t="s"/>
      <c r="G1310" t="s"/>
      <c r="H1310" t="s"/>
      <c r="I1310" t="s"/>
      <c r="J1310" t="n">
        <v>-0.7717000000000001</v>
      </c>
      <c r="K1310" t="n">
        <v>0.295</v>
      </c>
      <c r="L1310" t="n">
        <v>0.705</v>
      </c>
      <c r="M1310" t="n">
        <v>0</v>
      </c>
    </row>
    <row r="1311" spans="1:13">
      <c r="A1311" s="1">
        <f>HYPERLINK("http://www.twitter.com/NathanBLawrence/status/999797042984742913", "999797042984742913")</f>
        <v/>
      </c>
      <c r="B1311" s="2" t="n">
        <v>43244.98570601852</v>
      </c>
      <c r="C1311" t="n">
        <v>0</v>
      </c>
      <c r="D1311" t="n">
        <v>137</v>
      </c>
      <c r="E1311" t="s">
        <v>1319</v>
      </c>
      <c r="F1311">
        <f>HYPERLINK("http://pbs.twimg.com/media/Dd_95qIU0AERiEH.jpg", "http://pbs.twimg.com/media/Dd_95qIU0AERiEH.jpg")</f>
        <v/>
      </c>
      <c r="G1311" t="s"/>
      <c r="H1311" t="s"/>
      <c r="I1311" t="s"/>
      <c r="J1311" t="n">
        <v>-0.836</v>
      </c>
      <c r="K1311" t="n">
        <v>0.298</v>
      </c>
      <c r="L1311" t="n">
        <v>0.702</v>
      </c>
      <c r="M1311" t="n">
        <v>0</v>
      </c>
    </row>
    <row r="1312" spans="1:13">
      <c r="A1312" s="1">
        <f>HYPERLINK("http://www.twitter.com/NathanBLawrence/status/999796397678481409", "999796397678481409")</f>
        <v/>
      </c>
      <c r="B1312" s="2" t="n">
        <v>43244.98392361111</v>
      </c>
      <c r="C1312" t="n">
        <v>0</v>
      </c>
      <c r="D1312" t="n">
        <v>10</v>
      </c>
      <c r="E1312" t="s">
        <v>1320</v>
      </c>
      <c r="F1312">
        <f>HYPERLINK("http://pbs.twimg.com/media/Dd_wwKMVAAAOhLa.jpg", "http://pbs.twimg.com/media/Dd_wwKMVAAAOhLa.jpg")</f>
        <v/>
      </c>
      <c r="G1312" t="s"/>
      <c r="H1312" t="s"/>
      <c r="I1312" t="s"/>
      <c r="J1312" t="n">
        <v>-0.3182</v>
      </c>
      <c r="K1312" t="n">
        <v>0.141</v>
      </c>
      <c r="L1312" t="n">
        <v>0.859</v>
      </c>
      <c r="M1312" t="n">
        <v>0</v>
      </c>
    </row>
    <row r="1313" spans="1:13">
      <c r="A1313" s="1">
        <f>HYPERLINK("http://www.twitter.com/NathanBLawrence/status/999796145684656131", "999796145684656131")</f>
        <v/>
      </c>
      <c r="B1313" s="2" t="n">
        <v>43244.98322916667</v>
      </c>
      <c r="C1313" t="n">
        <v>0</v>
      </c>
      <c r="D1313" t="n">
        <v>125</v>
      </c>
      <c r="E1313" t="s">
        <v>1321</v>
      </c>
      <c r="F1313">
        <f>HYPERLINK("http://pbs.twimg.com/media/Dd_7ECxU8AEZc6s.jpg", "http://pbs.twimg.com/media/Dd_7ECxU8AEZc6s.jpg")</f>
        <v/>
      </c>
      <c r="G1313" t="s"/>
      <c r="H1313" t="s"/>
      <c r="I1313" t="s"/>
      <c r="J1313" t="n">
        <v>-0.0258</v>
      </c>
      <c r="K1313" t="n">
        <v>0.094</v>
      </c>
      <c r="L1313" t="n">
        <v>0.819</v>
      </c>
      <c r="M1313" t="n">
        <v>0.08799999999999999</v>
      </c>
    </row>
    <row r="1314" spans="1:13">
      <c r="A1314" s="1">
        <f>HYPERLINK("http://www.twitter.com/NathanBLawrence/status/999794190300131328", "999794190300131328")</f>
        <v/>
      </c>
      <c r="B1314" s="2" t="n">
        <v>43244.97782407407</v>
      </c>
      <c r="C1314" t="n">
        <v>0</v>
      </c>
      <c r="D1314" t="n">
        <v>13</v>
      </c>
      <c r="E1314" t="s">
        <v>1322</v>
      </c>
      <c r="F1314" t="s"/>
      <c r="G1314" t="s"/>
      <c r="H1314" t="s"/>
      <c r="I1314" t="s"/>
      <c r="J1314" t="n">
        <v>-0.34</v>
      </c>
      <c r="K1314" t="n">
        <v>0.172</v>
      </c>
      <c r="L1314" t="n">
        <v>0.756</v>
      </c>
      <c r="M1314" t="n">
        <v>0.07099999999999999</v>
      </c>
    </row>
    <row r="1315" spans="1:13">
      <c r="A1315" s="1">
        <f>HYPERLINK("http://www.twitter.com/NathanBLawrence/status/999794091641724929", "999794091641724929")</f>
        <v/>
      </c>
      <c r="B1315" s="2" t="n">
        <v>43244.97755787037</v>
      </c>
      <c r="C1315" t="n">
        <v>0</v>
      </c>
      <c r="D1315" t="n">
        <v>3</v>
      </c>
      <c r="E1315" t="s">
        <v>1323</v>
      </c>
      <c r="F1315" t="s"/>
      <c r="G1315" t="s"/>
      <c r="H1315" t="s"/>
      <c r="I1315" t="s"/>
      <c r="J1315" t="n">
        <v>0</v>
      </c>
      <c r="K1315" t="n">
        <v>0</v>
      </c>
      <c r="L1315" t="n">
        <v>1</v>
      </c>
      <c r="M1315" t="n">
        <v>0</v>
      </c>
    </row>
    <row r="1316" spans="1:13">
      <c r="A1316" s="1">
        <f>HYPERLINK("http://www.twitter.com/NathanBLawrence/status/999794006866395136", "999794006866395136")</f>
        <v/>
      </c>
      <c r="B1316" s="2" t="n">
        <v>43244.97732638889</v>
      </c>
      <c r="C1316" t="n">
        <v>0</v>
      </c>
      <c r="D1316" t="n">
        <v>194</v>
      </c>
      <c r="E1316" t="s">
        <v>1324</v>
      </c>
      <c r="F1316" t="s"/>
      <c r="G1316" t="s"/>
      <c r="H1316" t="s"/>
      <c r="I1316" t="s"/>
      <c r="J1316" t="n">
        <v>0.1027</v>
      </c>
      <c r="K1316" t="n">
        <v>0.095</v>
      </c>
      <c r="L1316" t="n">
        <v>0.795</v>
      </c>
      <c r="M1316" t="n">
        <v>0.11</v>
      </c>
    </row>
    <row r="1317" spans="1:13">
      <c r="A1317" s="1">
        <f>HYPERLINK("http://www.twitter.com/NathanBLawrence/status/999793972770955264", "999793972770955264")</f>
        <v/>
      </c>
      <c r="B1317" s="2" t="n">
        <v>43244.97723379629</v>
      </c>
      <c r="C1317" t="n">
        <v>0</v>
      </c>
      <c r="D1317" t="n">
        <v>9283</v>
      </c>
      <c r="E1317" t="s">
        <v>1325</v>
      </c>
      <c r="F1317" t="s"/>
      <c r="G1317" t="s"/>
      <c r="H1317" t="s"/>
      <c r="I1317" t="s"/>
      <c r="J1317" t="n">
        <v>0.4767</v>
      </c>
      <c r="K1317" t="n">
        <v>0</v>
      </c>
      <c r="L1317" t="n">
        <v>0.83</v>
      </c>
      <c r="M1317" t="n">
        <v>0.17</v>
      </c>
    </row>
    <row r="1318" spans="1:13">
      <c r="A1318" s="1">
        <f>HYPERLINK("http://www.twitter.com/NathanBLawrence/status/999793702213210112", "999793702213210112")</f>
        <v/>
      </c>
      <c r="B1318" s="2" t="n">
        <v>43244.97648148148</v>
      </c>
      <c r="C1318" t="n">
        <v>0</v>
      </c>
      <c r="D1318" t="n">
        <v>5195</v>
      </c>
      <c r="E1318" t="s">
        <v>1326</v>
      </c>
      <c r="F1318" t="s"/>
      <c r="G1318" t="s"/>
      <c r="H1318" t="s"/>
      <c r="I1318" t="s"/>
      <c r="J1318" t="n">
        <v>0.3412</v>
      </c>
      <c r="K1318" t="n">
        <v>0</v>
      </c>
      <c r="L1318" t="n">
        <v>0.909</v>
      </c>
      <c r="M1318" t="n">
        <v>0.091</v>
      </c>
    </row>
    <row r="1319" spans="1:13">
      <c r="A1319" s="1">
        <f>HYPERLINK("http://www.twitter.com/NathanBLawrence/status/999793515931557891", "999793515931557891")</f>
        <v/>
      </c>
      <c r="B1319" s="2" t="n">
        <v>43244.97597222222</v>
      </c>
      <c r="C1319" t="n">
        <v>0</v>
      </c>
      <c r="D1319" t="n">
        <v>2</v>
      </c>
      <c r="E1319" t="s">
        <v>1327</v>
      </c>
      <c r="F1319" t="s"/>
      <c r="G1319" t="s"/>
      <c r="H1319" t="s"/>
      <c r="I1319" t="s"/>
      <c r="J1319" t="n">
        <v>0</v>
      </c>
      <c r="K1319" t="n">
        <v>0</v>
      </c>
      <c r="L1319" t="n">
        <v>1</v>
      </c>
      <c r="M1319" t="n">
        <v>0</v>
      </c>
    </row>
    <row r="1320" spans="1:13">
      <c r="A1320" s="1">
        <f>HYPERLINK("http://www.twitter.com/NathanBLawrence/status/999793209537630209", "999793209537630209")</f>
        <v/>
      </c>
      <c r="B1320" s="2" t="n">
        <v>43244.97512731481</v>
      </c>
      <c r="C1320" t="n">
        <v>0</v>
      </c>
      <c r="D1320" t="n">
        <v>194</v>
      </c>
      <c r="E1320" t="s">
        <v>1328</v>
      </c>
      <c r="F1320" t="s"/>
      <c r="G1320" t="s"/>
      <c r="H1320" t="s"/>
      <c r="I1320" t="s"/>
      <c r="J1320" t="n">
        <v>-0.0516</v>
      </c>
      <c r="K1320" t="n">
        <v>0.182</v>
      </c>
      <c r="L1320" t="n">
        <v>0.649</v>
      </c>
      <c r="M1320" t="n">
        <v>0.169</v>
      </c>
    </row>
    <row r="1321" spans="1:13">
      <c r="A1321" s="1">
        <f>HYPERLINK("http://www.twitter.com/NathanBLawrence/status/999793105623805952", "999793105623805952")</f>
        <v/>
      </c>
      <c r="B1321" s="2" t="n">
        <v>43244.97483796296</v>
      </c>
      <c r="C1321" t="n">
        <v>0</v>
      </c>
      <c r="D1321" t="n">
        <v>6254</v>
      </c>
      <c r="E1321" t="s">
        <v>1329</v>
      </c>
      <c r="F1321" t="s"/>
      <c r="G1321" t="s"/>
      <c r="H1321" t="s"/>
      <c r="I1321" t="s"/>
      <c r="J1321" t="n">
        <v>0</v>
      </c>
      <c r="K1321" t="n">
        <v>0</v>
      </c>
      <c r="L1321" t="n">
        <v>1</v>
      </c>
      <c r="M1321" t="n">
        <v>0</v>
      </c>
    </row>
    <row r="1322" spans="1:13">
      <c r="A1322" s="1">
        <f>HYPERLINK("http://www.twitter.com/NathanBLawrence/status/999793007879696384", "999793007879696384")</f>
        <v/>
      </c>
      <c r="B1322" s="2" t="n">
        <v>43244.97456018518</v>
      </c>
      <c r="C1322" t="n">
        <v>0</v>
      </c>
      <c r="D1322" t="n">
        <v>2676</v>
      </c>
      <c r="E1322" t="s">
        <v>1330</v>
      </c>
      <c r="F1322" t="s"/>
      <c r="G1322" t="s"/>
      <c r="H1322" t="s"/>
      <c r="I1322" t="s"/>
      <c r="J1322" t="n">
        <v>0.5622</v>
      </c>
      <c r="K1322" t="n">
        <v>0.256</v>
      </c>
      <c r="L1322" t="n">
        <v>0.436</v>
      </c>
      <c r="M1322" t="n">
        <v>0.307</v>
      </c>
    </row>
    <row r="1323" spans="1:13">
      <c r="A1323" s="1">
        <f>HYPERLINK("http://www.twitter.com/NathanBLawrence/status/999792749695160320", "999792749695160320")</f>
        <v/>
      </c>
      <c r="B1323" s="2" t="n">
        <v>43244.97385416667</v>
      </c>
      <c r="C1323" t="n">
        <v>0</v>
      </c>
      <c r="D1323" t="n">
        <v>1435</v>
      </c>
      <c r="E1323" t="s">
        <v>1331</v>
      </c>
      <c r="F1323" t="s"/>
      <c r="G1323" t="s"/>
      <c r="H1323" t="s"/>
      <c r="I1323" t="s"/>
      <c r="J1323" t="n">
        <v>0</v>
      </c>
      <c r="K1323" t="n">
        <v>0</v>
      </c>
      <c r="L1323" t="n">
        <v>1</v>
      </c>
      <c r="M1323" t="n">
        <v>0</v>
      </c>
    </row>
    <row r="1324" spans="1:13">
      <c r="A1324" s="1">
        <f>HYPERLINK("http://www.twitter.com/NathanBLawrence/status/999792625300529152", "999792625300529152")</f>
        <v/>
      </c>
      <c r="B1324" s="2" t="n">
        <v>43244.97350694444</v>
      </c>
      <c r="C1324" t="n">
        <v>0</v>
      </c>
      <c r="D1324" t="n">
        <v>160</v>
      </c>
      <c r="E1324" t="s">
        <v>1332</v>
      </c>
      <c r="F1324" t="s"/>
      <c r="G1324" t="s"/>
      <c r="H1324" t="s"/>
      <c r="I1324" t="s"/>
      <c r="J1324" t="n">
        <v>-0.2008</v>
      </c>
      <c r="K1324" t="n">
        <v>0.125</v>
      </c>
      <c r="L1324" t="n">
        <v>0.781</v>
      </c>
      <c r="M1324" t="n">
        <v>0.094</v>
      </c>
    </row>
    <row r="1325" spans="1:13">
      <c r="A1325" s="1">
        <f>HYPERLINK("http://www.twitter.com/NathanBLawrence/status/999780963214389248", "999780963214389248")</f>
        <v/>
      </c>
      <c r="B1325" s="2" t="n">
        <v>43244.94133101852</v>
      </c>
      <c r="C1325" t="n">
        <v>0</v>
      </c>
      <c r="D1325" t="n">
        <v>2530</v>
      </c>
      <c r="E1325" t="s">
        <v>1333</v>
      </c>
      <c r="F1325">
        <f>HYPERLINK("https://video.twimg.com/amplify_video/999588880616710144/vid/1280x720/LLsG33sdyTtJ2vrg.mp4?tag=2", "https://video.twimg.com/amplify_video/999588880616710144/vid/1280x720/LLsG33sdyTtJ2vrg.mp4?tag=2")</f>
        <v/>
      </c>
      <c r="G1325" t="s"/>
      <c r="H1325" t="s"/>
      <c r="I1325" t="s"/>
      <c r="J1325" t="n">
        <v>-0.6467000000000001</v>
      </c>
      <c r="K1325" t="n">
        <v>0.187</v>
      </c>
      <c r="L1325" t="n">
        <v>0.757</v>
      </c>
      <c r="M1325" t="n">
        <v>0.056</v>
      </c>
    </row>
    <row r="1326" spans="1:13">
      <c r="A1326" s="1">
        <f>HYPERLINK("http://www.twitter.com/NathanBLawrence/status/999780841684381696", "999780841684381696")</f>
        <v/>
      </c>
      <c r="B1326" s="2" t="n">
        <v>43244.94099537037</v>
      </c>
      <c r="C1326" t="n">
        <v>0</v>
      </c>
      <c r="D1326" t="n">
        <v>2753</v>
      </c>
      <c r="E1326" t="s">
        <v>1334</v>
      </c>
      <c r="F1326">
        <f>HYPERLINK("https://video.twimg.com/ext_tw_video/999388572552605697/pu/vid/1280x720/xqA3yayN--yxXtRk.mp4?tag=3", "https://video.twimg.com/ext_tw_video/999388572552605697/pu/vid/1280x720/xqA3yayN--yxXtRk.mp4?tag=3")</f>
        <v/>
      </c>
      <c r="G1326" t="s"/>
      <c r="H1326" t="s"/>
      <c r="I1326" t="s"/>
      <c r="J1326" t="n">
        <v>-0.0516</v>
      </c>
      <c r="K1326" t="n">
        <v>0.155</v>
      </c>
      <c r="L1326" t="n">
        <v>0.7</v>
      </c>
      <c r="M1326" t="n">
        <v>0.145</v>
      </c>
    </row>
    <row r="1327" spans="1:13">
      <c r="A1327" s="1">
        <f>HYPERLINK("http://www.twitter.com/NathanBLawrence/status/999780448585830400", "999780448585830400")</f>
        <v/>
      </c>
      <c r="B1327" s="2" t="n">
        <v>43244.93990740741</v>
      </c>
      <c r="C1327" t="n">
        <v>0</v>
      </c>
      <c r="D1327" t="n">
        <v>1</v>
      </c>
      <c r="E1327" t="s">
        <v>1335</v>
      </c>
      <c r="F1327" t="s"/>
      <c r="G1327" t="s"/>
      <c r="H1327" t="s"/>
      <c r="I1327" t="s"/>
      <c r="J1327" t="n">
        <v>0.4767</v>
      </c>
      <c r="K1327" t="n">
        <v>0</v>
      </c>
      <c r="L1327" t="n">
        <v>0.8070000000000001</v>
      </c>
      <c r="M1327" t="n">
        <v>0.193</v>
      </c>
    </row>
    <row r="1328" spans="1:13">
      <c r="A1328" s="1">
        <f>HYPERLINK("http://www.twitter.com/NathanBLawrence/status/999780086516781056", "999780086516781056")</f>
        <v/>
      </c>
      <c r="B1328" s="2" t="n">
        <v>43244.93891203704</v>
      </c>
      <c r="C1328" t="n">
        <v>2</v>
      </c>
      <c r="D1328" t="n">
        <v>2</v>
      </c>
      <c r="E1328" t="s">
        <v>1336</v>
      </c>
      <c r="F1328" t="s"/>
      <c r="G1328" t="s"/>
      <c r="H1328" t="s"/>
      <c r="I1328" t="s"/>
      <c r="J1328" t="n">
        <v>0.4404</v>
      </c>
      <c r="K1328" t="n">
        <v>0.114</v>
      </c>
      <c r="L1328" t="n">
        <v>0.726</v>
      </c>
      <c r="M1328" t="n">
        <v>0.16</v>
      </c>
    </row>
    <row r="1329" spans="1:13">
      <c r="A1329" s="1">
        <f>HYPERLINK("http://www.twitter.com/NathanBLawrence/status/999778820273180673", "999778820273180673")</f>
        <v/>
      </c>
      <c r="B1329" s="2" t="n">
        <v>43244.93541666667</v>
      </c>
      <c r="C1329" t="n">
        <v>1</v>
      </c>
      <c r="D1329" t="n">
        <v>0</v>
      </c>
      <c r="E1329" t="s">
        <v>1337</v>
      </c>
      <c r="F1329" t="s"/>
      <c r="G1329" t="s"/>
      <c r="H1329" t="s"/>
      <c r="I1329" t="s"/>
      <c r="J1329" t="n">
        <v>-0.4939</v>
      </c>
      <c r="K1329" t="n">
        <v>0.13</v>
      </c>
      <c r="L1329" t="n">
        <v>0.87</v>
      </c>
      <c r="M1329" t="n">
        <v>0</v>
      </c>
    </row>
    <row r="1330" spans="1:13">
      <c r="A1330" s="1">
        <f>HYPERLINK("http://www.twitter.com/NathanBLawrence/status/999762855053398018", "999762855053398018")</f>
        <v/>
      </c>
      <c r="B1330" s="2" t="n">
        <v>43244.89135416667</v>
      </c>
      <c r="C1330" t="n">
        <v>0</v>
      </c>
      <c r="D1330" t="n">
        <v>7</v>
      </c>
      <c r="E1330" t="s">
        <v>1338</v>
      </c>
      <c r="F1330" t="s"/>
      <c r="G1330" t="s"/>
      <c r="H1330" t="s"/>
      <c r="I1330" t="s"/>
      <c r="J1330" t="n">
        <v>0.6705</v>
      </c>
      <c r="K1330" t="n">
        <v>0</v>
      </c>
      <c r="L1330" t="n">
        <v>0.8139999999999999</v>
      </c>
      <c r="M1330" t="n">
        <v>0.186</v>
      </c>
    </row>
    <row r="1331" spans="1:13">
      <c r="A1331" s="1">
        <f>HYPERLINK("http://www.twitter.com/NathanBLawrence/status/999762774266974208", "999762774266974208")</f>
        <v/>
      </c>
      <c r="B1331" s="2" t="n">
        <v>43244.89113425926</v>
      </c>
      <c r="C1331" t="n">
        <v>0</v>
      </c>
      <c r="D1331" t="n">
        <v>1</v>
      </c>
      <c r="E1331" t="s">
        <v>1339</v>
      </c>
      <c r="F1331" t="s"/>
      <c r="G1331" t="s"/>
      <c r="H1331" t="s"/>
      <c r="I1331" t="s"/>
      <c r="J1331" t="n">
        <v>0</v>
      </c>
      <c r="K1331" t="n">
        <v>0</v>
      </c>
      <c r="L1331" t="n">
        <v>1</v>
      </c>
      <c r="M1331" t="n">
        <v>0</v>
      </c>
    </row>
    <row r="1332" spans="1:13">
      <c r="A1332" s="1">
        <f>HYPERLINK("http://www.twitter.com/NathanBLawrence/status/999762653869428737", "999762653869428737")</f>
        <v/>
      </c>
      <c r="B1332" s="2" t="n">
        <v>43244.89081018518</v>
      </c>
      <c r="C1332" t="n">
        <v>0</v>
      </c>
      <c r="D1332" t="n">
        <v>0</v>
      </c>
      <c r="E1332" t="s">
        <v>1340</v>
      </c>
      <c r="F1332" t="s"/>
      <c r="G1332" t="s"/>
      <c r="H1332" t="s"/>
      <c r="I1332" t="s"/>
      <c r="J1332" t="n">
        <v>0</v>
      </c>
      <c r="K1332" t="n">
        <v>0</v>
      </c>
      <c r="L1332" t="n">
        <v>1</v>
      </c>
      <c r="M1332" t="n">
        <v>0</v>
      </c>
    </row>
    <row r="1333" spans="1:13">
      <c r="A1333" s="1">
        <f>HYPERLINK("http://www.twitter.com/NathanBLawrence/status/999762416085979136", "999762416085979136")</f>
        <v/>
      </c>
      <c r="B1333" s="2" t="n">
        <v>43244.89015046296</v>
      </c>
      <c r="C1333" t="n">
        <v>2</v>
      </c>
      <c r="D1333" t="n">
        <v>1</v>
      </c>
      <c r="E1333" t="s">
        <v>1341</v>
      </c>
      <c r="F1333" t="s"/>
      <c r="G1333" t="s"/>
      <c r="H1333" t="s"/>
      <c r="I1333" t="s"/>
      <c r="J1333" t="n">
        <v>0.4767</v>
      </c>
      <c r="K1333" t="n">
        <v>0</v>
      </c>
      <c r="L1333" t="n">
        <v>0.78</v>
      </c>
      <c r="M1333" t="n">
        <v>0.22</v>
      </c>
    </row>
    <row r="1334" spans="1:13">
      <c r="A1334" s="1">
        <f>HYPERLINK("http://www.twitter.com/NathanBLawrence/status/999761941294911489", "999761941294911489")</f>
        <v/>
      </c>
      <c r="B1334" s="2" t="n">
        <v>43244.88884259259</v>
      </c>
      <c r="C1334" t="n">
        <v>0</v>
      </c>
      <c r="D1334" t="n">
        <v>1</v>
      </c>
      <c r="E1334" t="s">
        <v>1342</v>
      </c>
      <c r="F1334" t="s"/>
      <c r="G1334" t="s"/>
      <c r="H1334" t="s"/>
      <c r="I1334" t="s"/>
      <c r="J1334" t="n">
        <v>0.6739000000000001</v>
      </c>
      <c r="K1334" t="n">
        <v>0.094</v>
      </c>
      <c r="L1334" t="n">
        <v>0.614</v>
      </c>
      <c r="M1334" t="n">
        <v>0.292</v>
      </c>
    </row>
    <row r="1335" spans="1:13">
      <c r="A1335" s="1">
        <f>HYPERLINK("http://www.twitter.com/NathanBLawrence/status/999759384279429120", "999759384279429120")</f>
        <v/>
      </c>
      <c r="B1335" s="2" t="n">
        <v>43244.88178240741</v>
      </c>
      <c r="C1335" t="n">
        <v>1</v>
      </c>
      <c r="D1335" t="n">
        <v>1</v>
      </c>
      <c r="E1335" t="s">
        <v>1343</v>
      </c>
      <c r="F1335" t="s"/>
      <c r="G1335" t="s"/>
      <c r="H1335" t="s"/>
      <c r="I1335" t="s"/>
      <c r="J1335" t="n">
        <v>0.5719</v>
      </c>
      <c r="K1335" t="n">
        <v>0.033</v>
      </c>
      <c r="L1335" t="n">
        <v>0.875</v>
      </c>
      <c r="M1335" t="n">
        <v>0.092</v>
      </c>
    </row>
    <row r="1336" spans="1:13">
      <c r="A1336" s="1">
        <f>HYPERLINK("http://www.twitter.com/NathanBLawrence/status/999757808563351553", "999757808563351553")</f>
        <v/>
      </c>
      <c r="B1336" s="2" t="n">
        <v>43244.87743055556</v>
      </c>
      <c r="C1336" t="n">
        <v>6</v>
      </c>
      <c r="D1336" t="n">
        <v>7</v>
      </c>
      <c r="E1336" t="s">
        <v>1344</v>
      </c>
      <c r="F1336" t="s"/>
      <c r="G1336" t="s"/>
      <c r="H1336" t="s"/>
      <c r="I1336" t="s"/>
      <c r="J1336" t="n">
        <v>0.6705</v>
      </c>
      <c r="K1336" t="n">
        <v>0</v>
      </c>
      <c r="L1336" t="n">
        <v>0.831</v>
      </c>
      <c r="M1336" t="n">
        <v>0.169</v>
      </c>
    </row>
    <row r="1337" spans="1:13">
      <c r="A1337" s="1">
        <f>HYPERLINK("http://www.twitter.com/NathanBLawrence/status/999756259149697026", "999756259149697026")</f>
        <v/>
      </c>
      <c r="B1337" s="2" t="n">
        <v>43244.87315972222</v>
      </c>
      <c r="C1337" t="n">
        <v>0</v>
      </c>
      <c r="D1337" t="n">
        <v>0</v>
      </c>
      <c r="E1337" t="s">
        <v>1345</v>
      </c>
      <c r="F1337" t="s"/>
      <c r="G1337" t="s"/>
      <c r="H1337" t="s"/>
      <c r="I1337" t="s"/>
      <c r="J1337" t="n">
        <v>-0.5574</v>
      </c>
      <c r="K1337" t="n">
        <v>0.101</v>
      </c>
      <c r="L1337" t="n">
        <v>0.899</v>
      </c>
      <c r="M1337" t="n">
        <v>0</v>
      </c>
    </row>
    <row r="1338" spans="1:13">
      <c r="A1338" s="1">
        <f>HYPERLINK("http://www.twitter.com/NathanBLawrence/status/999755407424917506", "999755407424917506")</f>
        <v/>
      </c>
      <c r="B1338" s="2" t="n">
        <v>43244.87081018519</v>
      </c>
      <c r="C1338" t="n">
        <v>0</v>
      </c>
      <c r="D1338" t="n">
        <v>445</v>
      </c>
      <c r="E1338" t="s">
        <v>1346</v>
      </c>
      <c r="F1338" t="s"/>
      <c r="G1338" t="s"/>
      <c r="H1338" t="s"/>
      <c r="I1338" t="s"/>
      <c r="J1338" t="n">
        <v>0</v>
      </c>
      <c r="K1338" t="n">
        <v>0</v>
      </c>
      <c r="L1338" t="n">
        <v>1</v>
      </c>
      <c r="M1338" t="n">
        <v>0</v>
      </c>
    </row>
    <row r="1339" spans="1:13">
      <c r="A1339" s="1">
        <f>HYPERLINK("http://www.twitter.com/NathanBLawrence/status/999755357412057091", "999755357412057091")</f>
        <v/>
      </c>
      <c r="B1339" s="2" t="n">
        <v>43244.8706712963</v>
      </c>
      <c r="C1339" t="n">
        <v>0</v>
      </c>
      <c r="D1339" t="n">
        <v>1081</v>
      </c>
      <c r="E1339" t="s">
        <v>1347</v>
      </c>
      <c r="F1339">
        <f>HYPERLINK("https://video.twimg.com/amplify_video/999480495804157953/vid/1280x720/dsWMQ_8CymzLrHx2.mp4?tag=2", "https://video.twimg.com/amplify_video/999480495804157953/vid/1280x720/dsWMQ_8CymzLrHx2.mp4?tag=2")</f>
        <v/>
      </c>
      <c r="G1339" t="s"/>
      <c r="H1339" t="s"/>
      <c r="I1339" t="s"/>
      <c r="J1339" t="n">
        <v>0</v>
      </c>
      <c r="K1339" t="n">
        <v>0</v>
      </c>
      <c r="L1339" t="n">
        <v>1</v>
      </c>
      <c r="M1339" t="n">
        <v>0</v>
      </c>
    </row>
    <row r="1340" spans="1:13">
      <c r="A1340" s="1">
        <f>HYPERLINK("http://www.twitter.com/NathanBLawrence/status/999755212373012480", "999755212373012480")</f>
        <v/>
      </c>
      <c r="B1340" s="2" t="n">
        <v>43244.8702662037</v>
      </c>
      <c r="C1340" t="n">
        <v>0</v>
      </c>
      <c r="D1340" t="n">
        <v>1189</v>
      </c>
      <c r="E1340" t="s">
        <v>1348</v>
      </c>
      <c r="F1340">
        <f>HYPERLINK("https://video.twimg.com/amplify_video/999114370864091136/vid/1280x720/tqmSFBe0IIrVbmfg.mp4?tag=2", "https://video.twimg.com/amplify_video/999114370864091136/vid/1280x720/tqmSFBe0IIrVbmfg.mp4?tag=2")</f>
        <v/>
      </c>
      <c r="G1340" t="s"/>
      <c r="H1340" t="s"/>
      <c r="I1340" t="s"/>
      <c r="J1340" t="n">
        <v>-0.4019</v>
      </c>
      <c r="K1340" t="n">
        <v>0.13</v>
      </c>
      <c r="L1340" t="n">
        <v>0.87</v>
      </c>
      <c r="M1340" t="n">
        <v>0</v>
      </c>
    </row>
    <row r="1341" spans="1:13">
      <c r="A1341" s="1">
        <f>HYPERLINK("http://www.twitter.com/NathanBLawrence/status/999755104768155649", "999755104768155649")</f>
        <v/>
      </c>
      <c r="B1341" s="2" t="n">
        <v>43244.86997685185</v>
      </c>
      <c r="C1341" t="n">
        <v>0</v>
      </c>
      <c r="D1341" t="n">
        <v>115</v>
      </c>
      <c r="E1341" t="s">
        <v>1349</v>
      </c>
      <c r="F1341" t="s"/>
      <c r="G1341" t="s"/>
      <c r="H1341" t="s"/>
      <c r="I1341" t="s"/>
      <c r="J1341" t="n">
        <v>0</v>
      </c>
      <c r="K1341" t="n">
        <v>0</v>
      </c>
      <c r="L1341" t="n">
        <v>1</v>
      </c>
      <c r="M1341" t="n">
        <v>0</v>
      </c>
    </row>
    <row r="1342" spans="1:13">
      <c r="A1342" s="1">
        <f>HYPERLINK("http://www.twitter.com/NathanBLawrence/status/999755063034875905", "999755063034875905")</f>
        <v/>
      </c>
      <c r="B1342" s="2" t="n">
        <v>43244.86986111111</v>
      </c>
      <c r="C1342" t="n">
        <v>0</v>
      </c>
      <c r="D1342" t="n">
        <v>369</v>
      </c>
      <c r="E1342" t="s">
        <v>1350</v>
      </c>
      <c r="F1342" t="s"/>
      <c r="G1342" t="s"/>
      <c r="H1342" t="s"/>
      <c r="I1342" t="s"/>
      <c r="J1342" t="n">
        <v>0.4019</v>
      </c>
      <c r="K1342" t="n">
        <v>0</v>
      </c>
      <c r="L1342" t="n">
        <v>0.828</v>
      </c>
      <c r="M1342" t="n">
        <v>0.172</v>
      </c>
    </row>
    <row r="1343" spans="1:13">
      <c r="A1343" s="1">
        <f>HYPERLINK("http://www.twitter.com/NathanBLawrence/status/999750717027115009", "999750717027115009")</f>
        <v/>
      </c>
      <c r="B1343" s="2" t="n">
        <v>43244.85787037037</v>
      </c>
      <c r="C1343" t="n">
        <v>0</v>
      </c>
      <c r="D1343" t="n">
        <v>0</v>
      </c>
      <c r="E1343" t="s">
        <v>1351</v>
      </c>
      <c r="F1343" t="s"/>
      <c r="G1343" t="s"/>
      <c r="H1343" t="s"/>
      <c r="I1343" t="s"/>
      <c r="J1343" t="n">
        <v>-0.2056</v>
      </c>
      <c r="K1343" t="n">
        <v>0.096</v>
      </c>
      <c r="L1343" t="n">
        <v>0.834</v>
      </c>
      <c r="M1343" t="n">
        <v>0.07000000000000001</v>
      </c>
    </row>
    <row r="1344" spans="1:13">
      <c r="A1344" s="1">
        <f>HYPERLINK("http://www.twitter.com/NathanBLawrence/status/999749355497295873", "999749355497295873")</f>
        <v/>
      </c>
      <c r="B1344" s="2" t="n">
        <v>43244.85410879629</v>
      </c>
      <c r="C1344" t="n">
        <v>0</v>
      </c>
      <c r="D1344" t="n">
        <v>179</v>
      </c>
      <c r="E1344" t="s">
        <v>1352</v>
      </c>
      <c r="F1344" t="s"/>
      <c r="G1344" t="s"/>
      <c r="H1344" t="s"/>
      <c r="I1344" t="s"/>
      <c r="J1344" t="n">
        <v>-0.5859</v>
      </c>
      <c r="K1344" t="n">
        <v>0.352</v>
      </c>
      <c r="L1344" t="n">
        <v>0.648</v>
      </c>
      <c r="M1344" t="n">
        <v>0</v>
      </c>
    </row>
    <row r="1345" spans="1:13">
      <c r="A1345" s="1">
        <f>HYPERLINK("http://www.twitter.com/NathanBLawrence/status/999749317601779719", "999749317601779719")</f>
        <v/>
      </c>
      <c r="B1345" s="2" t="n">
        <v>43244.85400462963</v>
      </c>
      <c r="C1345" t="n">
        <v>0</v>
      </c>
      <c r="D1345" t="n">
        <v>0</v>
      </c>
      <c r="E1345" t="s">
        <v>1353</v>
      </c>
      <c r="F1345" t="s"/>
      <c r="G1345" t="s"/>
      <c r="H1345" t="s"/>
      <c r="I1345" t="s"/>
      <c r="J1345" t="n">
        <v>-0.296</v>
      </c>
      <c r="K1345" t="n">
        <v>0.128</v>
      </c>
      <c r="L1345" t="n">
        <v>0.872</v>
      </c>
      <c r="M1345" t="n">
        <v>0</v>
      </c>
    </row>
    <row r="1346" spans="1:13">
      <c r="A1346" s="1">
        <f>HYPERLINK("http://www.twitter.com/NathanBLawrence/status/999748711243804672", "999748711243804672")</f>
        <v/>
      </c>
      <c r="B1346" s="2" t="n">
        <v>43244.85232638889</v>
      </c>
      <c r="C1346" t="n">
        <v>0</v>
      </c>
      <c r="D1346" t="n">
        <v>445</v>
      </c>
      <c r="E1346" t="s">
        <v>1354</v>
      </c>
      <c r="F1346" t="s"/>
      <c r="G1346" t="s"/>
      <c r="H1346" t="s"/>
      <c r="I1346" t="s"/>
      <c r="J1346" t="n">
        <v>0.2023</v>
      </c>
      <c r="K1346" t="n">
        <v>0.174</v>
      </c>
      <c r="L1346" t="n">
        <v>0.624</v>
      </c>
      <c r="M1346" t="n">
        <v>0.202</v>
      </c>
    </row>
    <row r="1347" spans="1:13">
      <c r="A1347" s="1">
        <f>HYPERLINK("http://www.twitter.com/NathanBLawrence/status/999748612304310272", "999748612304310272")</f>
        <v/>
      </c>
      <c r="B1347" s="2" t="n">
        <v>43244.85206018519</v>
      </c>
      <c r="C1347" t="n">
        <v>0</v>
      </c>
      <c r="D1347" t="n">
        <v>3301</v>
      </c>
      <c r="E1347" t="s">
        <v>1355</v>
      </c>
      <c r="F1347" t="s"/>
      <c r="G1347" t="s"/>
      <c r="H1347" t="s"/>
      <c r="I1347" t="s"/>
      <c r="J1347" t="n">
        <v>0</v>
      </c>
      <c r="K1347" t="n">
        <v>0</v>
      </c>
      <c r="L1347" t="n">
        <v>1</v>
      </c>
      <c r="M1347" t="n">
        <v>0</v>
      </c>
    </row>
    <row r="1348" spans="1:13">
      <c r="A1348" s="1">
        <f>HYPERLINK("http://www.twitter.com/NathanBLawrence/status/999748582394777602", "999748582394777602")</f>
        <v/>
      </c>
      <c r="B1348" s="2" t="n">
        <v>43244.85197916667</v>
      </c>
      <c r="C1348" t="n">
        <v>0</v>
      </c>
      <c r="D1348" t="n">
        <v>12360</v>
      </c>
      <c r="E1348" t="s">
        <v>1356</v>
      </c>
      <c r="F1348" t="s"/>
      <c r="G1348" t="s"/>
      <c r="H1348" t="s"/>
      <c r="I1348" t="s"/>
      <c r="J1348" t="n">
        <v>-0.5266999999999999</v>
      </c>
      <c r="K1348" t="n">
        <v>0.254</v>
      </c>
      <c r="L1348" t="n">
        <v>0.746</v>
      </c>
      <c r="M1348" t="n">
        <v>0</v>
      </c>
    </row>
    <row r="1349" spans="1:13">
      <c r="A1349" s="1">
        <f>HYPERLINK("http://www.twitter.com/NathanBLawrence/status/999748492754145280", "999748492754145280")</f>
        <v/>
      </c>
      <c r="B1349" s="2" t="n">
        <v>43244.85172453704</v>
      </c>
      <c r="C1349" t="n">
        <v>0</v>
      </c>
      <c r="D1349" t="n">
        <v>576</v>
      </c>
      <c r="E1349" t="s">
        <v>1357</v>
      </c>
      <c r="F1349">
        <f>HYPERLINK("https://video.twimg.com/amplify_video/998746798700318720/vid/1280x720/bTjaybC_lmo4oA5H.mp4?tag=2", "https://video.twimg.com/amplify_video/998746798700318720/vid/1280x720/bTjaybC_lmo4oA5H.mp4?tag=2")</f>
        <v/>
      </c>
      <c r="G1349" t="s"/>
      <c r="H1349" t="s"/>
      <c r="I1349" t="s"/>
      <c r="J1349" t="n">
        <v>0</v>
      </c>
      <c r="K1349" t="n">
        <v>0</v>
      </c>
      <c r="L1349" t="n">
        <v>1</v>
      </c>
      <c r="M1349" t="n">
        <v>0</v>
      </c>
    </row>
    <row r="1350" spans="1:13">
      <c r="A1350" s="1">
        <f>HYPERLINK("http://www.twitter.com/NathanBLawrence/status/999745764728459265", "999745764728459265")</f>
        <v/>
      </c>
      <c r="B1350" s="2" t="n">
        <v>43244.84420138889</v>
      </c>
      <c r="C1350" t="n">
        <v>0</v>
      </c>
      <c r="D1350" t="n">
        <v>117</v>
      </c>
      <c r="E1350" t="s">
        <v>1358</v>
      </c>
      <c r="F1350">
        <f>HYPERLINK("http://pbs.twimg.com/media/Dd-Wd8TV4AEvCem.jpg", "http://pbs.twimg.com/media/Dd-Wd8TV4AEvCem.jpg")</f>
        <v/>
      </c>
      <c r="G1350" t="s"/>
      <c r="H1350" t="s"/>
      <c r="I1350" t="s"/>
      <c r="J1350" t="n">
        <v>0.0516</v>
      </c>
      <c r="K1350" t="n">
        <v>0</v>
      </c>
      <c r="L1350" t="n">
        <v>0.948</v>
      </c>
      <c r="M1350" t="n">
        <v>0.052</v>
      </c>
    </row>
    <row r="1351" spans="1:13">
      <c r="A1351" s="1">
        <f>HYPERLINK("http://www.twitter.com/NathanBLawrence/status/999745609350418437", "999745609350418437")</f>
        <v/>
      </c>
      <c r="B1351" s="2" t="n">
        <v>43244.84377314815</v>
      </c>
      <c r="C1351" t="n">
        <v>0</v>
      </c>
      <c r="D1351" t="n">
        <v>714</v>
      </c>
      <c r="E1351" t="s">
        <v>1359</v>
      </c>
      <c r="F1351" t="s"/>
      <c r="G1351" t="s"/>
      <c r="H1351" t="s"/>
      <c r="I1351" t="s"/>
      <c r="J1351" t="n">
        <v>0.8091</v>
      </c>
      <c r="K1351" t="n">
        <v>0</v>
      </c>
      <c r="L1351" t="n">
        <v>0.741</v>
      </c>
      <c r="M1351" t="n">
        <v>0.259</v>
      </c>
    </row>
    <row r="1352" spans="1:13">
      <c r="A1352" s="1">
        <f>HYPERLINK("http://www.twitter.com/NathanBLawrence/status/999745400121806850", "999745400121806850")</f>
        <v/>
      </c>
      <c r="B1352" s="2" t="n">
        <v>43244.84319444445</v>
      </c>
      <c r="C1352" t="n">
        <v>0</v>
      </c>
      <c r="D1352" t="n">
        <v>5</v>
      </c>
      <c r="E1352" t="s">
        <v>1360</v>
      </c>
      <c r="F1352" t="s"/>
      <c r="G1352" t="s"/>
      <c r="H1352" t="s"/>
      <c r="I1352" t="s"/>
      <c r="J1352" t="n">
        <v>-0.0516</v>
      </c>
      <c r="K1352" t="n">
        <v>0.066</v>
      </c>
      <c r="L1352" t="n">
        <v>0.9340000000000001</v>
      </c>
      <c r="M1352" t="n">
        <v>0</v>
      </c>
    </row>
    <row r="1353" spans="1:13">
      <c r="A1353" s="1">
        <f>HYPERLINK("http://www.twitter.com/NathanBLawrence/status/999745333805633536", "999745333805633536")</f>
        <v/>
      </c>
      <c r="B1353" s="2" t="n">
        <v>43244.84300925926</v>
      </c>
      <c r="C1353" t="n">
        <v>0</v>
      </c>
      <c r="D1353" t="n">
        <v>493</v>
      </c>
      <c r="E1353" t="s">
        <v>1361</v>
      </c>
      <c r="F1353" t="s"/>
      <c r="G1353" t="s"/>
      <c r="H1353" t="s"/>
      <c r="I1353" t="s"/>
      <c r="J1353" t="n">
        <v>0.7804</v>
      </c>
      <c r="K1353" t="n">
        <v>0</v>
      </c>
      <c r="L1353" t="n">
        <v>0.701</v>
      </c>
      <c r="M1353" t="n">
        <v>0.299</v>
      </c>
    </row>
    <row r="1354" spans="1:13">
      <c r="A1354" s="1">
        <f>HYPERLINK("http://www.twitter.com/NathanBLawrence/status/999745258106900486", "999745258106900486")</f>
        <v/>
      </c>
      <c r="B1354" s="2" t="n">
        <v>43244.84280092592</v>
      </c>
      <c r="C1354" t="n">
        <v>0</v>
      </c>
      <c r="D1354" t="n">
        <v>4812</v>
      </c>
      <c r="E1354" t="s">
        <v>1362</v>
      </c>
      <c r="F1354" t="s"/>
      <c r="G1354" t="s"/>
      <c r="H1354" t="s"/>
      <c r="I1354" t="s"/>
      <c r="J1354" t="n">
        <v>-0.5106000000000001</v>
      </c>
      <c r="K1354" t="n">
        <v>0.13</v>
      </c>
      <c r="L1354" t="n">
        <v>0.87</v>
      </c>
      <c r="M1354" t="n">
        <v>0</v>
      </c>
    </row>
    <row r="1355" spans="1:13">
      <c r="A1355" s="1">
        <f>HYPERLINK("http://www.twitter.com/NathanBLawrence/status/999745181397200897", "999745181397200897")</f>
        <v/>
      </c>
      <c r="B1355" s="2" t="n">
        <v>43244.84259259259</v>
      </c>
      <c r="C1355" t="n">
        <v>0</v>
      </c>
      <c r="D1355" t="n">
        <v>32</v>
      </c>
      <c r="E1355" t="s">
        <v>1363</v>
      </c>
      <c r="F1355" t="s"/>
      <c r="G1355" t="s"/>
      <c r="H1355" t="s"/>
      <c r="I1355" t="s"/>
      <c r="J1355" t="n">
        <v>-0.3875</v>
      </c>
      <c r="K1355" t="n">
        <v>0.122</v>
      </c>
      <c r="L1355" t="n">
        <v>0.878</v>
      </c>
      <c r="M1355" t="n">
        <v>0</v>
      </c>
    </row>
    <row r="1356" spans="1:13">
      <c r="A1356" s="1">
        <f>HYPERLINK("http://www.twitter.com/NathanBLawrence/status/999745102808539136", "999745102808539136")</f>
        <v/>
      </c>
      <c r="B1356" s="2" t="n">
        <v>43244.84237268518</v>
      </c>
      <c r="C1356" t="n">
        <v>0</v>
      </c>
      <c r="D1356" t="n">
        <v>9968</v>
      </c>
      <c r="E1356" t="s">
        <v>1364</v>
      </c>
      <c r="F1356" t="s"/>
      <c r="G1356" t="s"/>
      <c r="H1356" t="s"/>
      <c r="I1356" t="s"/>
      <c r="J1356" t="n">
        <v>-0.296</v>
      </c>
      <c r="K1356" t="n">
        <v>0.08699999999999999</v>
      </c>
      <c r="L1356" t="n">
        <v>0.913</v>
      </c>
      <c r="M1356" t="n">
        <v>0</v>
      </c>
    </row>
    <row r="1357" spans="1:13">
      <c r="A1357" s="1">
        <f>HYPERLINK("http://www.twitter.com/NathanBLawrence/status/999745033371832320", "999745033371832320")</f>
        <v/>
      </c>
      <c r="B1357" s="2" t="n">
        <v>43244.84217592593</v>
      </c>
      <c r="C1357" t="n">
        <v>0</v>
      </c>
      <c r="D1357" t="n">
        <v>548</v>
      </c>
      <c r="E1357" t="s">
        <v>1365</v>
      </c>
      <c r="F1357">
        <f>HYPERLINK("http://pbs.twimg.com/media/Dd-ux53W0AAI9EG.jpg", "http://pbs.twimg.com/media/Dd-ux53W0AAI9EG.jpg")</f>
        <v/>
      </c>
      <c r="G1357">
        <f>HYPERLINK("http://pbs.twimg.com/media/Dd-ux53X0AA7rxB.jpg", "http://pbs.twimg.com/media/Dd-ux53X0AA7rxB.jpg")</f>
        <v/>
      </c>
      <c r="H1357" t="s"/>
      <c r="I1357" t="s"/>
      <c r="J1357" t="n">
        <v>-0.7579</v>
      </c>
      <c r="K1357" t="n">
        <v>0.236</v>
      </c>
      <c r="L1357" t="n">
        <v>0.764</v>
      </c>
      <c r="M1357" t="n">
        <v>0</v>
      </c>
    </row>
    <row r="1358" spans="1:13">
      <c r="A1358" s="1">
        <f>HYPERLINK("http://www.twitter.com/NathanBLawrence/status/999744581607546881", "999744581607546881")</f>
        <v/>
      </c>
      <c r="B1358" s="2" t="n">
        <v>43244.8409375</v>
      </c>
      <c r="C1358" t="n">
        <v>0</v>
      </c>
      <c r="D1358" t="n">
        <v>128</v>
      </c>
      <c r="E1358" t="s">
        <v>1366</v>
      </c>
      <c r="F1358" t="s"/>
      <c r="G1358" t="s"/>
      <c r="H1358" t="s"/>
      <c r="I1358" t="s"/>
      <c r="J1358" t="n">
        <v>0.4019</v>
      </c>
      <c r="K1358" t="n">
        <v>0</v>
      </c>
      <c r="L1358" t="n">
        <v>0.881</v>
      </c>
      <c r="M1358" t="n">
        <v>0.119</v>
      </c>
    </row>
    <row r="1359" spans="1:13">
      <c r="A1359" s="1">
        <f>HYPERLINK("http://www.twitter.com/NathanBLawrence/status/999744324354150402", "999744324354150402")</f>
        <v/>
      </c>
      <c r="B1359" s="2" t="n">
        <v>43244.8402199074</v>
      </c>
      <c r="C1359" t="n">
        <v>0</v>
      </c>
      <c r="D1359" t="n">
        <v>1</v>
      </c>
      <c r="E1359" t="s">
        <v>1367</v>
      </c>
      <c r="F1359" t="s"/>
      <c r="G1359" t="s"/>
      <c r="H1359" t="s"/>
      <c r="I1359" t="s"/>
      <c r="J1359" t="n">
        <v>-0.2547</v>
      </c>
      <c r="K1359" t="n">
        <v>0.144</v>
      </c>
      <c r="L1359" t="n">
        <v>0.761</v>
      </c>
      <c r="M1359" t="n">
        <v>0.095</v>
      </c>
    </row>
    <row r="1360" spans="1:13">
      <c r="A1360" s="1">
        <f>HYPERLINK("http://www.twitter.com/NathanBLawrence/status/999744256574218241", "999744256574218241")</f>
        <v/>
      </c>
      <c r="B1360" s="2" t="n">
        <v>43244.84003472222</v>
      </c>
      <c r="C1360" t="n">
        <v>0</v>
      </c>
      <c r="D1360" t="n">
        <v>0</v>
      </c>
      <c r="E1360" t="s">
        <v>1368</v>
      </c>
      <c r="F1360" t="s"/>
      <c r="G1360" t="s"/>
      <c r="H1360" t="s"/>
      <c r="I1360" t="s"/>
      <c r="J1360" t="n">
        <v>-0.4588</v>
      </c>
      <c r="K1360" t="n">
        <v>0.129</v>
      </c>
      <c r="L1360" t="n">
        <v>0.871</v>
      </c>
      <c r="M1360" t="n">
        <v>0</v>
      </c>
    </row>
    <row r="1361" spans="1:13">
      <c r="A1361" s="1">
        <f>HYPERLINK("http://www.twitter.com/NathanBLawrence/status/999743248959713280", "999743248959713280")</f>
        <v/>
      </c>
      <c r="B1361" s="2" t="n">
        <v>43244.83725694445</v>
      </c>
      <c r="C1361" t="n">
        <v>0</v>
      </c>
      <c r="D1361" t="n">
        <v>40</v>
      </c>
      <c r="E1361" t="s">
        <v>1369</v>
      </c>
      <c r="F1361" t="s"/>
      <c r="G1361" t="s"/>
      <c r="H1361" t="s"/>
      <c r="I1361" t="s"/>
      <c r="J1361" t="n">
        <v>-0.7264</v>
      </c>
      <c r="K1361" t="n">
        <v>0.303</v>
      </c>
      <c r="L1361" t="n">
        <v>0.697</v>
      </c>
      <c r="M1361" t="n">
        <v>0</v>
      </c>
    </row>
    <row r="1362" spans="1:13">
      <c r="A1362" s="1">
        <f>HYPERLINK("http://www.twitter.com/NathanBLawrence/status/999743108232503296", "999743108232503296")</f>
        <v/>
      </c>
      <c r="B1362" s="2" t="n">
        <v>43244.83686342592</v>
      </c>
      <c r="C1362" t="n">
        <v>0</v>
      </c>
      <c r="D1362" t="n">
        <v>1126</v>
      </c>
      <c r="E1362" t="s">
        <v>1370</v>
      </c>
      <c r="F1362" t="s"/>
      <c r="G1362" t="s"/>
      <c r="H1362" t="s"/>
      <c r="I1362" t="s"/>
      <c r="J1362" t="n">
        <v>-0.2263</v>
      </c>
      <c r="K1362" t="n">
        <v>0.101</v>
      </c>
      <c r="L1362" t="n">
        <v>0.899</v>
      </c>
      <c r="M1362" t="n">
        <v>0</v>
      </c>
    </row>
    <row r="1363" spans="1:13">
      <c r="A1363" s="1">
        <f>HYPERLINK("http://www.twitter.com/NathanBLawrence/status/999743059876372480", "999743059876372480")</f>
        <v/>
      </c>
      <c r="B1363" s="2" t="n">
        <v>43244.83673611111</v>
      </c>
      <c r="C1363" t="n">
        <v>0</v>
      </c>
      <c r="D1363" t="n">
        <v>28</v>
      </c>
      <c r="E1363" t="s">
        <v>1371</v>
      </c>
      <c r="F1363" t="s"/>
      <c r="G1363" t="s"/>
      <c r="H1363" t="s"/>
      <c r="I1363" t="s"/>
      <c r="J1363" t="n">
        <v>0.6249</v>
      </c>
      <c r="K1363" t="n">
        <v>0</v>
      </c>
      <c r="L1363" t="n">
        <v>0.773</v>
      </c>
      <c r="M1363" t="n">
        <v>0.227</v>
      </c>
    </row>
    <row r="1364" spans="1:13">
      <c r="A1364" s="1">
        <f>HYPERLINK("http://www.twitter.com/NathanBLawrence/status/999743040800608264", "999743040800608264")</f>
        <v/>
      </c>
      <c r="B1364" s="2" t="n">
        <v>43244.83667824074</v>
      </c>
      <c r="C1364" t="n">
        <v>0</v>
      </c>
      <c r="D1364" t="n">
        <v>34</v>
      </c>
      <c r="E1364" t="s">
        <v>1372</v>
      </c>
      <c r="F1364">
        <f>HYPERLINK("https://video.twimg.com/amplify_video/999666439995867136/vid/654x360/KZRJDLXarnNcWnqP.mp4?tag=2", "https://video.twimg.com/amplify_video/999666439995867136/vid/654x360/KZRJDLXarnNcWnqP.mp4?tag=2")</f>
        <v/>
      </c>
      <c r="G1364" t="s"/>
      <c r="H1364" t="s"/>
      <c r="I1364" t="s"/>
      <c r="J1364" t="n">
        <v>-0.3472</v>
      </c>
      <c r="K1364" t="n">
        <v>0.112</v>
      </c>
      <c r="L1364" t="n">
        <v>0.828</v>
      </c>
      <c r="M1364" t="n">
        <v>0.06</v>
      </c>
    </row>
    <row r="1365" spans="1:13">
      <c r="A1365" s="1">
        <f>HYPERLINK("http://www.twitter.com/NathanBLawrence/status/999742922349268993", "999742922349268993")</f>
        <v/>
      </c>
      <c r="B1365" s="2" t="n">
        <v>43244.83635416667</v>
      </c>
      <c r="C1365" t="n">
        <v>0</v>
      </c>
      <c r="D1365" t="n">
        <v>5123</v>
      </c>
      <c r="E1365" t="s">
        <v>1373</v>
      </c>
      <c r="F1365">
        <f>HYPERLINK("http://pbs.twimg.com/media/Dd7rAJuV0AIRy71.jpg", "http://pbs.twimg.com/media/Dd7rAJuV0AIRy71.jpg")</f>
        <v/>
      </c>
      <c r="G1365" t="s"/>
      <c r="H1365" t="s"/>
      <c r="I1365" t="s"/>
      <c r="J1365" t="n">
        <v>0.1036</v>
      </c>
      <c r="K1365" t="n">
        <v>0.08500000000000001</v>
      </c>
      <c r="L1365" t="n">
        <v>0.8139999999999999</v>
      </c>
      <c r="M1365" t="n">
        <v>0.101</v>
      </c>
    </row>
    <row r="1366" spans="1:13">
      <c r="A1366" s="1">
        <f>HYPERLINK("http://www.twitter.com/NathanBLawrence/status/999742891445702656", "999742891445702656")</f>
        <v/>
      </c>
      <c r="B1366" s="2" t="n">
        <v>43244.83627314815</v>
      </c>
      <c r="C1366" t="n">
        <v>0</v>
      </c>
      <c r="D1366" t="n">
        <v>819</v>
      </c>
      <c r="E1366" t="s">
        <v>1374</v>
      </c>
      <c r="F1366" t="s"/>
      <c r="G1366" t="s"/>
      <c r="H1366" t="s"/>
      <c r="I1366" t="s"/>
      <c r="J1366" t="n">
        <v>0.7574</v>
      </c>
      <c r="K1366" t="n">
        <v>0</v>
      </c>
      <c r="L1366" t="n">
        <v>0.706</v>
      </c>
      <c r="M1366" t="n">
        <v>0.294</v>
      </c>
    </row>
    <row r="1367" spans="1:13">
      <c r="A1367" s="1">
        <f>HYPERLINK("http://www.twitter.com/NathanBLawrence/status/999742844469415936", "999742844469415936")</f>
        <v/>
      </c>
      <c r="B1367" s="2" t="n">
        <v>43244.83614583333</v>
      </c>
      <c r="C1367" t="n">
        <v>0</v>
      </c>
      <c r="D1367" t="n">
        <v>142</v>
      </c>
      <c r="E1367" t="s">
        <v>1375</v>
      </c>
      <c r="F1367" t="s"/>
      <c r="G1367" t="s"/>
      <c r="H1367" t="s"/>
      <c r="I1367" t="s"/>
      <c r="J1367" t="n">
        <v>-0.2263</v>
      </c>
      <c r="K1367" t="n">
        <v>0.166</v>
      </c>
      <c r="L1367" t="n">
        <v>0.711</v>
      </c>
      <c r="M1367" t="n">
        <v>0.123</v>
      </c>
    </row>
    <row r="1368" spans="1:13">
      <c r="A1368" s="1">
        <f>HYPERLINK("http://www.twitter.com/NathanBLawrence/status/999742756548481024", "999742756548481024")</f>
        <v/>
      </c>
      <c r="B1368" s="2" t="n">
        <v>43244.83590277778</v>
      </c>
      <c r="C1368" t="n">
        <v>0</v>
      </c>
      <c r="D1368" t="n">
        <v>63</v>
      </c>
      <c r="E1368" t="s">
        <v>1376</v>
      </c>
      <c r="F1368" t="s"/>
      <c r="G1368" t="s"/>
      <c r="H1368" t="s"/>
      <c r="I1368" t="s"/>
      <c r="J1368" t="n">
        <v>0.25</v>
      </c>
      <c r="K1368" t="n">
        <v>0.118</v>
      </c>
      <c r="L1368" t="n">
        <v>0.6870000000000001</v>
      </c>
      <c r="M1368" t="n">
        <v>0.195</v>
      </c>
    </row>
    <row r="1369" spans="1:13">
      <c r="A1369" s="1">
        <f>HYPERLINK("http://www.twitter.com/NathanBLawrence/status/999742721622495234", "999742721622495234")</f>
        <v/>
      </c>
      <c r="B1369" s="2" t="n">
        <v>43244.83579861111</v>
      </c>
      <c r="C1369" t="n">
        <v>0</v>
      </c>
      <c r="D1369" t="n">
        <v>35</v>
      </c>
      <c r="E1369" t="s">
        <v>1377</v>
      </c>
      <c r="F1369" t="s"/>
      <c r="G1369" t="s"/>
      <c r="H1369" t="s"/>
      <c r="I1369" t="s"/>
      <c r="J1369" t="n">
        <v>0.6588000000000001</v>
      </c>
      <c r="K1369" t="n">
        <v>0</v>
      </c>
      <c r="L1369" t="n">
        <v>0.747</v>
      </c>
      <c r="M1369" t="n">
        <v>0.253</v>
      </c>
    </row>
    <row r="1370" spans="1:13">
      <c r="A1370" s="1">
        <f>HYPERLINK("http://www.twitter.com/NathanBLawrence/status/999742616496418816", "999742616496418816")</f>
        <v/>
      </c>
      <c r="B1370" s="2" t="n">
        <v>43244.83550925926</v>
      </c>
      <c r="C1370" t="n">
        <v>0</v>
      </c>
      <c r="D1370" t="n">
        <v>34</v>
      </c>
      <c r="E1370" t="s">
        <v>1378</v>
      </c>
      <c r="F1370" t="s"/>
      <c r="G1370" t="s"/>
      <c r="H1370" t="s"/>
      <c r="I1370" t="s"/>
      <c r="J1370" t="n">
        <v>-0.6249</v>
      </c>
      <c r="K1370" t="n">
        <v>0.146</v>
      </c>
      <c r="L1370" t="n">
        <v>0.854</v>
      </c>
      <c r="M1370" t="n">
        <v>0</v>
      </c>
    </row>
    <row r="1371" spans="1:13">
      <c r="A1371" s="1">
        <f>HYPERLINK("http://www.twitter.com/NathanBLawrence/status/999741858166255616", "999741858166255616")</f>
        <v/>
      </c>
      <c r="B1371" s="2" t="n">
        <v>43244.83341435185</v>
      </c>
      <c r="C1371" t="n">
        <v>0</v>
      </c>
      <c r="D1371" t="n">
        <v>118</v>
      </c>
      <c r="E1371" t="s">
        <v>1379</v>
      </c>
      <c r="F1371">
        <f>HYPERLINK("http://pbs.twimg.com/media/Dd-_5pAVMAEa_K4.jpg", "http://pbs.twimg.com/media/Dd-_5pAVMAEa_K4.jpg")</f>
        <v/>
      </c>
      <c r="G1371" t="s"/>
      <c r="H1371" t="s"/>
      <c r="I1371" t="s"/>
      <c r="J1371" t="n">
        <v>-0.0572</v>
      </c>
      <c r="K1371" t="n">
        <v>0.043</v>
      </c>
      <c r="L1371" t="n">
        <v>0.957</v>
      </c>
      <c r="M1371" t="n">
        <v>0</v>
      </c>
    </row>
    <row r="1372" spans="1:13">
      <c r="A1372" s="1">
        <f>HYPERLINK("http://www.twitter.com/NathanBLawrence/status/999741804441456640", "999741804441456640")</f>
        <v/>
      </c>
      <c r="B1372" s="2" t="n">
        <v>43244.83327546297</v>
      </c>
      <c r="C1372" t="n">
        <v>0</v>
      </c>
      <c r="D1372" t="n">
        <v>56</v>
      </c>
      <c r="E1372" t="s">
        <v>1380</v>
      </c>
      <c r="F1372" t="s"/>
      <c r="G1372" t="s"/>
      <c r="H1372" t="s"/>
      <c r="I1372" t="s"/>
      <c r="J1372" t="n">
        <v>-0.6249</v>
      </c>
      <c r="K1372" t="n">
        <v>0.203</v>
      </c>
      <c r="L1372" t="n">
        <v>0.797</v>
      </c>
      <c r="M1372" t="n">
        <v>0</v>
      </c>
    </row>
    <row r="1373" spans="1:13">
      <c r="A1373" s="1">
        <f>HYPERLINK("http://www.twitter.com/NathanBLawrence/status/999741727203307520", "999741727203307520")</f>
        <v/>
      </c>
      <c r="B1373" s="2" t="n">
        <v>43244.83305555556</v>
      </c>
      <c r="C1373" t="n">
        <v>0</v>
      </c>
      <c r="D1373" t="n">
        <v>86</v>
      </c>
      <c r="E1373" t="s">
        <v>1381</v>
      </c>
      <c r="F1373" t="s"/>
      <c r="G1373" t="s"/>
      <c r="H1373" t="s"/>
      <c r="I1373" t="s"/>
      <c r="J1373" t="n">
        <v>-0.5009</v>
      </c>
      <c r="K1373" t="n">
        <v>0.119</v>
      </c>
      <c r="L1373" t="n">
        <v>0.881</v>
      </c>
      <c r="M1373" t="n">
        <v>0</v>
      </c>
    </row>
    <row r="1374" spans="1:13">
      <c r="A1374" s="1">
        <f>HYPERLINK("http://www.twitter.com/NathanBLawrence/status/999741649721929728", "999741649721929728")</f>
        <v/>
      </c>
      <c r="B1374" s="2" t="n">
        <v>43244.83284722222</v>
      </c>
      <c r="C1374" t="n">
        <v>0</v>
      </c>
      <c r="D1374" t="n">
        <v>69</v>
      </c>
      <c r="E1374" t="s">
        <v>1382</v>
      </c>
      <c r="F1374">
        <f>HYPERLINK("http://pbs.twimg.com/media/Dd--k8cVMAASMue.jpg", "http://pbs.twimg.com/media/Dd--k8cVMAASMue.jpg")</f>
        <v/>
      </c>
      <c r="G1374" t="s"/>
      <c r="H1374" t="s"/>
      <c r="I1374" t="s"/>
      <c r="J1374" t="n">
        <v>0.6114000000000001</v>
      </c>
      <c r="K1374" t="n">
        <v>0</v>
      </c>
      <c r="L1374" t="n">
        <v>0.834</v>
      </c>
      <c r="M1374" t="n">
        <v>0.166</v>
      </c>
    </row>
    <row r="1375" spans="1:13">
      <c r="A1375" s="1">
        <f>HYPERLINK("http://www.twitter.com/NathanBLawrence/status/999741610891018240", "999741610891018240")</f>
        <v/>
      </c>
      <c r="B1375" s="2" t="n">
        <v>43244.83273148148</v>
      </c>
      <c r="C1375" t="n">
        <v>0</v>
      </c>
      <c r="D1375" t="n">
        <v>64</v>
      </c>
      <c r="E1375" t="s">
        <v>1383</v>
      </c>
      <c r="F1375" t="s"/>
      <c r="G1375" t="s"/>
      <c r="H1375" t="s"/>
      <c r="I1375" t="s"/>
      <c r="J1375" t="n">
        <v>-0.0772</v>
      </c>
      <c r="K1375" t="n">
        <v>0.056</v>
      </c>
      <c r="L1375" t="n">
        <v>0.944</v>
      </c>
      <c r="M1375" t="n">
        <v>0</v>
      </c>
    </row>
    <row r="1376" spans="1:13">
      <c r="A1376" s="1">
        <f>HYPERLINK("http://www.twitter.com/NathanBLawrence/status/999741573272408064", "999741573272408064")</f>
        <v/>
      </c>
      <c r="B1376" s="2" t="n">
        <v>43244.83263888889</v>
      </c>
      <c r="C1376" t="n">
        <v>0</v>
      </c>
      <c r="D1376" t="n">
        <v>105</v>
      </c>
      <c r="E1376" t="s">
        <v>1384</v>
      </c>
      <c r="F1376">
        <f>HYPERLINK("http://pbs.twimg.com/media/Dd--OLKUQAUfXgF.jpg", "http://pbs.twimg.com/media/Dd--OLKUQAUfXgF.jpg")</f>
        <v/>
      </c>
      <c r="G1376" t="s"/>
      <c r="H1376" t="s"/>
      <c r="I1376" t="s"/>
      <c r="J1376" t="n">
        <v>0.7959000000000001</v>
      </c>
      <c r="K1376" t="n">
        <v>0</v>
      </c>
      <c r="L1376" t="n">
        <v>0.722</v>
      </c>
      <c r="M1376" t="n">
        <v>0.278</v>
      </c>
    </row>
    <row r="1377" spans="1:13">
      <c r="A1377" s="1">
        <f>HYPERLINK("http://www.twitter.com/NathanBLawrence/status/999741515181232128", "999741515181232128")</f>
        <v/>
      </c>
      <c r="B1377" s="2" t="n">
        <v>43244.83247685185</v>
      </c>
      <c r="C1377" t="n">
        <v>0</v>
      </c>
      <c r="D1377" t="n">
        <v>63</v>
      </c>
      <c r="E1377" t="s">
        <v>1385</v>
      </c>
      <c r="F1377" t="s"/>
      <c r="G1377" t="s"/>
      <c r="H1377" t="s"/>
      <c r="I1377" t="s"/>
      <c r="J1377" t="n">
        <v>0.0382</v>
      </c>
      <c r="K1377" t="n">
        <v>0</v>
      </c>
      <c r="L1377" t="n">
        <v>0.952</v>
      </c>
      <c r="M1377" t="n">
        <v>0.048</v>
      </c>
    </row>
    <row r="1378" spans="1:13">
      <c r="A1378" s="1">
        <f>HYPERLINK("http://www.twitter.com/NathanBLawrence/status/999741474987233280", "999741474987233280")</f>
        <v/>
      </c>
      <c r="B1378" s="2" t="n">
        <v>43244.83236111111</v>
      </c>
      <c r="C1378" t="n">
        <v>0</v>
      </c>
      <c r="D1378" t="n">
        <v>70</v>
      </c>
      <c r="E1378" t="s">
        <v>1386</v>
      </c>
      <c r="F1378" t="s"/>
      <c r="G1378" t="s"/>
      <c r="H1378" t="s"/>
      <c r="I1378" t="s"/>
      <c r="J1378" t="n">
        <v>-0.4926</v>
      </c>
      <c r="K1378" t="n">
        <v>0.181</v>
      </c>
      <c r="L1378" t="n">
        <v>0.819</v>
      </c>
      <c r="M1378" t="n">
        <v>0</v>
      </c>
    </row>
    <row r="1379" spans="1:13">
      <c r="A1379" s="1">
        <f>HYPERLINK("http://www.twitter.com/NathanBLawrence/status/999741446625296385", "999741446625296385")</f>
        <v/>
      </c>
      <c r="B1379" s="2" t="n">
        <v>43244.8322800926</v>
      </c>
      <c r="C1379" t="n">
        <v>0</v>
      </c>
      <c r="D1379" t="n">
        <v>71</v>
      </c>
      <c r="E1379" t="s">
        <v>1387</v>
      </c>
      <c r="F1379" t="s"/>
      <c r="G1379" t="s"/>
      <c r="H1379" t="s"/>
      <c r="I1379" t="s"/>
      <c r="J1379" t="n">
        <v>0.6486</v>
      </c>
      <c r="K1379" t="n">
        <v>0</v>
      </c>
      <c r="L1379" t="n">
        <v>0.798</v>
      </c>
      <c r="M1379" t="n">
        <v>0.202</v>
      </c>
    </row>
    <row r="1380" spans="1:13">
      <c r="A1380" s="1">
        <f>HYPERLINK("http://www.twitter.com/NathanBLawrence/status/999741398340513793", "999741398340513793")</f>
        <v/>
      </c>
      <c r="B1380" s="2" t="n">
        <v>43244.83215277778</v>
      </c>
      <c r="C1380" t="n">
        <v>0</v>
      </c>
      <c r="D1380" t="n">
        <v>103</v>
      </c>
      <c r="E1380" t="s">
        <v>1388</v>
      </c>
      <c r="F1380" t="s"/>
      <c r="G1380" t="s"/>
      <c r="H1380" t="s"/>
      <c r="I1380" t="s"/>
      <c r="J1380" t="n">
        <v>0</v>
      </c>
      <c r="K1380" t="n">
        <v>0</v>
      </c>
      <c r="L1380" t="n">
        <v>1</v>
      </c>
      <c r="M1380" t="n">
        <v>0</v>
      </c>
    </row>
    <row r="1381" spans="1:13">
      <c r="A1381" s="1">
        <f>HYPERLINK("http://www.twitter.com/NathanBLawrence/status/999741296985149441", "999741296985149441")</f>
        <v/>
      </c>
      <c r="B1381" s="2" t="n">
        <v>43244.831875</v>
      </c>
      <c r="C1381" t="n">
        <v>0</v>
      </c>
      <c r="D1381" t="n">
        <v>7</v>
      </c>
      <c r="E1381" t="s">
        <v>1389</v>
      </c>
      <c r="F1381" t="s"/>
      <c r="G1381" t="s"/>
      <c r="H1381" t="s"/>
      <c r="I1381" t="s"/>
      <c r="J1381" t="n">
        <v>0.4019</v>
      </c>
      <c r="K1381" t="n">
        <v>0</v>
      </c>
      <c r="L1381" t="n">
        <v>0.8159999999999999</v>
      </c>
      <c r="M1381" t="n">
        <v>0.184</v>
      </c>
    </row>
    <row r="1382" spans="1:13">
      <c r="A1382" s="1">
        <f>HYPERLINK("http://www.twitter.com/NathanBLawrence/status/999741267088113664", "999741267088113664")</f>
        <v/>
      </c>
      <c r="B1382" s="2" t="n">
        <v>43244.83179398148</v>
      </c>
      <c r="C1382" t="n">
        <v>0</v>
      </c>
      <c r="D1382" t="n">
        <v>2</v>
      </c>
      <c r="E1382" t="s">
        <v>1390</v>
      </c>
      <c r="F1382" t="s"/>
      <c r="G1382" t="s"/>
      <c r="H1382" t="s"/>
      <c r="I1382" t="s"/>
      <c r="J1382" t="n">
        <v>0</v>
      </c>
      <c r="K1382" t="n">
        <v>0</v>
      </c>
      <c r="L1382" t="n">
        <v>1</v>
      </c>
      <c r="M1382" t="n">
        <v>0</v>
      </c>
    </row>
    <row r="1383" spans="1:13">
      <c r="A1383" s="1">
        <f>HYPERLINK("http://www.twitter.com/NathanBLawrence/status/999741151610621952", "999741151610621952")</f>
        <v/>
      </c>
      <c r="B1383" s="2" t="n">
        <v>43244.83146990741</v>
      </c>
      <c r="C1383" t="n">
        <v>0</v>
      </c>
      <c r="D1383" t="n">
        <v>2</v>
      </c>
      <c r="E1383" t="s">
        <v>1391</v>
      </c>
      <c r="F1383" t="s"/>
      <c r="G1383" t="s"/>
      <c r="H1383" t="s"/>
      <c r="I1383" t="s"/>
      <c r="J1383" t="n">
        <v>-0.4404</v>
      </c>
      <c r="K1383" t="n">
        <v>0.178</v>
      </c>
      <c r="L1383" t="n">
        <v>0.822</v>
      </c>
      <c r="M1383" t="n">
        <v>0</v>
      </c>
    </row>
    <row r="1384" spans="1:13">
      <c r="A1384" s="1">
        <f>HYPERLINK("http://www.twitter.com/NathanBLawrence/status/999741116063854594", "999741116063854594")</f>
        <v/>
      </c>
      <c r="B1384" s="2" t="n">
        <v>43244.83137731482</v>
      </c>
      <c r="C1384" t="n">
        <v>0</v>
      </c>
      <c r="D1384" t="n">
        <v>1</v>
      </c>
      <c r="E1384" t="s">
        <v>1392</v>
      </c>
      <c r="F1384" t="s"/>
      <c r="G1384" t="s"/>
      <c r="H1384" t="s"/>
      <c r="I1384" t="s"/>
      <c r="J1384" t="n">
        <v>0.0772</v>
      </c>
      <c r="K1384" t="n">
        <v>0.103</v>
      </c>
      <c r="L1384" t="n">
        <v>0.783</v>
      </c>
      <c r="M1384" t="n">
        <v>0.114</v>
      </c>
    </row>
    <row r="1385" spans="1:13">
      <c r="A1385" s="1">
        <f>HYPERLINK("http://www.twitter.com/NathanBLawrence/status/999741024770711552", "999741024770711552")</f>
        <v/>
      </c>
      <c r="B1385" s="2" t="n">
        <v>43244.83112268519</v>
      </c>
      <c r="C1385" t="n">
        <v>0</v>
      </c>
      <c r="D1385" t="n">
        <v>408</v>
      </c>
      <c r="E1385" t="s">
        <v>1393</v>
      </c>
      <c r="F1385">
        <f>HYPERLINK("http://pbs.twimg.com/media/Dd-9NqHVAAA_swV.jpg", "http://pbs.twimg.com/media/Dd-9NqHVAAA_swV.jpg")</f>
        <v/>
      </c>
      <c r="G1385" t="s"/>
      <c r="H1385" t="s"/>
      <c r="I1385" t="s"/>
      <c r="J1385" t="n">
        <v>0</v>
      </c>
      <c r="K1385" t="n">
        <v>0</v>
      </c>
      <c r="L1385" t="n">
        <v>1</v>
      </c>
      <c r="M1385" t="n">
        <v>0</v>
      </c>
    </row>
    <row r="1386" spans="1:13">
      <c r="A1386" s="1">
        <f>HYPERLINK("http://www.twitter.com/NathanBLawrence/status/999740932785307648", "999740932785307648")</f>
        <v/>
      </c>
      <c r="B1386" s="2" t="n">
        <v>43244.83086805556</v>
      </c>
      <c r="C1386" t="n">
        <v>0</v>
      </c>
      <c r="D1386" t="n">
        <v>120</v>
      </c>
      <c r="E1386" t="s">
        <v>1394</v>
      </c>
      <c r="F1386" t="s"/>
      <c r="G1386" t="s"/>
      <c r="H1386" t="s"/>
      <c r="I1386" t="s"/>
      <c r="J1386" t="n">
        <v>0</v>
      </c>
      <c r="K1386" t="n">
        <v>0</v>
      </c>
      <c r="L1386" t="n">
        <v>1</v>
      </c>
      <c r="M1386" t="n">
        <v>0</v>
      </c>
    </row>
    <row r="1387" spans="1:13">
      <c r="A1387" s="1">
        <f>HYPERLINK("http://www.twitter.com/NathanBLawrence/status/999740799846928387", "999740799846928387")</f>
        <v/>
      </c>
      <c r="B1387" s="2" t="n">
        <v>43244.83049768519</v>
      </c>
      <c r="C1387" t="n">
        <v>0</v>
      </c>
      <c r="D1387" t="n">
        <v>179</v>
      </c>
      <c r="E1387" t="s">
        <v>1395</v>
      </c>
      <c r="F1387">
        <f>HYPERLINK("http://pbs.twimg.com/media/Dd_CwydVwAAf-V5.jpg", "http://pbs.twimg.com/media/Dd_CwydVwAAf-V5.jpg")</f>
        <v/>
      </c>
      <c r="G1387" t="s"/>
      <c r="H1387" t="s"/>
      <c r="I1387" t="s"/>
      <c r="J1387" t="n">
        <v>0.1655</v>
      </c>
      <c r="K1387" t="n">
        <v>0</v>
      </c>
      <c r="L1387" t="n">
        <v>0.93</v>
      </c>
      <c r="M1387" t="n">
        <v>0.07000000000000001</v>
      </c>
    </row>
    <row r="1388" spans="1:13">
      <c r="A1388" s="1">
        <f>HYPERLINK("http://www.twitter.com/NathanBLawrence/status/999740273180794880", "999740273180794880")</f>
        <v/>
      </c>
      <c r="B1388" s="2" t="n">
        <v>43244.82905092592</v>
      </c>
      <c r="C1388" t="n">
        <v>0</v>
      </c>
      <c r="D1388" t="n">
        <v>35</v>
      </c>
      <c r="E1388" t="s">
        <v>1396</v>
      </c>
      <c r="F1388" t="s"/>
      <c r="G1388" t="s"/>
      <c r="H1388" t="s"/>
      <c r="I1388" t="s"/>
      <c r="J1388" t="n">
        <v>0.5983000000000001</v>
      </c>
      <c r="K1388" t="n">
        <v>0.081</v>
      </c>
      <c r="L1388" t="n">
        <v>0.66</v>
      </c>
      <c r="M1388" t="n">
        <v>0.26</v>
      </c>
    </row>
    <row r="1389" spans="1:13">
      <c r="A1389" s="1">
        <f>HYPERLINK("http://www.twitter.com/NathanBLawrence/status/999740218860298241", "999740218860298241")</f>
        <v/>
      </c>
      <c r="B1389" s="2" t="n">
        <v>43244.82890046296</v>
      </c>
      <c r="C1389" t="n">
        <v>0</v>
      </c>
      <c r="D1389" t="n">
        <v>10</v>
      </c>
      <c r="E1389" t="s">
        <v>1397</v>
      </c>
      <c r="F1389" t="s"/>
      <c r="G1389" t="s"/>
      <c r="H1389" t="s"/>
      <c r="I1389" t="s"/>
      <c r="J1389" t="n">
        <v>0.4404</v>
      </c>
      <c r="K1389" t="n">
        <v>0.129</v>
      </c>
      <c r="L1389" t="n">
        <v>0.597</v>
      </c>
      <c r="M1389" t="n">
        <v>0.274</v>
      </c>
    </row>
    <row r="1390" spans="1:13">
      <c r="A1390" s="1">
        <f>HYPERLINK("http://www.twitter.com/NathanBLawrence/status/999740185381400576", "999740185381400576")</f>
        <v/>
      </c>
      <c r="B1390" s="2" t="n">
        <v>43244.82880787037</v>
      </c>
      <c r="C1390" t="n">
        <v>0</v>
      </c>
      <c r="D1390" t="n">
        <v>63</v>
      </c>
      <c r="E1390" t="s">
        <v>1398</v>
      </c>
      <c r="F1390">
        <f>HYPERLINK("https://video.twimg.com/ext_tw_video/999727325175463936/pu/vid/648x360/XCCdgEepdWZkBuQE.mp4?tag=3", "https://video.twimg.com/ext_tw_video/999727325175463936/pu/vid/648x360/XCCdgEepdWZkBuQE.mp4?tag=3")</f>
        <v/>
      </c>
      <c r="G1390" t="s"/>
      <c r="H1390" t="s"/>
      <c r="I1390" t="s"/>
      <c r="J1390" t="n">
        <v>0.8225</v>
      </c>
      <c r="K1390" t="n">
        <v>0</v>
      </c>
      <c r="L1390" t="n">
        <v>0.602</v>
      </c>
      <c r="M1390" t="n">
        <v>0.398</v>
      </c>
    </row>
    <row r="1391" spans="1:13">
      <c r="A1391" s="1">
        <f>HYPERLINK("http://www.twitter.com/NathanBLawrence/status/999740153483747330", "999740153483747330")</f>
        <v/>
      </c>
      <c r="B1391" s="2" t="n">
        <v>43244.82871527778</v>
      </c>
      <c r="C1391" t="n">
        <v>0</v>
      </c>
      <c r="D1391" t="n">
        <v>8</v>
      </c>
      <c r="E1391" t="s">
        <v>1399</v>
      </c>
      <c r="F1391" t="s"/>
      <c r="G1391" t="s"/>
      <c r="H1391" t="s"/>
      <c r="I1391" t="s"/>
      <c r="J1391" t="n">
        <v>-0.4215</v>
      </c>
      <c r="K1391" t="n">
        <v>0.286</v>
      </c>
      <c r="L1391" t="n">
        <v>0.714</v>
      </c>
      <c r="M1391" t="n">
        <v>0</v>
      </c>
    </row>
    <row r="1392" spans="1:13">
      <c r="A1392" s="1">
        <f>HYPERLINK("http://www.twitter.com/NathanBLawrence/status/999740123578355713", "999740123578355713")</f>
        <v/>
      </c>
      <c r="B1392" s="2" t="n">
        <v>43244.82863425926</v>
      </c>
      <c r="C1392" t="n">
        <v>0</v>
      </c>
      <c r="D1392" t="n">
        <v>0</v>
      </c>
      <c r="E1392" t="s">
        <v>1400</v>
      </c>
      <c r="F1392" t="s"/>
      <c r="G1392" t="s"/>
      <c r="H1392" t="s"/>
      <c r="I1392" t="s"/>
      <c r="J1392" t="n">
        <v>-0.4588</v>
      </c>
      <c r="K1392" t="n">
        <v>0.273</v>
      </c>
      <c r="L1392" t="n">
        <v>0.727</v>
      </c>
      <c r="M1392" t="n">
        <v>0</v>
      </c>
    </row>
    <row r="1393" spans="1:13">
      <c r="A1393" s="1">
        <f>HYPERLINK("http://www.twitter.com/NathanBLawrence/status/999739798360338433", "999739798360338433")</f>
        <v/>
      </c>
      <c r="B1393" s="2" t="n">
        <v>43244.82773148148</v>
      </c>
      <c r="C1393" t="n">
        <v>0</v>
      </c>
      <c r="D1393" t="n">
        <v>23</v>
      </c>
      <c r="E1393" t="s">
        <v>1401</v>
      </c>
      <c r="F1393" t="s"/>
      <c r="G1393" t="s"/>
      <c r="H1393" t="s"/>
      <c r="I1393" t="s"/>
      <c r="J1393" t="n">
        <v>0.6249</v>
      </c>
      <c r="K1393" t="n">
        <v>0</v>
      </c>
      <c r="L1393" t="n">
        <v>0.797</v>
      </c>
      <c r="M1393" t="n">
        <v>0.203</v>
      </c>
    </row>
    <row r="1394" spans="1:13">
      <c r="A1394" s="1">
        <f>HYPERLINK("http://www.twitter.com/NathanBLawrence/status/999739744669110273", "999739744669110273")</f>
        <v/>
      </c>
      <c r="B1394" s="2" t="n">
        <v>43244.82759259259</v>
      </c>
      <c r="C1394" t="n">
        <v>0</v>
      </c>
      <c r="D1394" t="n">
        <v>308</v>
      </c>
      <c r="E1394" t="s">
        <v>1402</v>
      </c>
      <c r="F1394" t="s"/>
      <c r="G1394" t="s"/>
      <c r="H1394" t="s"/>
      <c r="I1394" t="s"/>
      <c r="J1394" t="n">
        <v>-0.5994</v>
      </c>
      <c r="K1394" t="n">
        <v>0.308</v>
      </c>
      <c r="L1394" t="n">
        <v>0.6919999999999999</v>
      </c>
      <c r="M1394" t="n">
        <v>0</v>
      </c>
    </row>
    <row r="1395" spans="1:13">
      <c r="A1395" s="1">
        <f>HYPERLINK("http://www.twitter.com/NathanBLawrence/status/999739550837694464", "999739550837694464")</f>
        <v/>
      </c>
      <c r="B1395" s="2" t="n">
        <v>43244.82704861111</v>
      </c>
      <c r="C1395" t="n">
        <v>0</v>
      </c>
      <c r="D1395" t="n">
        <v>17</v>
      </c>
      <c r="E1395" t="s">
        <v>1403</v>
      </c>
      <c r="F1395" t="s"/>
      <c r="G1395" t="s"/>
      <c r="H1395" t="s"/>
      <c r="I1395" t="s"/>
      <c r="J1395" t="n">
        <v>0.5423</v>
      </c>
      <c r="K1395" t="n">
        <v>0</v>
      </c>
      <c r="L1395" t="n">
        <v>0.844</v>
      </c>
      <c r="M1395" t="n">
        <v>0.156</v>
      </c>
    </row>
    <row r="1396" spans="1:13">
      <c r="A1396" s="1">
        <f>HYPERLINK("http://www.twitter.com/NathanBLawrence/status/999738642355585024", "999738642355585024")</f>
        <v/>
      </c>
      <c r="B1396" s="2" t="n">
        <v>43244.82454861111</v>
      </c>
      <c r="C1396" t="n">
        <v>0</v>
      </c>
      <c r="D1396" t="n">
        <v>1036</v>
      </c>
      <c r="E1396" t="s">
        <v>1404</v>
      </c>
      <c r="F1396">
        <f>HYPERLINK("http://pbs.twimg.com/media/Dd_BlTGWkAE7CzC.jpg", "http://pbs.twimg.com/media/Dd_BlTGWkAE7CzC.jpg")</f>
        <v/>
      </c>
      <c r="G1396">
        <f>HYPERLINK("http://pbs.twimg.com/media/Dd_BrdwW0AUaIzd.jpg", "http://pbs.twimg.com/media/Dd_BrdwW0AUaIzd.jpg")</f>
        <v/>
      </c>
      <c r="H1396" t="s"/>
      <c r="I1396" t="s"/>
      <c r="J1396" t="n">
        <v>0</v>
      </c>
      <c r="K1396" t="n">
        <v>0</v>
      </c>
      <c r="L1396" t="n">
        <v>1</v>
      </c>
      <c r="M1396" t="n">
        <v>0</v>
      </c>
    </row>
    <row r="1397" spans="1:13">
      <c r="A1397" s="1">
        <f>HYPERLINK("http://www.twitter.com/NathanBLawrence/status/999738602660810757", "999738602660810757")</f>
        <v/>
      </c>
      <c r="B1397" s="2" t="n">
        <v>43244.82443287037</v>
      </c>
      <c r="C1397" t="n">
        <v>0</v>
      </c>
      <c r="D1397" t="n">
        <v>728</v>
      </c>
      <c r="E1397" t="s">
        <v>1405</v>
      </c>
      <c r="F1397" t="s"/>
      <c r="G1397" t="s"/>
      <c r="H1397" t="s"/>
      <c r="I1397" t="s"/>
      <c r="J1397" t="n">
        <v>0</v>
      </c>
      <c r="K1397" t="n">
        <v>0</v>
      </c>
      <c r="L1397" t="n">
        <v>1</v>
      </c>
      <c r="M1397" t="n">
        <v>0</v>
      </c>
    </row>
    <row r="1398" spans="1:13">
      <c r="A1398" s="1">
        <f>HYPERLINK("http://www.twitter.com/NathanBLawrence/status/999738293918031872", "999738293918031872")</f>
        <v/>
      </c>
      <c r="B1398" s="2" t="n">
        <v>43244.82358796296</v>
      </c>
      <c r="C1398" t="n">
        <v>0</v>
      </c>
      <c r="D1398" t="n">
        <v>40</v>
      </c>
      <c r="E1398" t="s">
        <v>1406</v>
      </c>
      <c r="F1398" t="s"/>
      <c r="G1398" t="s"/>
      <c r="H1398" t="s"/>
      <c r="I1398" t="s"/>
      <c r="J1398" t="n">
        <v>0</v>
      </c>
      <c r="K1398" t="n">
        <v>0</v>
      </c>
      <c r="L1398" t="n">
        <v>1</v>
      </c>
      <c r="M1398" t="n">
        <v>0</v>
      </c>
    </row>
    <row r="1399" spans="1:13">
      <c r="A1399" s="1">
        <f>HYPERLINK("http://www.twitter.com/NathanBLawrence/status/999738227966861312", "999738227966861312")</f>
        <v/>
      </c>
      <c r="B1399" s="2" t="n">
        <v>43244.82340277778</v>
      </c>
      <c r="C1399" t="n">
        <v>0</v>
      </c>
      <c r="D1399" t="n">
        <v>405</v>
      </c>
      <c r="E1399" t="s">
        <v>1407</v>
      </c>
      <c r="F1399" t="s"/>
      <c r="G1399" t="s"/>
      <c r="H1399" t="s"/>
      <c r="I1399" t="s"/>
      <c r="J1399" t="n">
        <v>0.2263</v>
      </c>
      <c r="K1399" t="n">
        <v>0</v>
      </c>
      <c r="L1399" t="n">
        <v>0.879</v>
      </c>
      <c r="M1399" t="n">
        <v>0.121</v>
      </c>
    </row>
    <row r="1400" spans="1:13">
      <c r="A1400" s="1">
        <f>HYPERLINK("http://www.twitter.com/NathanBLawrence/status/999738176230043649", "999738176230043649")</f>
        <v/>
      </c>
      <c r="B1400" s="2" t="n">
        <v>43244.82326388889</v>
      </c>
      <c r="C1400" t="n">
        <v>0</v>
      </c>
      <c r="D1400" t="n">
        <v>30</v>
      </c>
      <c r="E1400" t="s">
        <v>1408</v>
      </c>
      <c r="F1400" t="s"/>
      <c r="G1400" t="s"/>
      <c r="H1400" t="s"/>
      <c r="I1400" t="s"/>
      <c r="J1400" t="n">
        <v>-0.0516</v>
      </c>
      <c r="K1400" t="n">
        <v>0.099</v>
      </c>
      <c r="L1400" t="n">
        <v>0.8090000000000001</v>
      </c>
      <c r="M1400" t="n">
        <v>0.092</v>
      </c>
    </row>
    <row r="1401" spans="1:13">
      <c r="A1401" s="1">
        <f>HYPERLINK("http://www.twitter.com/NathanBLawrence/status/999738119913181185", "999738119913181185")</f>
        <v/>
      </c>
      <c r="B1401" s="2" t="n">
        <v>43244.82310185185</v>
      </c>
      <c r="C1401" t="n">
        <v>0</v>
      </c>
      <c r="D1401" t="n">
        <v>35</v>
      </c>
      <c r="E1401" t="s">
        <v>1409</v>
      </c>
      <c r="F1401" t="s"/>
      <c r="G1401" t="s"/>
      <c r="H1401" t="s"/>
      <c r="I1401" t="s"/>
      <c r="J1401" t="n">
        <v>0.1027</v>
      </c>
      <c r="K1401" t="n">
        <v>0.094</v>
      </c>
      <c r="L1401" t="n">
        <v>0.792</v>
      </c>
      <c r="M1401" t="n">
        <v>0.114</v>
      </c>
    </row>
    <row r="1402" spans="1:13">
      <c r="A1402" s="1">
        <f>HYPERLINK("http://www.twitter.com/NathanBLawrence/status/999737990464360449", "999737990464360449")</f>
        <v/>
      </c>
      <c r="B1402" s="2" t="n">
        <v>43244.82274305556</v>
      </c>
      <c r="C1402" t="n">
        <v>0</v>
      </c>
      <c r="D1402" t="n">
        <v>310</v>
      </c>
      <c r="E1402" t="s">
        <v>1410</v>
      </c>
      <c r="F1402">
        <f>HYPERLINK("http://pbs.twimg.com/media/Dd-iljQVwAAYcv5.jpg", "http://pbs.twimg.com/media/Dd-iljQVwAAYcv5.jpg")</f>
        <v/>
      </c>
      <c r="G1402" t="s"/>
      <c r="H1402" t="s"/>
      <c r="I1402" t="s"/>
      <c r="J1402" t="n">
        <v>0.3818</v>
      </c>
      <c r="K1402" t="n">
        <v>0</v>
      </c>
      <c r="L1402" t="n">
        <v>0.894</v>
      </c>
      <c r="M1402" t="n">
        <v>0.106</v>
      </c>
    </row>
    <row r="1403" spans="1:13">
      <c r="A1403" s="1">
        <f>HYPERLINK("http://www.twitter.com/NathanBLawrence/status/999737925037445122", "999737925037445122")</f>
        <v/>
      </c>
      <c r="B1403" s="2" t="n">
        <v>43244.82256944444</v>
      </c>
      <c r="C1403" t="n">
        <v>0</v>
      </c>
      <c r="D1403" t="n">
        <v>601</v>
      </c>
      <c r="E1403" t="s">
        <v>1411</v>
      </c>
      <c r="F1403" t="s"/>
      <c r="G1403" t="s"/>
      <c r="H1403" t="s"/>
      <c r="I1403" t="s"/>
      <c r="J1403" t="n">
        <v>-0.34</v>
      </c>
      <c r="K1403" t="n">
        <v>0.138</v>
      </c>
      <c r="L1403" t="n">
        <v>0.862</v>
      </c>
      <c r="M1403" t="n">
        <v>0</v>
      </c>
    </row>
    <row r="1404" spans="1:13">
      <c r="A1404" s="1">
        <f>HYPERLINK("http://www.twitter.com/NathanBLawrence/status/999737882633015296", "999737882633015296")</f>
        <v/>
      </c>
      <c r="B1404" s="2" t="n">
        <v>43244.8224537037</v>
      </c>
      <c r="C1404" t="n">
        <v>0</v>
      </c>
      <c r="D1404" t="n">
        <v>2692</v>
      </c>
      <c r="E1404" t="s">
        <v>1412</v>
      </c>
      <c r="F1404" t="s"/>
      <c r="G1404" t="s"/>
      <c r="H1404" t="s"/>
      <c r="I1404" t="s"/>
      <c r="J1404" t="n">
        <v>0.7964</v>
      </c>
      <c r="K1404" t="n">
        <v>0</v>
      </c>
      <c r="L1404" t="n">
        <v>0.597</v>
      </c>
      <c r="M1404" t="n">
        <v>0.403</v>
      </c>
    </row>
    <row r="1405" spans="1:13">
      <c r="A1405" s="1">
        <f>HYPERLINK("http://www.twitter.com/NathanBLawrence/status/999737691364319232", "999737691364319232")</f>
        <v/>
      </c>
      <c r="B1405" s="2" t="n">
        <v>43244.82192129629</v>
      </c>
      <c r="C1405" t="n">
        <v>0</v>
      </c>
      <c r="D1405" t="n">
        <v>1952</v>
      </c>
      <c r="E1405" t="s">
        <v>1413</v>
      </c>
      <c r="F1405" t="s"/>
      <c r="G1405" t="s"/>
      <c r="H1405" t="s"/>
      <c r="I1405" t="s"/>
      <c r="J1405" t="n">
        <v>-0.7579</v>
      </c>
      <c r="K1405" t="n">
        <v>0.228</v>
      </c>
      <c r="L1405" t="n">
        <v>0.772</v>
      </c>
      <c r="M1405" t="n">
        <v>0</v>
      </c>
    </row>
    <row r="1406" spans="1:13">
      <c r="A1406" s="1">
        <f>HYPERLINK("http://www.twitter.com/NathanBLawrence/status/999737641003372545", "999737641003372545")</f>
        <v/>
      </c>
      <c r="B1406" s="2" t="n">
        <v>43244.82178240741</v>
      </c>
      <c r="C1406" t="n">
        <v>0</v>
      </c>
      <c r="D1406" t="n">
        <v>158</v>
      </c>
      <c r="E1406" t="s">
        <v>1414</v>
      </c>
      <c r="F1406" t="s"/>
      <c r="G1406" t="s"/>
      <c r="H1406" t="s"/>
      <c r="I1406" t="s"/>
      <c r="J1406" t="n">
        <v>-0.5994</v>
      </c>
      <c r="K1406" t="n">
        <v>0.13</v>
      </c>
      <c r="L1406" t="n">
        <v>0.87</v>
      </c>
      <c r="M1406" t="n">
        <v>0</v>
      </c>
    </row>
    <row r="1407" spans="1:13">
      <c r="A1407" s="1">
        <f>HYPERLINK("http://www.twitter.com/NathanBLawrence/status/999737573684776963", "999737573684776963")</f>
        <v/>
      </c>
      <c r="B1407" s="2" t="n">
        <v>43244.82159722222</v>
      </c>
      <c r="C1407" t="n">
        <v>0</v>
      </c>
      <c r="D1407" t="n">
        <v>356</v>
      </c>
      <c r="E1407" t="s">
        <v>1415</v>
      </c>
      <c r="F1407" t="s"/>
      <c r="G1407" t="s"/>
      <c r="H1407" t="s"/>
      <c r="I1407" t="s"/>
      <c r="J1407" t="n">
        <v>-0.1779</v>
      </c>
      <c r="K1407" t="n">
        <v>0.108</v>
      </c>
      <c r="L1407" t="n">
        <v>0.892</v>
      </c>
      <c r="M1407" t="n">
        <v>0</v>
      </c>
    </row>
    <row r="1408" spans="1:13">
      <c r="A1408" s="1">
        <f>HYPERLINK("http://www.twitter.com/NathanBLawrence/status/999737524380618752", "999737524380618752")</f>
        <v/>
      </c>
      <c r="B1408" s="2" t="n">
        <v>43244.82145833333</v>
      </c>
      <c r="C1408" t="n">
        <v>0</v>
      </c>
      <c r="D1408" t="n">
        <v>1320</v>
      </c>
      <c r="E1408" t="s">
        <v>1416</v>
      </c>
      <c r="F1408" t="s"/>
      <c r="G1408" t="s"/>
      <c r="H1408" t="s"/>
      <c r="I1408" t="s"/>
      <c r="J1408" t="n">
        <v>-0.5423</v>
      </c>
      <c r="K1408" t="n">
        <v>0.132</v>
      </c>
      <c r="L1408" t="n">
        <v>0.868</v>
      </c>
      <c r="M1408" t="n">
        <v>0</v>
      </c>
    </row>
    <row r="1409" spans="1:13">
      <c r="A1409" s="1">
        <f>HYPERLINK("http://www.twitter.com/NathanBLawrence/status/999737489068822528", "999737489068822528")</f>
        <v/>
      </c>
      <c r="B1409" s="2" t="n">
        <v>43244.82136574074</v>
      </c>
      <c r="C1409" t="n">
        <v>0</v>
      </c>
      <c r="D1409" t="n">
        <v>54</v>
      </c>
      <c r="E1409" t="s">
        <v>1417</v>
      </c>
      <c r="F1409" t="s"/>
      <c r="G1409" t="s"/>
      <c r="H1409" t="s"/>
      <c r="I1409" t="s"/>
      <c r="J1409" t="n">
        <v>0</v>
      </c>
      <c r="K1409" t="n">
        <v>0</v>
      </c>
      <c r="L1409" t="n">
        <v>1</v>
      </c>
      <c r="M1409" t="n">
        <v>0</v>
      </c>
    </row>
    <row r="1410" spans="1:13">
      <c r="A1410" s="1">
        <f>HYPERLINK("http://www.twitter.com/NathanBLawrence/status/999737424371765248", "999737424371765248")</f>
        <v/>
      </c>
      <c r="B1410" s="2" t="n">
        <v>43244.82118055555</v>
      </c>
      <c r="C1410" t="n">
        <v>0</v>
      </c>
      <c r="D1410" t="n">
        <v>35</v>
      </c>
      <c r="E1410" t="s">
        <v>1418</v>
      </c>
      <c r="F1410" t="s"/>
      <c r="G1410" t="s"/>
      <c r="H1410" t="s"/>
      <c r="I1410" t="s"/>
      <c r="J1410" t="n">
        <v>0.6369</v>
      </c>
      <c r="K1410" t="n">
        <v>0</v>
      </c>
      <c r="L1410" t="n">
        <v>0.755</v>
      </c>
      <c r="M1410" t="n">
        <v>0.245</v>
      </c>
    </row>
    <row r="1411" spans="1:13">
      <c r="A1411" s="1">
        <f>HYPERLINK("http://www.twitter.com/NathanBLawrence/status/999737401764470784", "999737401764470784")</f>
        <v/>
      </c>
      <c r="B1411" s="2" t="n">
        <v>43244.82112268519</v>
      </c>
      <c r="C1411" t="n">
        <v>0</v>
      </c>
      <c r="D1411" t="n">
        <v>0</v>
      </c>
      <c r="E1411" t="s">
        <v>1419</v>
      </c>
      <c r="F1411" t="s"/>
      <c r="G1411" t="s"/>
      <c r="H1411" t="s"/>
      <c r="I1411" t="s"/>
      <c r="J1411" t="n">
        <v>0</v>
      </c>
      <c r="K1411" t="n">
        <v>0</v>
      </c>
      <c r="L1411" t="n">
        <v>1</v>
      </c>
      <c r="M1411" t="n">
        <v>0</v>
      </c>
    </row>
    <row r="1412" spans="1:13">
      <c r="A1412" s="1">
        <f>HYPERLINK("http://www.twitter.com/NathanBLawrence/status/999736913497149440", "999736913497149440")</f>
        <v/>
      </c>
      <c r="B1412" s="2" t="n">
        <v>43244.81978009259</v>
      </c>
      <c r="C1412" t="n">
        <v>0</v>
      </c>
      <c r="D1412" t="n">
        <v>690</v>
      </c>
      <c r="E1412" t="s">
        <v>1420</v>
      </c>
      <c r="F1412" t="s"/>
      <c r="G1412" t="s"/>
      <c r="H1412" t="s"/>
      <c r="I1412" t="s"/>
      <c r="J1412" t="n">
        <v>0</v>
      </c>
      <c r="K1412" t="n">
        <v>0</v>
      </c>
      <c r="L1412" t="n">
        <v>1</v>
      </c>
      <c r="M1412" t="n">
        <v>0</v>
      </c>
    </row>
    <row r="1413" spans="1:13">
      <c r="A1413" s="1">
        <f>HYPERLINK("http://www.twitter.com/NathanBLawrence/status/999736790394327045", "999736790394327045")</f>
        <v/>
      </c>
      <c r="B1413" s="2" t="n">
        <v>43244.81943287037</v>
      </c>
      <c r="C1413" t="n">
        <v>0</v>
      </c>
      <c r="D1413" t="n">
        <v>211</v>
      </c>
      <c r="E1413" t="s">
        <v>1421</v>
      </c>
      <c r="F1413" t="s"/>
      <c r="G1413" t="s"/>
      <c r="H1413" t="s"/>
      <c r="I1413" t="s"/>
      <c r="J1413" t="n">
        <v>-0.4588</v>
      </c>
      <c r="K1413" t="n">
        <v>0.143</v>
      </c>
      <c r="L1413" t="n">
        <v>0.857</v>
      </c>
      <c r="M1413" t="n">
        <v>0</v>
      </c>
    </row>
    <row r="1414" spans="1:13">
      <c r="A1414" s="1">
        <f>HYPERLINK("http://www.twitter.com/NathanBLawrence/status/999736746354053120", "999736746354053120")</f>
        <v/>
      </c>
      <c r="B1414" s="2" t="n">
        <v>43244.81931712963</v>
      </c>
      <c r="C1414" t="n">
        <v>0</v>
      </c>
      <c r="D1414" t="n">
        <v>3132</v>
      </c>
      <c r="E1414" t="s">
        <v>1422</v>
      </c>
      <c r="F1414" t="s"/>
      <c r="G1414" t="s"/>
      <c r="H1414" t="s"/>
      <c r="I1414" t="s"/>
      <c r="J1414" t="n">
        <v>0</v>
      </c>
      <c r="K1414" t="n">
        <v>0</v>
      </c>
      <c r="L1414" t="n">
        <v>1</v>
      </c>
      <c r="M1414" t="n">
        <v>0</v>
      </c>
    </row>
    <row r="1415" spans="1:13">
      <c r="A1415" s="1">
        <f>HYPERLINK("http://www.twitter.com/NathanBLawrence/status/999736578690945024", "999736578690945024")</f>
        <v/>
      </c>
      <c r="B1415" s="2" t="n">
        <v>43244.81885416667</v>
      </c>
      <c r="C1415" t="n">
        <v>0</v>
      </c>
      <c r="D1415" t="n">
        <v>1218</v>
      </c>
      <c r="E1415" t="s">
        <v>1423</v>
      </c>
      <c r="F1415" t="s"/>
      <c r="G1415" t="s"/>
      <c r="H1415" t="s"/>
      <c r="I1415" t="s"/>
      <c r="J1415" t="n">
        <v>0.7531</v>
      </c>
      <c r="K1415" t="n">
        <v>0.075</v>
      </c>
      <c r="L1415" t="n">
        <v>0.668</v>
      </c>
      <c r="M1415" t="n">
        <v>0.257</v>
      </c>
    </row>
    <row r="1416" spans="1:13">
      <c r="A1416" s="1">
        <f>HYPERLINK("http://www.twitter.com/NathanBLawrence/status/999736518930522112", "999736518930522112")</f>
        <v/>
      </c>
      <c r="B1416" s="2" t="n">
        <v>43244.81868055555</v>
      </c>
      <c r="C1416" t="n">
        <v>0</v>
      </c>
      <c r="D1416" t="n">
        <v>167</v>
      </c>
      <c r="E1416" t="s">
        <v>1424</v>
      </c>
      <c r="F1416" t="s"/>
      <c r="G1416" t="s"/>
      <c r="H1416" t="s"/>
      <c r="I1416" t="s"/>
      <c r="J1416" t="n">
        <v>-0.6597</v>
      </c>
      <c r="K1416" t="n">
        <v>0.252</v>
      </c>
      <c r="L1416" t="n">
        <v>0.748</v>
      </c>
      <c r="M1416" t="n">
        <v>0</v>
      </c>
    </row>
    <row r="1417" spans="1:13">
      <c r="A1417" s="1">
        <f>HYPERLINK("http://www.twitter.com/NathanBLawrence/status/999736486412025856", "999736486412025856")</f>
        <v/>
      </c>
      <c r="B1417" s="2" t="n">
        <v>43244.81859953704</v>
      </c>
      <c r="C1417" t="n">
        <v>0</v>
      </c>
      <c r="D1417" t="n">
        <v>106</v>
      </c>
      <c r="E1417" t="s">
        <v>1425</v>
      </c>
      <c r="F1417" t="s"/>
      <c r="G1417" t="s"/>
      <c r="H1417" t="s"/>
      <c r="I1417" t="s"/>
      <c r="J1417" t="n">
        <v>0.0258</v>
      </c>
      <c r="K1417" t="n">
        <v>0.19</v>
      </c>
      <c r="L1417" t="n">
        <v>0.612</v>
      </c>
      <c r="M1417" t="n">
        <v>0.197</v>
      </c>
    </row>
    <row r="1418" spans="1:13">
      <c r="A1418" s="1">
        <f>HYPERLINK("http://www.twitter.com/NathanBLawrence/status/999736456271859712", "999736456271859712")</f>
        <v/>
      </c>
      <c r="B1418" s="2" t="n">
        <v>43244.81851851852</v>
      </c>
      <c r="C1418" t="n">
        <v>0</v>
      </c>
      <c r="D1418" t="n">
        <v>84</v>
      </c>
      <c r="E1418" t="s">
        <v>1426</v>
      </c>
      <c r="F1418" t="s"/>
      <c r="G1418" t="s"/>
      <c r="H1418" t="s"/>
      <c r="I1418" t="s"/>
      <c r="J1418" t="n">
        <v>0</v>
      </c>
      <c r="K1418" t="n">
        <v>0</v>
      </c>
      <c r="L1418" t="n">
        <v>1</v>
      </c>
      <c r="M1418" t="n">
        <v>0</v>
      </c>
    </row>
    <row r="1419" spans="1:13">
      <c r="A1419" s="1">
        <f>HYPERLINK("http://www.twitter.com/NathanBLawrence/status/999736431126949888", "999736431126949888")</f>
        <v/>
      </c>
      <c r="B1419" s="2" t="n">
        <v>43244.81844907408</v>
      </c>
      <c r="C1419" t="n">
        <v>0</v>
      </c>
      <c r="D1419" t="n">
        <v>581</v>
      </c>
      <c r="E1419" t="s">
        <v>1427</v>
      </c>
      <c r="F1419" t="s"/>
      <c r="G1419" t="s"/>
      <c r="H1419" t="s"/>
      <c r="I1419" t="s"/>
      <c r="J1419" t="n">
        <v>0</v>
      </c>
      <c r="K1419" t="n">
        <v>0</v>
      </c>
      <c r="L1419" t="n">
        <v>1</v>
      </c>
      <c r="M1419" t="n">
        <v>0</v>
      </c>
    </row>
    <row r="1420" spans="1:13">
      <c r="A1420" s="1">
        <f>HYPERLINK("http://www.twitter.com/NathanBLawrence/status/999736218865856512", "999736218865856512")</f>
        <v/>
      </c>
      <c r="B1420" s="2" t="n">
        <v>43244.8178587963</v>
      </c>
      <c r="C1420" t="n">
        <v>0</v>
      </c>
      <c r="D1420" t="n">
        <v>3357</v>
      </c>
      <c r="E1420" t="s">
        <v>1428</v>
      </c>
      <c r="F1420">
        <f>HYPERLINK("http://pbs.twimg.com/media/Dd-t1z_UQAAHdbG.jpg", "http://pbs.twimg.com/media/Dd-t1z_UQAAHdbG.jpg")</f>
        <v/>
      </c>
      <c r="G1420" t="s"/>
      <c r="H1420" t="s"/>
      <c r="I1420" t="s"/>
      <c r="J1420" t="n">
        <v>0</v>
      </c>
      <c r="K1420" t="n">
        <v>0</v>
      </c>
      <c r="L1420" t="n">
        <v>1</v>
      </c>
      <c r="M1420" t="n">
        <v>0</v>
      </c>
    </row>
    <row r="1421" spans="1:13">
      <c r="A1421" s="1">
        <f>HYPERLINK("http://www.twitter.com/NathanBLawrence/status/999736090465570818", "999736090465570818")</f>
        <v/>
      </c>
      <c r="B1421" s="2" t="n">
        <v>43244.8175</v>
      </c>
      <c r="C1421" t="n">
        <v>0</v>
      </c>
      <c r="D1421" t="n">
        <v>105</v>
      </c>
      <c r="E1421" t="s">
        <v>1429</v>
      </c>
      <c r="F1421" t="s"/>
      <c r="G1421" t="s"/>
      <c r="H1421" t="s"/>
      <c r="I1421" t="s"/>
      <c r="J1421" t="n">
        <v>0.4019</v>
      </c>
      <c r="K1421" t="n">
        <v>0</v>
      </c>
      <c r="L1421" t="n">
        <v>0.803</v>
      </c>
      <c r="M1421" t="n">
        <v>0.197</v>
      </c>
    </row>
    <row r="1422" spans="1:13">
      <c r="A1422" s="1">
        <f>HYPERLINK("http://www.twitter.com/NathanBLawrence/status/999735897032744972", "999735897032744972")</f>
        <v/>
      </c>
      <c r="B1422" s="2" t="n">
        <v>43244.81696759259</v>
      </c>
      <c r="C1422" t="n">
        <v>0</v>
      </c>
      <c r="D1422" t="n">
        <v>1</v>
      </c>
      <c r="E1422" t="s">
        <v>1430</v>
      </c>
      <c r="F1422" t="s"/>
      <c r="G1422" t="s"/>
      <c r="H1422" t="s"/>
      <c r="I1422" t="s"/>
      <c r="J1422" t="n">
        <v>0</v>
      </c>
      <c r="K1422" t="n">
        <v>0</v>
      </c>
      <c r="L1422" t="n">
        <v>1</v>
      </c>
      <c r="M1422" t="n">
        <v>0</v>
      </c>
    </row>
    <row r="1423" spans="1:13">
      <c r="A1423" s="1">
        <f>HYPERLINK("http://www.twitter.com/NathanBLawrence/status/999735781735522304", "999735781735522304")</f>
        <v/>
      </c>
      <c r="B1423" s="2" t="n">
        <v>43244.8166550926</v>
      </c>
      <c r="C1423" t="n">
        <v>0</v>
      </c>
      <c r="D1423" t="n">
        <v>3545</v>
      </c>
      <c r="E1423" t="s">
        <v>1431</v>
      </c>
      <c r="F1423">
        <f>HYPERLINK("http://pbs.twimg.com/media/Dd-QFFgVwAE_Cst.jpg", "http://pbs.twimg.com/media/Dd-QFFgVwAE_Cst.jpg")</f>
        <v/>
      </c>
      <c r="G1423" t="s"/>
      <c r="H1423" t="s"/>
      <c r="I1423" t="s"/>
      <c r="J1423" t="n">
        <v>0.4019</v>
      </c>
      <c r="K1423" t="n">
        <v>0</v>
      </c>
      <c r="L1423" t="n">
        <v>0.886</v>
      </c>
      <c r="M1423" t="n">
        <v>0.114</v>
      </c>
    </row>
    <row r="1424" spans="1:13">
      <c r="A1424" s="1">
        <f>HYPERLINK("http://www.twitter.com/NathanBLawrence/status/999735741671530497", "999735741671530497")</f>
        <v/>
      </c>
      <c r="B1424" s="2" t="n">
        <v>43244.81653935185</v>
      </c>
      <c r="C1424" t="n">
        <v>0</v>
      </c>
      <c r="D1424" t="n">
        <v>33</v>
      </c>
      <c r="E1424" t="s">
        <v>1432</v>
      </c>
      <c r="F1424" t="s"/>
      <c r="G1424" t="s"/>
      <c r="H1424" t="s"/>
      <c r="I1424" t="s"/>
      <c r="J1424" t="n">
        <v>0.3862</v>
      </c>
      <c r="K1424" t="n">
        <v>0</v>
      </c>
      <c r="L1424" t="n">
        <v>0.821</v>
      </c>
      <c r="M1424" t="n">
        <v>0.179</v>
      </c>
    </row>
    <row r="1425" spans="1:13">
      <c r="A1425" s="1">
        <f>HYPERLINK("http://www.twitter.com/NathanBLawrence/status/999735719877898242", "999735719877898242")</f>
        <v/>
      </c>
      <c r="B1425" s="2" t="n">
        <v>43244.81648148148</v>
      </c>
      <c r="C1425" t="n">
        <v>0</v>
      </c>
      <c r="D1425" t="n">
        <v>8</v>
      </c>
      <c r="E1425" t="s">
        <v>1433</v>
      </c>
      <c r="F1425" t="s"/>
      <c r="G1425" t="s"/>
      <c r="H1425" t="s"/>
      <c r="I1425" t="s"/>
      <c r="J1425" t="n">
        <v>0.7906</v>
      </c>
      <c r="K1425" t="n">
        <v>0</v>
      </c>
      <c r="L1425" t="n">
        <v>0.6899999999999999</v>
      </c>
      <c r="M1425" t="n">
        <v>0.31</v>
      </c>
    </row>
    <row r="1426" spans="1:13">
      <c r="A1426" s="1">
        <f>HYPERLINK("http://www.twitter.com/NathanBLawrence/status/999735715188695040", "999735715188695040")</f>
        <v/>
      </c>
      <c r="B1426" s="2" t="n">
        <v>43244.8164699074</v>
      </c>
      <c r="C1426" t="n">
        <v>0</v>
      </c>
      <c r="D1426" t="n">
        <v>1729</v>
      </c>
      <c r="E1426" t="s">
        <v>1434</v>
      </c>
      <c r="F1426" t="s"/>
      <c r="G1426" t="s"/>
      <c r="H1426" t="s"/>
      <c r="I1426" t="s"/>
      <c r="J1426" t="n">
        <v>0</v>
      </c>
      <c r="K1426" t="n">
        <v>0</v>
      </c>
      <c r="L1426" t="n">
        <v>1</v>
      </c>
      <c r="M1426" t="n">
        <v>0</v>
      </c>
    </row>
    <row r="1427" spans="1:13">
      <c r="A1427" s="1">
        <f>HYPERLINK("http://www.twitter.com/NathanBLawrence/status/999735581231013888", "999735581231013888")</f>
        <v/>
      </c>
      <c r="B1427" s="2" t="n">
        <v>43244.81609953703</v>
      </c>
      <c r="C1427" t="n">
        <v>0</v>
      </c>
      <c r="D1427" t="n">
        <v>104</v>
      </c>
      <c r="E1427" t="s">
        <v>1435</v>
      </c>
      <c r="F1427" t="s"/>
      <c r="G1427" t="s"/>
      <c r="H1427" t="s"/>
      <c r="I1427" t="s"/>
      <c r="J1427" t="n">
        <v>0.6249</v>
      </c>
      <c r="K1427" t="n">
        <v>0</v>
      </c>
      <c r="L1427" t="n">
        <v>0.788</v>
      </c>
      <c r="M1427" t="n">
        <v>0.212</v>
      </c>
    </row>
    <row r="1428" spans="1:13">
      <c r="A1428" s="1">
        <f>HYPERLINK("http://www.twitter.com/NathanBLawrence/status/999735507222396928", "999735507222396928")</f>
        <v/>
      </c>
      <c r="B1428" s="2" t="n">
        <v>43244.8158912037</v>
      </c>
      <c r="C1428" t="n">
        <v>0</v>
      </c>
      <c r="D1428" t="n">
        <v>197</v>
      </c>
      <c r="E1428" t="s">
        <v>1436</v>
      </c>
      <c r="F1428" t="s"/>
      <c r="G1428" t="s"/>
      <c r="H1428" t="s"/>
      <c r="I1428" t="s"/>
      <c r="J1428" t="n">
        <v>0.4404</v>
      </c>
      <c r="K1428" t="n">
        <v>0</v>
      </c>
      <c r="L1428" t="n">
        <v>0.508</v>
      </c>
      <c r="M1428" t="n">
        <v>0.492</v>
      </c>
    </row>
    <row r="1429" spans="1:13">
      <c r="A1429" s="1">
        <f>HYPERLINK("http://www.twitter.com/NathanBLawrence/status/999735406190125061", "999735406190125061")</f>
        <v/>
      </c>
      <c r="B1429" s="2" t="n">
        <v>43244.81561342593</v>
      </c>
      <c r="C1429" t="n">
        <v>0</v>
      </c>
      <c r="D1429" t="n">
        <v>72</v>
      </c>
      <c r="E1429" t="s">
        <v>1437</v>
      </c>
      <c r="F1429" t="s"/>
      <c r="G1429" t="s"/>
      <c r="H1429" t="s"/>
      <c r="I1429" t="s"/>
      <c r="J1429" t="n">
        <v>-0.296</v>
      </c>
      <c r="K1429" t="n">
        <v>0.147</v>
      </c>
      <c r="L1429" t="n">
        <v>0.756</v>
      </c>
      <c r="M1429" t="n">
        <v>0.097</v>
      </c>
    </row>
    <row r="1430" spans="1:13">
      <c r="A1430" s="1">
        <f>HYPERLINK("http://www.twitter.com/NathanBLawrence/status/999735371511615489", "999735371511615489")</f>
        <v/>
      </c>
      <c r="B1430" s="2" t="n">
        <v>43244.81552083333</v>
      </c>
      <c r="C1430" t="n">
        <v>0</v>
      </c>
      <c r="D1430" t="n">
        <v>43</v>
      </c>
      <c r="E1430" t="s">
        <v>1438</v>
      </c>
      <c r="F1430" t="s"/>
      <c r="G1430" t="s"/>
      <c r="H1430" t="s"/>
      <c r="I1430" t="s"/>
      <c r="J1430" t="n">
        <v>-0.5707</v>
      </c>
      <c r="K1430" t="n">
        <v>0.405</v>
      </c>
      <c r="L1430" t="n">
        <v>0.413</v>
      </c>
      <c r="M1430" t="n">
        <v>0.182</v>
      </c>
    </row>
    <row r="1431" spans="1:13">
      <c r="A1431" s="1">
        <f>HYPERLINK("http://www.twitter.com/NathanBLawrence/status/999735340293410816", "999735340293410816")</f>
        <v/>
      </c>
      <c r="B1431" s="2" t="n">
        <v>43244.81542824074</v>
      </c>
      <c r="C1431" t="n">
        <v>0</v>
      </c>
      <c r="D1431" t="n">
        <v>359</v>
      </c>
      <c r="E1431" t="s">
        <v>1439</v>
      </c>
      <c r="F1431" t="s"/>
      <c r="G1431" t="s"/>
      <c r="H1431" t="s"/>
      <c r="I1431" t="s"/>
      <c r="J1431" t="n">
        <v>-0.296</v>
      </c>
      <c r="K1431" t="n">
        <v>0.08699999999999999</v>
      </c>
      <c r="L1431" t="n">
        <v>0.913</v>
      </c>
      <c r="M1431" t="n">
        <v>0</v>
      </c>
    </row>
    <row r="1432" spans="1:13">
      <c r="A1432" s="1">
        <f>HYPERLINK("http://www.twitter.com/NathanBLawrence/status/999735285700288512", "999735285700288512")</f>
        <v/>
      </c>
      <c r="B1432" s="2" t="n">
        <v>43244.81527777778</v>
      </c>
      <c r="C1432" t="n">
        <v>0</v>
      </c>
      <c r="D1432" t="n">
        <v>61</v>
      </c>
      <c r="E1432" t="s">
        <v>1440</v>
      </c>
      <c r="F1432" t="s"/>
      <c r="G1432" t="s"/>
      <c r="H1432" t="s"/>
      <c r="I1432" t="s"/>
      <c r="J1432" t="n">
        <v>-0.4466</v>
      </c>
      <c r="K1432" t="n">
        <v>0.123</v>
      </c>
      <c r="L1432" t="n">
        <v>0.877</v>
      </c>
      <c r="M1432" t="n">
        <v>0</v>
      </c>
    </row>
    <row r="1433" spans="1:13">
      <c r="A1433" s="1">
        <f>HYPERLINK("http://www.twitter.com/NathanBLawrence/status/999735185137684481", "999735185137684481")</f>
        <v/>
      </c>
      <c r="B1433" s="2" t="n">
        <v>43244.815</v>
      </c>
      <c r="C1433" t="n">
        <v>0</v>
      </c>
      <c r="D1433" t="n">
        <v>28</v>
      </c>
      <c r="E1433" t="s">
        <v>1441</v>
      </c>
      <c r="F1433" t="s"/>
      <c r="G1433" t="s"/>
      <c r="H1433" t="s"/>
      <c r="I1433" t="s"/>
      <c r="J1433" t="n">
        <v>-0.8689</v>
      </c>
      <c r="K1433" t="n">
        <v>0.329</v>
      </c>
      <c r="L1433" t="n">
        <v>0.671</v>
      </c>
      <c r="M1433" t="n">
        <v>0</v>
      </c>
    </row>
    <row r="1434" spans="1:13">
      <c r="A1434" s="1">
        <f>HYPERLINK("http://www.twitter.com/NathanBLawrence/status/999734863694651392", "999734863694651392")</f>
        <v/>
      </c>
      <c r="B1434" s="2" t="n">
        <v>43244.81412037037</v>
      </c>
      <c r="C1434" t="n">
        <v>0</v>
      </c>
      <c r="D1434" t="n">
        <v>509</v>
      </c>
      <c r="E1434" t="s">
        <v>1442</v>
      </c>
      <c r="F1434" t="s"/>
      <c r="G1434" t="s"/>
      <c r="H1434" t="s"/>
      <c r="I1434" t="s"/>
      <c r="J1434" t="n">
        <v>-0.0516</v>
      </c>
      <c r="K1434" t="n">
        <v>0.131</v>
      </c>
      <c r="L1434" t="n">
        <v>0.746</v>
      </c>
      <c r="M1434" t="n">
        <v>0.123</v>
      </c>
    </row>
    <row r="1435" spans="1:13">
      <c r="A1435" s="1">
        <f>HYPERLINK("http://www.twitter.com/NathanBLawrence/status/999734426417401857", "999734426417401857")</f>
        <v/>
      </c>
      <c r="B1435" s="2" t="n">
        <v>43244.81291666667</v>
      </c>
      <c r="C1435" t="n">
        <v>0</v>
      </c>
      <c r="D1435" t="n">
        <v>157</v>
      </c>
      <c r="E1435" t="s">
        <v>1443</v>
      </c>
      <c r="F1435" t="s"/>
      <c r="G1435" t="s"/>
      <c r="H1435" t="s"/>
      <c r="I1435" t="s"/>
      <c r="J1435" t="n">
        <v>-0.3182</v>
      </c>
      <c r="K1435" t="n">
        <v>0.08400000000000001</v>
      </c>
      <c r="L1435" t="n">
        <v>0.916</v>
      </c>
      <c r="M1435" t="n">
        <v>0</v>
      </c>
    </row>
    <row r="1436" spans="1:13">
      <c r="A1436" s="1">
        <f>HYPERLINK("http://www.twitter.com/NathanBLawrence/status/999733913391071233", "999733913391071233")</f>
        <v/>
      </c>
      <c r="B1436" s="2" t="n">
        <v>43244.81149305555</v>
      </c>
      <c r="C1436" t="n">
        <v>0</v>
      </c>
      <c r="D1436" t="n">
        <v>264</v>
      </c>
      <c r="E1436" t="s">
        <v>1444</v>
      </c>
      <c r="F1436" t="s"/>
      <c r="G1436" t="s"/>
      <c r="H1436" t="s"/>
      <c r="I1436" t="s"/>
      <c r="J1436" t="n">
        <v>-0.4404</v>
      </c>
      <c r="K1436" t="n">
        <v>0.153</v>
      </c>
      <c r="L1436" t="n">
        <v>0.847</v>
      </c>
      <c r="M1436" t="n">
        <v>0</v>
      </c>
    </row>
    <row r="1437" spans="1:13">
      <c r="A1437" s="1">
        <f>HYPERLINK("http://www.twitter.com/NathanBLawrence/status/999733805412995072", "999733805412995072")</f>
        <v/>
      </c>
      <c r="B1437" s="2" t="n">
        <v>43244.81120370371</v>
      </c>
      <c r="C1437" t="n">
        <v>0</v>
      </c>
      <c r="D1437" t="n">
        <v>69</v>
      </c>
      <c r="E1437" t="s">
        <v>1445</v>
      </c>
      <c r="F1437" t="s"/>
      <c r="G1437" t="s"/>
      <c r="H1437" t="s"/>
      <c r="I1437" t="s"/>
      <c r="J1437" t="n">
        <v>-0.5106000000000001</v>
      </c>
      <c r="K1437" t="n">
        <v>0.155</v>
      </c>
      <c r="L1437" t="n">
        <v>0.845</v>
      </c>
      <c r="M1437" t="n">
        <v>0</v>
      </c>
    </row>
    <row r="1438" spans="1:13">
      <c r="A1438" s="1">
        <f>HYPERLINK("http://www.twitter.com/NathanBLawrence/status/999733762610139138", "999733762610139138")</f>
        <v/>
      </c>
      <c r="B1438" s="2" t="n">
        <v>43244.81107638889</v>
      </c>
      <c r="C1438" t="n">
        <v>0</v>
      </c>
      <c r="D1438" t="n">
        <v>0</v>
      </c>
      <c r="E1438" t="s">
        <v>1446</v>
      </c>
      <c r="F1438" t="s"/>
      <c r="G1438" t="s"/>
      <c r="H1438" t="s"/>
      <c r="I1438" t="s"/>
      <c r="J1438" t="n">
        <v>0</v>
      </c>
      <c r="K1438" t="n">
        <v>0</v>
      </c>
      <c r="L1438" t="n">
        <v>1</v>
      </c>
      <c r="M1438" t="n">
        <v>0</v>
      </c>
    </row>
    <row r="1439" spans="1:13">
      <c r="A1439" s="1">
        <f>HYPERLINK("http://www.twitter.com/NathanBLawrence/status/999733532699299840", "999733532699299840")</f>
        <v/>
      </c>
      <c r="B1439" s="2" t="n">
        <v>43244.81045138889</v>
      </c>
      <c r="C1439" t="n">
        <v>0</v>
      </c>
      <c r="D1439" t="n">
        <v>0</v>
      </c>
      <c r="E1439" t="s">
        <v>1447</v>
      </c>
      <c r="F1439" t="s"/>
      <c r="G1439" t="s"/>
      <c r="H1439" t="s"/>
      <c r="I1439" t="s"/>
      <c r="J1439" t="n">
        <v>0</v>
      </c>
      <c r="K1439" t="n">
        <v>0</v>
      </c>
      <c r="L1439" t="n">
        <v>1</v>
      </c>
      <c r="M1439" t="n">
        <v>0</v>
      </c>
    </row>
    <row r="1440" spans="1:13">
      <c r="A1440" s="1">
        <f>HYPERLINK("http://www.twitter.com/NathanBLawrence/status/999733449559855105", "999733449559855105")</f>
        <v/>
      </c>
      <c r="B1440" s="2" t="n">
        <v>43244.81021990741</v>
      </c>
      <c r="C1440" t="n">
        <v>0</v>
      </c>
      <c r="D1440" t="n">
        <v>33</v>
      </c>
      <c r="E1440" t="s">
        <v>1448</v>
      </c>
      <c r="F1440" t="s"/>
      <c r="G1440" t="s"/>
      <c r="H1440" t="s"/>
      <c r="I1440" t="s"/>
      <c r="J1440" t="n">
        <v>0.0258</v>
      </c>
      <c r="K1440" t="n">
        <v>0.105</v>
      </c>
      <c r="L1440" t="n">
        <v>0.786</v>
      </c>
      <c r="M1440" t="n">
        <v>0.109</v>
      </c>
    </row>
    <row r="1441" spans="1:13">
      <c r="A1441" s="1">
        <f>HYPERLINK("http://www.twitter.com/NathanBLawrence/status/999733215228284928", "999733215228284928")</f>
        <v/>
      </c>
      <c r="B1441" s="2" t="n">
        <v>43244.80957175926</v>
      </c>
      <c r="C1441" t="n">
        <v>0</v>
      </c>
      <c r="D1441" t="n">
        <v>89</v>
      </c>
      <c r="E1441" t="s">
        <v>1449</v>
      </c>
      <c r="F1441">
        <f>HYPERLINK("http://pbs.twimg.com/media/Dd-kOnwWsAAhyoc.jpg", "http://pbs.twimg.com/media/Dd-kOnwWsAAhyoc.jpg")</f>
        <v/>
      </c>
      <c r="G1441" t="s"/>
      <c r="H1441" t="s"/>
      <c r="I1441" t="s"/>
      <c r="J1441" t="n">
        <v>0.5106000000000001</v>
      </c>
      <c r="K1441" t="n">
        <v>0</v>
      </c>
      <c r="L1441" t="n">
        <v>0.864</v>
      </c>
      <c r="M1441" t="n">
        <v>0.136</v>
      </c>
    </row>
    <row r="1442" spans="1:13">
      <c r="A1442" s="1">
        <f>HYPERLINK("http://www.twitter.com/NathanBLawrence/status/999733078066155520", "999733078066155520")</f>
        <v/>
      </c>
      <c r="B1442" s="2" t="n">
        <v>43244.80918981481</v>
      </c>
      <c r="C1442" t="n">
        <v>0</v>
      </c>
      <c r="D1442" t="n">
        <v>3</v>
      </c>
      <c r="E1442" t="s">
        <v>1450</v>
      </c>
      <c r="F1442" t="s"/>
      <c r="G1442" t="s"/>
      <c r="H1442" t="s"/>
      <c r="I1442" t="s"/>
      <c r="J1442" t="n">
        <v>-0.296</v>
      </c>
      <c r="K1442" t="n">
        <v>0.239</v>
      </c>
      <c r="L1442" t="n">
        <v>0.761</v>
      </c>
      <c r="M1442" t="n">
        <v>0</v>
      </c>
    </row>
    <row r="1443" spans="1:13">
      <c r="A1443" s="1">
        <f>HYPERLINK("http://www.twitter.com/NathanBLawrence/status/999732998558842881", "999732998558842881")</f>
        <v/>
      </c>
      <c r="B1443" s="2" t="n">
        <v>43244.8089699074</v>
      </c>
      <c r="C1443" t="n">
        <v>0</v>
      </c>
      <c r="D1443" t="n">
        <v>4</v>
      </c>
      <c r="E1443" t="s">
        <v>1451</v>
      </c>
      <c r="F1443" t="s"/>
      <c r="G1443" t="s"/>
      <c r="H1443" t="s"/>
      <c r="I1443" t="s"/>
      <c r="J1443" t="n">
        <v>-0.1027</v>
      </c>
      <c r="K1443" t="n">
        <v>0.097</v>
      </c>
      <c r="L1443" t="n">
        <v>0.903</v>
      </c>
      <c r="M1443" t="n">
        <v>0</v>
      </c>
    </row>
    <row r="1444" spans="1:13">
      <c r="A1444" s="1">
        <f>HYPERLINK("http://www.twitter.com/NathanBLawrence/status/999732939687694336", "999732939687694336")</f>
        <v/>
      </c>
      <c r="B1444" s="2" t="n">
        <v>43244.80880787037</v>
      </c>
      <c r="C1444" t="n">
        <v>0</v>
      </c>
      <c r="D1444" t="n">
        <v>443</v>
      </c>
      <c r="E1444" t="s">
        <v>1452</v>
      </c>
      <c r="F1444" t="s"/>
      <c r="G1444" t="s"/>
      <c r="H1444" t="s"/>
      <c r="I1444" t="s"/>
      <c r="J1444" t="n">
        <v>0.296</v>
      </c>
      <c r="K1444" t="n">
        <v>0</v>
      </c>
      <c r="L1444" t="n">
        <v>0.909</v>
      </c>
      <c r="M1444" t="n">
        <v>0.091</v>
      </c>
    </row>
    <row r="1445" spans="1:13">
      <c r="A1445" s="1">
        <f>HYPERLINK("http://www.twitter.com/NathanBLawrence/status/999732888613597191", "999732888613597191")</f>
        <v/>
      </c>
      <c r="B1445" s="2" t="n">
        <v>43244.80866898148</v>
      </c>
      <c r="C1445" t="n">
        <v>0</v>
      </c>
      <c r="D1445" t="n">
        <v>20</v>
      </c>
      <c r="E1445" t="s">
        <v>1453</v>
      </c>
      <c r="F1445" t="s"/>
      <c r="G1445" t="s"/>
      <c r="H1445" t="s"/>
      <c r="I1445" t="s"/>
      <c r="J1445" t="n">
        <v>-0.3818</v>
      </c>
      <c r="K1445" t="n">
        <v>0.12</v>
      </c>
      <c r="L1445" t="n">
        <v>0.88</v>
      </c>
      <c r="M1445" t="n">
        <v>0</v>
      </c>
    </row>
    <row r="1446" spans="1:13">
      <c r="A1446" s="1">
        <f>HYPERLINK("http://www.twitter.com/NathanBLawrence/status/999732809454452736", "999732809454452736")</f>
        <v/>
      </c>
      <c r="B1446" s="2" t="n">
        <v>43244.80844907407</v>
      </c>
      <c r="C1446" t="n">
        <v>0</v>
      </c>
      <c r="D1446" t="n">
        <v>45</v>
      </c>
      <c r="E1446" t="s">
        <v>1454</v>
      </c>
      <c r="F1446">
        <f>HYPERLINK("https://video.twimg.com/amplify_video/998851034121306117/vid/540x360/qOTSKUJe4VBqkr7U.mp4?tag=2", "https://video.twimg.com/amplify_video/998851034121306117/vid/540x360/qOTSKUJe4VBqkr7U.mp4?tag=2")</f>
        <v/>
      </c>
      <c r="G1446" t="s"/>
      <c r="H1446" t="s"/>
      <c r="I1446" t="s"/>
      <c r="J1446" t="n">
        <v>0.466</v>
      </c>
      <c r="K1446" t="n">
        <v>0</v>
      </c>
      <c r="L1446" t="n">
        <v>0.856</v>
      </c>
      <c r="M1446" t="n">
        <v>0.144</v>
      </c>
    </row>
    <row r="1447" spans="1:13">
      <c r="A1447" s="1">
        <f>HYPERLINK("http://www.twitter.com/NathanBLawrence/status/999732572405075968", "999732572405075968")</f>
        <v/>
      </c>
      <c r="B1447" s="2" t="n">
        <v>43244.80780092593</v>
      </c>
      <c r="C1447" t="n">
        <v>0</v>
      </c>
      <c r="D1447" t="n">
        <v>4</v>
      </c>
      <c r="E1447" t="s">
        <v>1455</v>
      </c>
      <c r="F1447" t="s"/>
      <c r="G1447" t="s"/>
      <c r="H1447" t="s"/>
      <c r="I1447" t="s"/>
      <c r="J1447" t="n">
        <v>0.3612</v>
      </c>
      <c r="K1447" t="n">
        <v>0</v>
      </c>
      <c r="L1447" t="n">
        <v>0.889</v>
      </c>
      <c r="M1447" t="n">
        <v>0.111</v>
      </c>
    </row>
    <row r="1448" spans="1:13">
      <c r="A1448" s="1">
        <f>HYPERLINK("http://www.twitter.com/NathanBLawrence/status/999730118514872320", "999730118514872320")</f>
        <v/>
      </c>
      <c r="B1448" s="2" t="n">
        <v>43244.80101851852</v>
      </c>
      <c r="C1448" t="n">
        <v>0</v>
      </c>
      <c r="D1448" t="n">
        <v>0</v>
      </c>
      <c r="E1448" t="s">
        <v>1456</v>
      </c>
      <c r="F1448" t="s"/>
      <c r="G1448" t="s"/>
      <c r="H1448" t="s"/>
      <c r="I1448" t="s"/>
      <c r="J1448" t="n">
        <v>0</v>
      </c>
      <c r="K1448" t="n">
        <v>0</v>
      </c>
      <c r="L1448" t="n">
        <v>1</v>
      </c>
      <c r="M1448" t="n">
        <v>0</v>
      </c>
    </row>
    <row r="1449" spans="1:13">
      <c r="A1449" s="1">
        <f>HYPERLINK("http://www.twitter.com/NathanBLawrence/status/999729924515811328", "999729924515811328")</f>
        <v/>
      </c>
      <c r="B1449" s="2" t="n">
        <v>43244.80048611111</v>
      </c>
      <c r="C1449" t="n">
        <v>0</v>
      </c>
      <c r="D1449" t="n">
        <v>0</v>
      </c>
      <c r="E1449" t="s">
        <v>1457</v>
      </c>
      <c r="F1449" t="s"/>
      <c r="G1449" t="s"/>
      <c r="H1449" t="s"/>
      <c r="I1449" t="s"/>
      <c r="J1449" t="n">
        <v>0.5696</v>
      </c>
      <c r="K1449" t="n">
        <v>0.073</v>
      </c>
      <c r="L1449" t="n">
        <v>0.76</v>
      </c>
      <c r="M1449" t="n">
        <v>0.167</v>
      </c>
    </row>
    <row r="1450" spans="1:13">
      <c r="A1450" s="1">
        <f>HYPERLINK("http://www.twitter.com/NathanBLawrence/status/999727973522604032", "999727973522604032")</f>
        <v/>
      </c>
      <c r="B1450" s="2" t="n">
        <v>43244.79510416667</v>
      </c>
      <c r="C1450" t="n">
        <v>0</v>
      </c>
      <c r="D1450" t="n">
        <v>1</v>
      </c>
      <c r="E1450" t="s">
        <v>1458</v>
      </c>
      <c r="F1450">
        <f>HYPERLINK("http://pbs.twimg.com/media/Dd-7CmOVwAAvu3O.jpg", "http://pbs.twimg.com/media/Dd-7CmOVwAAvu3O.jpg")</f>
        <v/>
      </c>
      <c r="G1450" t="s"/>
      <c r="H1450" t="s"/>
      <c r="I1450" t="s"/>
      <c r="J1450" t="n">
        <v>0</v>
      </c>
      <c r="K1450" t="n">
        <v>0</v>
      </c>
      <c r="L1450" t="n">
        <v>1</v>
      </c>
      <c r="M1450" t="n">
        <v>0</v>
      </c>
    </row>
    <row r="1451" spans="1:13">
      <c r="A1451" s="1">
        <f>HYPERLINK("http://www.twitter.com/NathanBLawrence/status/999727901225508864", "999727901225508864")</f>
        <v/>
      </c>
      <c r="B1451" s="2" t="n">
        <v>43244.79490740741</v>
      </c>
      <c r="C1451" t="n">
        <v>0</v>
      </c>
      <c r="D1451" t="n">
        <v>4</v>
      </c>
      <c r="E1451" t="s">
        <v>1459</v>
      </c>
      <c r="F1451" t="s"/>
      <c r="G1451" t="s"/>
      <c r="H1451" t="s"/>
      <c r="I1451" t="s"/>
      <c r="J1451" t="n">
        <v>0.4939</v>
      </c>
      <c r="K1451" t="n">
        <v>0</v>
      </c>
      <c r="L1451" t="n">
        <v>0.882</v>
      </c>
      <c r="M1451" t="n">
        <v>0.118</v>
      </c>
    </row>
    <row r="1452" spans="1:13">
      <c r="A1452" s="1">
        <f>HYPERLINK("http://www.twitter.com/NathanBLawrence/status/999727802642509824", "999727802642509824")</f>
        <v/>
      </c>
      <c r="B1452" s="2" t="n">
        <v>43244.79462962963</v>
      </c>
      <c r="C1452" t="n">
        <v>0</v>
      </c>
      <c r="D1452" t="n">
        <v>0</v>
      </c>
      <c r="E1452" t="s">
        <v>1460</v>
      </c>
      <c r="F1452" t="s"/>
      <c r="G1452" t="s"/>
      <c r="H1452" t="s"/>
      <c r="I1452" t="s"/>
      <c r="J1452" t="n">
        <v>0.3802</v>
      </c>
      <c r="K1452" t="n">
        <v>0</v>
      </c>
      <c r="L1452" t="n">
        <v>0.929</v>
      </c>
      <c r="M1452" t="n">
        <v>0.07099999999999999</v>
      </c>
    </row>
    <row r="1453" spans="1:13">
      <c r="A1453" s="1">
        <f>HYPERLINK("http://www.twitter.com/NathanBLawrence/status/999726574206443520", "999726574206443520")</f>
        <v/>
      </c>
      <c r="B1453" s="2" t="n">
        <v>43244.79123842593</v>
      </c>
      <c r="C1453" t="n">
        <v>0</v>
      </c>
      <c r="D1453" t="n">
        <v>3</v>
      </c>
      <c r="E1453" t="s">
        <v>1461</v>
      </c>
      <c r="F1453" t="s"/>
      <c r="G1453" t="s"/>
      <c r="H1453" t="s"/>
      <c r="I1453" t="s"/>
      <c r="J1453" t="n">
        <v>-0.0601</v>
      </c>
      <c r="K1453" t="n">
        <v>0.139</v>
      </c>
      <c r="L1453" t="n">
        <v>0.734</v>
      </c>
      <c r="M1453" t="n">
        <v>0.127</v>
      </c>
    </row>
    <row r="1454" spans="1:13">
      <c r="A1454" s="1">
        <f>HYPERLINK("http://www.twitter.com/NathanBLawrence/status/999726467624955907", "999726467624955907")</f>
        <v/>
      </c>
      <c r="B1454" s="2" t="n">
        <v>43244.79094907407</v>
      </c>
      <c r="C1454" t="n">
        <v>3</v>
      </c>
      <c r="D1454" t="n">
        <v>2</v>
      </c>
      <c r="E1454" t="s">
        <v>1462</v>
      </c>
      <c r="F1454" t="s"/>
      <c r="G1454" t="s"/>
      <c r="H1454" t="s"/>
      <c r="I1454" t="s"/>
      <c r="J1454" t="n">
        <v>0</v>
      </c>
      <c r="K1454" t="n">
        <v>0</v>
      </c>
      <c r="L1454" t="n">
        <v>1</v>
      </c>
      <c r="M1454" t="n">
        <v>0</v>
      </c>
    </row>
    <row r="1455" spans="1:13">
      <c r="A1455" s="1">
        <f>HYPERLINK("http://www.twitter.com/NathanBLawrence/status/999724337526722561", "999724337526722561")</f>
        <v/>
      </c>
      <c r="B1455" s="2" t="n">
        <v>43244.78506944444</v>
      </c>
      <c r="C1455" t="n">
        <v>0</v>
      </c>
      <c r="D1455" t="n">
        <v>1</v>
      </c>
      <c r="E1455" t="s">
        <v>1463</v>
      </c>
      <c r="F1455" t="s"/>
      <c r="G1455" t="s"/>
      <c r="H1455" t="s"/>
      <c r="I1455" t="s"/>
      <c r="J1455" t="n">
        <v>0</v>
      </c>
      <c r="K1455" t="n">
        <v>0</v>
      </c>
      <c r="L1455" t="n">
        <v>1</v>
      </c>
      <c r="M1455" t="n">
        <v>0</v>
      </c>
    </row>
    <row r="1456" spans="1:13">
      <c r="A1456" s="1">
        <f>HYPERLINK("http://www.twitter.com/NathanBLawrence/status/999724317402435585", "999724317402435585")</f>
        <v/>
      </c>
      <c r="B1456" s="2" t="n">
        <v>43244.78501157407</v>
      </c>
      <c r="C1456" t="n">
        <v>0</v>
      </c>
      <c r="D1456" t="n">
        <v>1</v>
      </c>
      <c r="E1456" t="s">
        <v>1464</v>
      </c>
      <c r="F1456">
        <f>HYPERLINK("http://pbs.twimg.com/media/Dd-CSPEU0AEzROG.jpg", "http://pbs.twimg.com/media/Dd-CSPEU0AEzROG.jpg")</f>
        <v/>
      </c>
      <c r="G1456" t="s"/>
      <c r="H1456" t="s"/>
      <c r="I1456" t="s"/>
      <c r="J1456" t="n">
        <v>0.4902</v>
      </c>
      <c r="K1456" t="n">
        <v>0</v>
      </c>
      <c r="L1456" t="n">
        <v>0.825</v>
      </c>
      <c r="M1456" t="n">
        <v>0.175</v>
      </c>
    </row>
    <row r="1457" spans="1:13">
      <c r="A1457" s="1">
        <f>HYPERLINK("http://www.twitter.com/NathanBLawrence/status/999724275539079168", "999724275539079168")</f>
        <v/>
      </c>
      <c r="B1457" s="2" t="n">
        <v>43244.78489583333</v>
      </c>
      <c r="C1457" t="n">
        <v>0</v>
      </c>
      <c r="D1457" t="n">
        <v>1</v>
      </c>
      <c r="E1457" t="s">
        <v>1465</v>
      </c>
      <c r="F1457" t="s"/>
      <c r="G1457" t="s"/>
      <c r="H1457" t="s"/>
      <c r="I1457" t="s"/>
      <c r="J1457" t="n">
        <v>0.4404</v>
      </c>
      <c r="K1457" t="n">
        <v>0</v>
      </c>
      <c r="L1457" t="n">
        <v>0.847</v>
      </c>
      <c r="M1457" t="n">
        <v>0.153</v>
      </c>
    </row>
    <row r="1458" spans="1:13">
      <c r="A1458" s="1">
        <f>HYPERLINK("http://www.twitter.com/NathanBLawrence/status/999724239413497857", "999724239413497857")</f>
        <v/>
      </c>
      <c r="B1458" s="2" t="n">
        <v>43244.78480324074</v>
      </c>
      <c r="C1458" t="n">
        <v>0</v>
      </c>
      <c r="D1458" t="n">
        <v>225</v>
      </c>
      <c r="E1458" t="s">
        <v>1466</v>
      </c>
      <c r="F1458" t="s"/>
      <c r="G1458" t="s"/>
      <c r="H1458" t="s"/>
      <c r="I1458" t="s"/>
      <c r="J1458" t="n">
        <v>0.186</v>
      </c>
      <c r="K1458" t="n">
        <v>0.117</v>
      </c>
      <c r="L1458" t="n">
        <v>0.735</v>
      </c>
      <c r="M1458" t="n">
        <v>0.148</v>
      </c>
    </row>
    <row r="1459" spans="1:13">
      <c r="A1459" s="1">
        <f>HYPERLINK("http://www.twitter.com/NathanBLawrence/status/999724095213359105", "999724095213359105")</f>
        <v/>
      </c>
      <c r="B1459" s="2" t="n">
        <v>43244.78439814815</v>
      </c>
      <c r="C1459" t="n">
        <v>0</v>
      </c>
      <c r="D1459" t="n">
        <v>28</v>
      </c>
      <c r="E1459" t="s">
        <v>1467</v>
      </c>
      <c r="F1459" t="s"/>
      <c r="G1459" t="s"/>
      <c r="H1459" t="s"/>
      <c r="I1459" t="s"/>
      <c r="J1459" t="n">
        <v>0</v>
      </c>
      <c r="K1459" t="n">
        <v>0</v>
      </c>
      <c r="L1459" t="n">
        <v>1</v>
      </c>
      <c r="M1459" t="n">
        <v>0</v>
      </c>
    </row>
    <row r="1460" spans="1:13">
      <c r="A1460" s="1">
        <f>HYPERLINK("http://www.twitter.com/NathanBLawrence/status/999724058831880192", "999724058831880192")</f>
        <v/>
      </c>
      <c r="B1460" s="2" t="n">
        <v>43244.78430555556</v>
      </c>
      <c r="C1460" t="n">
        <v>0</v>
      </c>
      <c r="D1460" t="n">
        <v>569</v>
      </c>
      <c r="E1460" t="s">
        <v>1468</v>
      </c>
      <c r="F1460" t="s"/>
      <c r="G1460" t="s"/>
      <c r="H1460" t="s"/>
      <c r="I1460" t="s"/>
      <c r="J1460" t="n">
        <v>0</v>
      </c>
      <c r="K1460" t="n">
        <v>0</v>
      </c>
      <c r="L1460" t="n">
        <v>1</v>
      </c>
      <c r="M1460" t="n">
        <v>0</v>
      </c>
    </row>
    <row r="1461" spans="1:13">
      <c r="A1461" s="1">
        <f>HYPERLINK("http://www.twitter.com/NathanBLawrence/status/999723941571723265", "999723941571723265")</f>
        <v/>
      </c>
      <c r="B1461" s="2" t="n">
        <v>43244.78398148148</v>
      </c>
      <c r="C1461" t="n">
        <v>0</v>
      </c>
      <c r="D1461" t="n">
        <v>5</v>
      </c>
      <c r="E1461" t="s">
        <v>1469</v>
      </c>
      <c r="F1461" t="s"/>
      <c r="G1461" t="s"/>
      <c r="H1461" t="s"/>
      <c r="I1461" t="s"/>
      <c r="J1461" t="n">
        <v>0.3597</v>
      </c>
      <c r="K1461" t="n">
        <v>0</v>
      </c>
      <c r="L1461" t="n">
        <v>0.706</v>
      </c>
      <c r="M1461" t="n">
        <v>0.294</v>
      </c>
    </row>
    <row r="1462" spans="1:13">
      <c r="A1462" s="1">
        <f>HYPERLINK("http://www.twitter.com/NathanBLawrence/status/999723840409407489", "999723840409407489")</f>
        <v/>
      </c>
      <c r="B1462" s="2" t="n">
        <v>43244.7837037037</v>
      </c>
      <c r="C1462" t="n">
        <v>0</v>
      </c>
      <c r="D1462" t="n">
        <v>203</v>
      </c>
      <c r="E1462" t="s">
        <v>1470</v>
      </c>
      <c r="F1462" t="s"/>
      <c r="G1462" t="s"/>
      <c r="H1462" t="s"/>
      <c r="I1462" t="s"/>
      <c r="J1462" t="n">
        <v>0.8567</v>
      </c>
      <c r="K1462" t="n">
        <v>0</v>
      </c>
      <c r="L1462" t="n">
        <v>0.668</v>
      </c>
      <c r="M1462" t="n">
        <v>0.332</v>
      </c>
    </row>
    <row r="1463" spans="1:13">
      <c r="A1463" s="1">
        <f>HYPERLINK("http://www.twitter.com/NathanBLawrence/status/999723576533057536", "999723576533057536")</f>
        <v/>
      </c>
      <c r="B1463" s="2" t="n">
        <v>43244.78297453704</v>
      </c>
      <c r="C1463" t="n">
        <v>0</v>
      </c>
      <c r="D1463" t="n">
        <v>1457</v>
      </c>
      <c r="E1463" t="s">
        <v>1471</v>
      </c>
      <c r="F1463" t="s"/>
      <c r="G1463" t="s"/>
      <c r="H1463" t="s"/>
      <c r="I1463" t="s"/>
      <c r="J1463" t="n">
        <v>-0.4019</v>
      </c>
      <c r="K1463" t="n">
        <v>0.114</v>
      </c>
      <c r="L1463" t="n">
        <v>0.886</v>
      </c>
      <c r="M1463" t="n">
        <v>0</v>
      </c>
    </row>
    <row r="1464" spans="1:13">
      <c r="A1464" s="1">
        <f>HYPERLINK("http://www.twitter.com/NathanBLawrence/status/999723495704662017", "999723495704662017")</f>
        <v/>
      </c>
      <c r="B1464" s="2" t="n">
        <v>43244.78274305556</v>
      </c>
      <c r="C1464" t="n">
        <v>0</v>
      </c>
      <c r="D1464" t="n">
        <v>457</v>
      </c>
      <c r="E1464" t="s">
        <v>1472</v>
      </c>
      <c r="F1464" t="s"/>
      <c r="G1464" t="s"/>
      <c r="H1464" t="s"/>
      <c r="I1464" t="s"/>
      <c r="J1464" t="n">
        <v>0</v>
      </c>
      <c r="K1464" t="n">
        <v>0</v>
      </c>
      <c r="L1464" t="n">
        <v>1</v>
      </c>
      <c r="M1464" t="n">
        <v>0</v>
      </c>
    </row>
    <row r="1465" spans="1:13">
      <c r="A1465" s="1">
        <f>HYPERLINK("http://www.twitter.com/NathanBLawrence/status/999723466260664320", "999723466260664320")</f>
        <v/>
      </c>
      <c r="B1465" s="2" t="n">
        <v>43244.78266203704</v>
      </c>
      <c r="C1465" t="n">
        <v>0</v>
      </c>
      <c r="D1465" t="n">
        <v>1</v>
      </c>
      <c r="E1465" t="s">
        <v>1473</v>
      </c>
      <c r="F1465" t="s"/>
      <c r="G1465" t="s"/>
      <c r="H1465" t="s"/>
      <c r="I1465" t="s"/>
      <c r="J1465" t="n">
        <v>0.5859</v>
      </c>
      <c r="K1465" t="n">
        <v>0</v>
      </c>
      <c r="L1465" t="n">
        <v>0.759</v>
      </c>
      <c r="M1465" t="n">
        <v>0.241</v>
      </c>
    </row>
    <row r="1466" spans="1:13">
      <c r="A1466" s="1">
        <f>HYPERLINK("http://www.twitter.com/NathanBLawrence/status/999716877277564928", "999716877277564928")</f>
        <v/>
      </c>
      <c r="B1466" s="2" t="n">
        <v>43244.76449074074</v>
      </c>
      <c r="C1466" t="n">
        <v>0</v>
      </c>
      <c r="D1466" t="n">
        <v>1</v>
      </c>
      <c r="E1466" t="s">
        <v>1474</v>
      </c>
      <c r="F1466" t="s"/>
      <c r="G1466" t="s"/>
      <c r="H1466" t="s"/>
      <c r="I1466" t="s"/>
      <c r="J1466" t="n">
        <v>0.34</v>
      </c>
      <c r="K1466" t="n">
        <v>0</v>
      </c>
      <c r="L1466" t="n">
        <v>0.844</v>
      </c>
      <c r="M1466" t="n">
        <v>0.156</v>
      </c>
    </row>
    <row r="1467" spans="1:13">
      <c r="A1467" s="1">
        <f>HYPERLINK("http://www.twitter.com/NathanBLawrence/status/999716736533450754", "999716736533450754")</f>
        <v/>
      </c>
      <c r="B1467" s="2" t="n">
        <v>43244.76409722222</v>
      </c>
      <c r="C1467" t="n">
        <v>0</v>
      </c>
      <c r="D1467" t="n">
        <v>4</v>
      </c>
      <c r="E1467" t="s">
        <v>1475</v>
      </c>
      <c r="F1467" t="s"/>
      <c r="G1467" t="s"/>
      <c r="H1467" t="s"/>
      <c r="I1467" t="s"/>
      <c r="J1467" t="n">
        <v>0.3818</v>
      </c>
      <c r="K1467" t="n">
        <v>0.07099999999999999</v>
      </c>
      <c r="L1467" t="n">
        <v>0.774</v>
      </c>
      <c r="M1467" t="n">
        <v>0.155</v>
      </c>
    </row>
    <row r="1468" spans="1:13">
      <c r="A1468" s="1">
        <f>HYPERLINK("http://www.twitter.com/NathanBLawrence/status/999716424867250176", "999716424867250176")</f>
        <v/>
      </c>
      <c r="B1468" s="2" t="n">
        <v>43244.76324074074</v>
      </c>
      <c r="C1468" t="n">
        <v>0</v>
      </c>
      <c r="D1468" t="n">
        <v>1</v>
      </c>
      <c r="E1468" t="s">
        <v>1476</v>
      </c>
      <c r="F1468" t="s"/>
      <c r="G1468" t="s"/>
      <c r="H1468" t="s"/>
      <c r="I1468" t="s"/>
      <c r="J1468" t="n">
        <v>0</v>
      </c>
      <c r="K1468" t="n">
        <v>0</v>
      </c>
      <c r="L1468" t="n">
        <v>1</v>
      </c>
      <c r="M1468" t="n">
        <v>0</v>
      </c>
    </row>
    <row r="1469" spans="1:13">
      <c r="A1469" s="1">
        <f>HYPERLINK("http://www.twitter.com/NathanBLawrence/status/999716294772576256", "999716294772576256")</f>
        <v/>
      </c>
      <c r="B1469" s="2" t="n">
        <v>43244.76288194444</v>
      </c>
      <c r="C1469" t="n">
        <v>0</v>
      </c>
      <c r="D1469" t="n">
        <v>1</v>
      </c>
      <c r="E1469" t="s">
        <v>1477</v>
      </c>
      <c r="F1469" t="s"/>
      <c r="G1469" t="s"/>
      <c r="H1469" t="s"/>
      <c r="I1469" t="s"/>
      <c r="J1469" t="n">
        <v>-0.3535</v>
      </c>
      <c r="K1469" t="n">
        <v>0.115</v>
      </c>
      <c r="L1469" t="n">
        <v>0.885</v>
      </c>
      <c r="M1469" t="n">
        <v>0</v>
      </c>
    </row>
    <row r="1470" spans="1:13">
      <c r="A1470" s="1">
        <f>HYPERLINK("http://www.twitter.com/NathanBLawrence/status/999716257829150722", "999716257829150722")</f>
        <v/>
      </c>
      <c r="B1470" s="2" t="n">
        <v>43244.76277777777</v>
      </c>
      <c r="C1470" t="n">
        <v>0</v>
      </c>
      <c r="D1470" t="n">
        <v>1</v>
      </c>
      <c r="E1470" t="s">
        <v>1478</v>
      </c>
      <c r="F1470" t="s"/>
      <c r="G1470" t="s"/>
      <c r="H1470" t="s"/>
      <c r="I1470" t="s"/>
      <c r="J1470" t="n">
        <v>0.4939</v>
      </c>
      <c r="K1470" t="n">
        <v>0</v>
      </c>
      <c r="L1470" t="n">
        <v>0.873</v>
      </c>
      <c r="M1470" t="n">
        <v>0.127</v>
      </c>
    </row>
    <row r="1471" spans="1:13">
      <c r="A1471" s="1">
        <f>HYPERLINK("http://www.twitter.com/NathanBLawrence/status/999716163197263873", "999716163197263873")</f>
        <v/>
      </c>
      <c r="B1471" s="2" t="n">
        <v>43244.76251157407</v>
      </c>
      <c r="C1471" t="n">
        <v>0</v>
      </c>
      <c r="D1471" t="n">
        <v>147</v>
      </c>
      <c r="E1471" t="s">
        <v>1479</v>
      </c>
      <c r="F1471">
        <f>HYPERLINK("http://pbs.twimg.com/media/Dd981J0VwAEaU4c.jpg", "http://pbs.twimg.com/media/Dd981J0VwAEaU4c.jpg")</f>
        <v/>
      </c>
      <c r="G1471" t="s"/>
      <c r="H1471" t="s"/>
      <c r="I1471" t="s"/>
      <c r="J1471" t="n">
        <v>0.2023</v>
      </c>
      <c r="K1471" t="n">
        <v>0.08400000000000001</v>
      </c>
      <c r="L1471" t="n">
        <v>0.796</v>
      </c>
      <c r="M1471" t="n">
        <v>0.119</v>
      </c>
    </row>
    <row r="1472" spans="1:13">
      <c r="A1472" s="1">
        <f>HYPERLINK("http://www.twitter.com/NathanBLawrence/status/999716139658891265", "999716139658891265")</f>
        <v/>
      </c>
      <c r="B1472" s="2" t="n">
        <v>43244.7624537037</v>
      </c>
      <c r="C1472" t="n">
        <v>0</v>
      </c>
      <c r="D1472" t="n">
        <v>1</v>
      </c>
      <c r="E1472" t="s">
        <v>1480</v>
      </c>
      <c r="F1472" t="s"/>
      <c r="G1472" t="s"/>
      <c r="H1472" t="s"/>
      <c r="I1472" t="s"/>
      <c r="J1472" t="n">
        <v>0</v>
      </c>
      <c r="K1472" t="n">
        <v>0</v>
      </c>
      <c r="L1472" t="n">
        <v>1</v>
      </c>
      <c r="M1472" t="n">
        <v>0</v>
      </c>
    </row>
    <row r="1473" spans="1:13">
      <c r="A1473" s="1">
        <f>HYPERLINK("http://www.twitter.com/NathanBLawrence/status/999715916500946946", "999715916500946946")</f>
        <v/>
      </c>
      <c r="B1473" s="2" t="n">
        <v>43244.7618287037</v>
      </c>
      <c r="C1473" t="n">
        <v>0</v>
      </c>
      <c r="D1473" t="n">
        <v>6</v>
      </c>
      <c r="E1473" t="s">
        <v>1481</v>
      </c>
      <c r="F1473" t="s"/>
      <c r="G1473" t="s"/>
      <c r="H1473" t="s"/>
      <c r="I1473" t="s"/>
      <c r="J1473" t="n">
        <v>-0.5239</v>
      </c>
      <c r="K1473" t="n">
        <v>0.133</v>
      </c>
      <c r="L1473" t="n">
        <v>0.867</v>
      </c>
      <c r="M1473" t="n">
        <v>0</v>
      </c>
    </row>
    <row r="1474" spans="1:13">
      <c r="A1474" s="1">
        <f>HYPERLINK("http://www.twitter.com/NathanBLawrence/status/999715881709133824", "999715881709133824")</f>
        <v/>
      </c>
      <c r="B1474" s="2" t="n">
        <v>43244.76173611111</v>
      </c>
      <c r="C1474" t="n">
        <v>0</v>
      </c>
      <c r="D1474" t="n">
        <v>2</v>
      </c>
      <c r="E1474" t="s">
        <v>1482</v>
      </c>
      <c r="F1474" t="s"/>
      <c r="G1474" t="s"/>
      <c r="H1474" t="s"/>
      <c r="I1474" t="s"/>
      <c r="J1474" t="n">
        <v>0.4153</v>
      </c>
      <c r="K1474" t="n">
        <v>0.079</v>
      </c>
      <c r="L1474" t="n">
        <v>0.781</v>
      </c>
      <c r="M1474" t="n">
        <v>0.139</v>
      </c>
    </row>
    <row r="1475" spans="1:13">
      <c r="A1475" s="1">
        <f>HYPERLINK("http://www.twitter.com/NathanBLawrence/status/999713571603910658", "999713571603910658")</f>
        <v/>
      </c>
      <c r="B1475" s="2" t="n">
        <v>43244.7553587963</v>
      </c>
      <c r="C1475" t="n">
        <v>0</v>
      </c>
      <c r="D1475" t="n">
        <v>2</v>
      </c>
      <c r="E1475" t="s">
        <v>1483</v>
      </c>
      <c r="F1475" t="s"/>
      <c r="G1475" t="s"/>
      <c r="H1475" t="s"/>
      <c r="I1475" t="s"/>
      <c r="J1475" t="n">
        <v>0.4588</v>
      </c>
      <c r="K1475" t="n">
        <v>0</v>
      </c>
      <c r="L1475" t="n">
        <v>0.889</v>
      </c>
      <c r="M1475" t="n">
        <v>0.111</v>
      </c>
    </row>
    <row r="1476" spans="1:13">
      <c r="A1476" s="1">
        <f>HYPERLINK("http://www.twitter.com/NathanBLawrence/status/999713469065846784", "999713469065846784")</f>
        <v/>
      </c>
      <c r="B1476" s="2" t="n">
        <v>43244.75508101852</v>
      </c>
      <c r="C1476" t="n">
        <v>0</v>
      </c>
      <c r="D1476" t="n">
        <v>1</v>
      </c>
      <c r="E1476" t="s">
        <v>1484</v>
      </c>
      <c r="F1476" t="s"/>
      <c r="G1476" t="s"/>
      <c r="H1476" t="s"/>
      <c r="I1476" t="s"/>
      <c r="J1476" t="n">
        <v>0.5165</v>
      </c>
      <c r="K1476" t="n">
        <v>0</v>
      </c>
      <c r="L1476" t="n">
        <v>0.827</v>
      </c>
      <c r="M1476" t="n">
        <v>0.173</v>
      </c>
    </row>
    <row r="1477" spans="1:13">
      <c r="A1477" s="1">
        <f>HYPERLINK("http://www.twitter.com/NathanBLawrence/status/999713427831558144", "999713427831558144")</f>
        <v/>
      </c>
      <c r="B1477" s="2" t="n">
        <v>43244.75496527777</v>
      </c>
      <c r="C1477" t="n">
        <v>0</v>
      </c>
      <c r="D1477" t="n">
        <v>33</v>
      </c>
      <c r="E1477" t="s">
        <v>1485</v>
      </c>
      <c r="F1477" t="s"/>
      <c r="G1477" t="s"/>
      <c r="H1477" t="s"/>
      <c r="I1477" t="s"/>
      <c r="J1477" t="n">
        <v>0.4404</v>
      </c>
      <c r="K1477" t="n">
        <v>0</v>
      </c>
      <c r="L1477" t="n">
        <v>0.892</v>
      </c>
      <c r="M1477" t="n">
        <v>0.108</v>
      </c>
    </row>
    <row r="1478" spans="1:13">
      <c r="A1478" s="1">
        <f>HYPERLINK("http://www.twitter.com/NathanBLawrence/status/999711364389265408", "999711364389265408")</f>
        <v/>
      </c>
      <c r="B1478" s="2" t="n">
        <v>43244.74927083333</v>
      </c>
      <c r="C1478" t="n">
        <v>0</v>
      </c>
      <c r="D1478" t="n">
        <v>52</v>
      </c>
      <c r="E1478" t="s">
        <v>1486</v>
      </c>
      <c r="F1478" t="s"/>
      <c r="G1478" t="s"/>
      <c r="H1478" t="s"/>
      <c r="I1478" t="s"/>
      <c r="J1478" t="n">
        <v>0.5499000000000001</v>
      </c>
      <c r="K1478" t="n">
        <v>0</v>
      </c>
      <c r="L1478" t="n">
        <v>0.725</v>
      </c>
      <c r="M1478" t="n">
        <v>0.275</v>
      </c>
    </row>
    <row r="1479" spans="1:13">
      <c r="A1479" s="1">
        <f>HYPERLINK("http://www.twitter.com/NathanBLawrence/status/999711283804073984", "999711283804073984")</f>
        <v/>
      </c>
      <c r="B1479" s="2" t="n">
        <v>43244.74905092592</v>
      </c>
      <c r="C1479" t="n">
        <v>0</v>
      </c>
      <c r="D1479" t="n">
        <v>99</v>
      </c>
      <c r="E1479" t="s">
        <v>1487</v>
      </c>
      <c r="F1479" t="s"/>
      <c r="G1479" t="s"/>
      <c r="H1479" t="s"/>
      <c r="I1479" t="s"/>
      <c r="J1479" t="n">
        <v>0.7269</v>
      </c>
      <c r="K1479" t="n">
        <v>0.138</v>
      </c>
      <c r="L1479" t="n">
        <v>0.548</v>
      </c>
      <c r="M1479" t="n">
        <v>0.314</v>
      </c>
    </row>
    <row r="1480" spans="1:13">
      <c r="A1480" s="1">
        <f>HYPERLINK("http://www.twitter.com/NathanBLawrence/status/999711248869666816", "999711248869666816")</f>
        <v/>
      </c>
      <c r="B1480" s="2" t="n">
        <v>43244.74895833333</v>
      </c>
      <c r="C1480" t="n">
        <v>0</v>
      </c>
      <c r="D1480" t="n">
        <v>173</v>
      </c>
      <c r="E1480" t="s">
        <v>1488</v>
      </c>
      <c r="F1480" t="s"/>
      <c r="G1480" t="s"/>
      <c r="H1480" t="s"/>
      <c r="I1480" t="s"/>
      <c r="J1480" t="n">
        <v>0.7964</v>
      </c>
      <c r="K1480" t="n">
        <v>0</v>
      </c>
      <c r="L1480" t="n">
        <v>0.705</v>
      </c>
      <c r="M1480" t="n">
        <v>0.295</v>
      </c>
    </row>
    <row r="1481" spans="1:13">
      <c r="A1481" s="1">
        <f>HYPERLINK("http://www.twitter.com/NathanBLawrence/status/999701793952149504", "999701793952149504")</f>
        <v/>
      </c>
      <c r="B1481" s="2" t="n">
        <v>43244.7228587963</v>
      </c>
      <c r="C1481" t="n">
        <v>0</v>
      </c>
      <c r="D1481" t="n">
        <v>3</v>
      </c>
      <c r="E1481" t="s">
        <v>1489</v>
      </c>
      <c r="F1481" t="s"/>
      <c r="G1481" t="s"/>
      <c r="H1481" t="s"/>
      <c r="I1481" t="s"/>
      <c r="J1481" t="n">
        <v>0</v>
      </c>
      <c r="K1481" t="n">
        <v>0</v>
      </c>
      <c r="L1481" t="n">
        <v>1</v>
      </c>
      <c r="M1481" t="n">
        <v>0</v>
      </c>
    </row>
    <row r="1482" spans="1:13">
      <c r="A1482" s="1">
        <f>HYPERLINK("http://www.twitter.com/NathanBLawrence/status/999700936426704896", "999700936426704896")</f>
        <v/>
      </c>
      <c r="B1482" s="2" t="n">
        <v>43244.72049768519</v>
      </c>
      <c r="C1482" t="n">
        <v>0</v>
      </c>
      <c r="D1482" t="n">
        <v>1</v>
      </c>
      <c r="E1482" t="s">
        <v>1490</v>
      </c>
      <c r="F1482" t="s"/>
      <c r="G1482" t="s"/>
      <c r="H1482" t="s"/>
      <c r="I1482" t="s"/>
      <c r="J1482" t="n">
        <v>0.6996</v>
      </c>
      <c r="K1482" t="n">
        <v>0</v>
      </c>
      <c r="L1482" t="n">
        <v>0.746</v>
      </c>
      <c r="M1482" t="n">
        <v>0.254</v>
      </c>
    </row>
    <row r="1483" spans="1:13">
      <c r="A1483" s="1">
        <f>HYPERLINK("http://www.twitter.com/NathanBLawrence/status/999700909528633344", "999700909528633344")</f>
        <v/>
      </c>
      <c r="B1483" s="2" t="n">
        <v>43244.72042824074</v>
      </c>
      <c r="C1483" t="n">
        <v>0</v>
      </c>
      <c r="D1483" t="n">
        <v>2</v>
      </c>
      <c r="E1483" t="s">
        <v>1491</v>
      </c>
      <c r="F1483" t="s"/>
      <c r="G1483" t="s"/>
      <c r="H1483" t="s"/>
      <c r="I1483" t="s"/>
      <c r="J1483" t="n">
        <v>0.5423</v>
      </c>
      <c r="K1483" t="n">
        <v>0</v>
      </c>
      <c r="L1483" t="n">
        <v>0.8</v>
      </c>
      <c r="M1483" t="n">
        <v>0.2</v>
      </c>
    </row>
    <row r="1484" spans="1:13">
      <c r="A1484" s="1">
        <f>HYPERLINK("http://www.twitter.com/NathanBLawrence/status/999700893527396352", "999700893527396352")</f>
        <v/>
      </c>
      <c r="B1484" s="2" t="n">
        <v>43244.72038194445</v>
      </c>
      <c r="C1484" t="n">
        <v>0</v>
      </c>
      <c r="D1484" t="n">
        <v>1</v>
      </c>
      <c r="E1484" t="s">
        <v>1492</v>
      </c>
      <c r="F1484" t="s"/>
      <c r="G1484" t="s"/>
      <c r="H1484" t="s"/>
      <c r="I1484" t="s"/>
      <c r="J1484" t="n">
        <v>0.128</v>
      </c>
      <c r="K1484" t="n">
        <v>0.08799999999999999</v>
      </c>
      <c r="L1484" t="n">
        <v>0.803</v>
      </c>
      <c r="M1484" t="n">
        <v>0.108</v>
      </c>
    </row>
    <row r="1485" spans="1:13">
      <c r="A1485" s="1">
        <f>HYPERLINK("http://www.twitter.com/NathanBLawrence/status/999700862300717056", "999700862300717056")</f>
        <v/>
      </c>
      <c r="B1485" s="2" t="n">
        <v>43244.72028935186</v>
      </c>
      <c r="C1485" t="n">
        <v>0</v>
      </c>
      <c r="D1485" t="n">
        <v>10</v>
      </c>
      <c r="E1485" t="s">
        <v>1493</v>
      </c>
      <c r="F1485" t="s"/>
      <c r="G1485" t="s"/>
      <c r="H1485" t="s"/>
      <c r="I1485" t="s"/>
      <c r="J1485" t="n">
        <v>0.828</v>
      </c>
      <c r="K1485" t="n">
        <v>0</v>
      </c>
      <c r="L1485" t="n">
        <v>0.74</v>
      </c>
      <c r="M1485" t="n">
        <v>0.26</v>
      </c>
    </row>
    <row r="1486" spans="1:13">
      <c r="A1486" s="1">
        <f>HYPERLINK("http://www.twitter.com/NathanBLawrence/status/999700757409619969", "999700757409619969")</f>
        <v/>
      </c>
      <c r="B1486" s="2" t="n">
        <v>43244.72</v>
      </c>
      <c r="C1486" t="n">
        <v>0</v>
      </c>
      <c r="D1486" t="n">
        <v>6</v>
      </c>
      <c r="E1486" t="s">
        <v>1494</v>
      </c>
      <c r="F1486" t="s"/>
      <c r="G1486" t="s"/>
      <c r="H1486" t="s"/>
      <c r="I1486" t="s"/>
      <c r="J1486" t="n">
        <v>-0.1027</v>
      </c>
      <c r="K1486" t="n">
        <v>0.214</v>
      </c>
      <c r="L1486" t="n">
        <v>0.636</v>
      </c>
      <c r="M1486" t="n">
        <v>0.15</v>
      </c>
    </row>
    <row r="1487" spans="1:13">
      <c r="A1487" s="1">
        <f>HYPERLINK("http://www.twitter.com/NathanBLawrence/status/999700729475620867", "999700729475620867")</f>
        <v/>
      </c>
      <c r="B1487" s="2" t="n">
        <v>43244.71993055556</v>
      </c>
      <c r="C1487" t="n">
        <v>0</v>
      </c>
      <c r="D1487" t="n">
        <v>4</v>
      </c>
      <c r="E1487" t="s">
        <v>1495</v>
      </c>
      <c r="F1487" t="s"/>
      <c r="G1487" t="s"/>
      <c r="H1487" t="s"/>
      <c r="I1487" t="s"/>
      <c r="J1487" t="n">
        <v>0.4389</v>
      </c>
      <c r="K1487" t="n">
        <v>0.126</v>
      </c>
      <c r="L1487" t="n">
        <v>0.603</v>
      </c>
      <c r="M1487" t="n">
        <v>0.271</v>
      </c>
    </row>
    <row r="1488" spans="1:13">
      <c r="A1488" s="1">
        <f>HYPERLINK("http://www.twitter.com/NathanBLawrence/status/999700686182010880", "999700686182010880")</f>
        <v/>
      </c>
      <c r="B1488" s="2" t="n">
        <v>43244.71980324074</v>
      </c>
      <c r="C1488" t="n">
        <v>0</v>
      </c>
      <c r="D1488" t="n">
        <v>3</v>
      </c>
      <c r="E1488" t="s">
        <v>1496</v>
      </c>
      <c r="F1488" t="s"/>
      <c r="G1488" t="s"/>
      <c r="H1488" t="s"/>
      <c r="I1488" t="s"/>
      <c r="J1488" t="n">
        <v>0.6351</v>
      </c>
      <c r="K1488" t="n">
        <v>0</v>
      </c>
      <c r="L1488" t="n">
        <v>0.8110000000000001</v>
      </c>
      <c r="M1488" t="n">
        <v>0.189</v>
      </c>
    </row>
    <row r="1489" spans="1:13">
      <c r="A1489" s="1">
        <f>HYPERLINK("http://www.twitter.com/NathanBLawrence/status/999688981930545152", "999688981930545152")</f>
        <v/>
      </c>
      <c r="B1489" s="2" t="n">
        <v>43244.68751157408</v>
      </c>
      <c r="C1489" t="n">
        <v>2</v>
      </c>
      <c r="D1489" t="n">
        <v>0</v>
      </c>
      <c r="E1489" t="s">
        <v>1497</v>
      </c>
      <c r="F1489" t="s"/>
      <c r="G1489" t="s"/>
      <c r="H1489" t="s"/>
      <c r="I1489" t="s"/>
      <c r="J1489" t="n">
        <v>0.6705</v>
      </c>
      <c r="K1489" t="n">
        <v>0</v>
      </c>
      <c r="L1489" t="n">
        <v>0.766</v>
      </c>
      <c r="M1489" t="n">
        <v>0.234</v>
      </c>
    </row>
    <row r="1490" spans="1:13">
      <c r="A1490" s="1">
        <f>HYPERLINK("http://www.twitter.com/NathanBLawrence/status/999688599028289536", "999688599028289536")</f>
        <v/>
      </c>
      <c r="B1490" s="2" t="n">
        <v>43244.68644675926</v>
      </c>
      <c r="C1490" t="n">
        <v>0</v>
      </c>
      <c r="D1490" t="n">
        <v>113</v>
      </c>
      <c r="E1490" t="s">
        <v>1498</v>
      </c>
      <c r="F1490" t="s"/>
      <c r="G1490" t="s"/>
      <c r="H1490" t="s"/>
      <c r="I1490" t="s"/>
      <c r="J1490" t="n">
        <v>0</v>
      </c>
      <c r="K1490" t="n">
        <v>0</v>
      </c>
      <c r="L1490" t="n">
        <v>1</v>
      </c>
      <c r="M1490" t="n">
        <v>0</v>
      </c>
    </row>
    <row r="1491" spans="1:13">
      <c r="A1491" s="1">
        <f>HYPERLINK("http://www.twitter.com/NathanBLawrence/status/999688564110741504", "999688564110741504")</f>
        <v/>
      </c>
      <c r="B1491" s="2" t="n">
        <v>43244.68635416667</v>
      </c>
      <c r="C1491" t="n">
        <v>0</v>
      </c>
      <c r="D1491" t="n">
        <v>242</v>
      </c>
      <c r="E1491" t="s">
        <v>1499</v>
      </c>
      <c r="F1491">
        <f>HYPERLINK("http://pbs.twimg.com/media/DdPoaJxX0AEBkrZ.jpg", "http://pbs.twimg.com/media/DdPoaJxX0AEBkrZ.jpg")</f>
        <v/>
      </c>
      <c r="G1491" t="s"/>
      <c r="H1491" t="s"/>
      <c r="I1491" t="s"/>
      <c r="J1491" t="n">
        <v>0.3182</v>
      </c>
      <c r="K1491" t="n">
        <v>0</v>
      </c>
      <c r="L1491" t="n">
        <v>0.881</v>
      </c>
      <c r="M1491" t="n">
        <v>0.119</v>
      </c>
    </row>
    <row r="1492" spans="1:13">
      <c r="A1492" s="1">
        <f>HYPERLINK("http://www.twitter.com/NathanBLawrence/status/999683605252263936", "999683605252263936")</f>
        <v/>
      </c>
      <c r="B1492" s="2" t="n">
        <v>43244.67267361111</v>
      </c>
      <c r="C1492" t="n">
        <v>0</v>
      </c>
      <c r="D1492" t="n">
        <v>13</v>
      </c>
      <c r="E1492" t="s">
        <v>1500</v>
      </c>
      <c r="F1492" t="s"/>
      <c r="G1492" t="s"/>
      <c r="H1492" t="s"/>
      <c r="I1492" t="s"/>
      <c r="J1492" t="n">
        <v>-0.7003</v>
      </c>
      <c r="K1492" t="n">
        <v>0.254</v>
      </c>
      <c r="L1492" t="n">
        <v>0.746</v>
      </c>
      <c r="M1492" t="n">
        <v>0</v>
      </c>
    </row>
    <row r="1493" spans="1:13">
      <c r="A1493" s="1">
        <f>HYPERLINK("http://www.twitter.com/NathanBLawrence/status/999683072860868609", "999683072860868609")</f>
        <v/>
      </c>
      <c r="B1493" s="2" t="n">
        <v>43244.67120370371</v>
      </c>
      <c r="C1493" t="n">
        <v>0</v>
      </c>
      <c r="D1493" t="n">
        <v>0</v>
      </c>
      <c r="E1493" t="s">
        <v>1501</v>
      </c>
      <c r="F1493" t="s"/>
      <c r="G1493" t="s"/>
      <c r="H1493" t="s"/>
      <c r="I1493" t="s"/>
      <c r="J1493" t="n">
        <v>0</v>
      </c>
      <c r="K1493" t="n">
        <v>0</v>
      </c>
      <c r="L1493" t="n">
        <v>1</v>
      </c>
      <c r="M1493" t="n">
        <v>0</v>
      </c>
    </row>
    <row r="1494" spans="1:13">
      <c r="A1494" s="1">
        <f>HYPERLINK("http://www.twitter.com/NathanBLawrence/status/999679150502875136", "999679150502875136")</f>
        <v/>
      </c>
      <c r="B1494" s="2" t="n">
        <v>43244.66038194444</v>
      </c>
      <c r="C1494" t="n">
        <v>0</v>
      </c>
      <c r="D1494" t="n">
        <v>4</v>
      </c>
      <c r="E1494" t="s">
        <v>1502</v>
      </c>
      <c r="F1494" t="s"/>
      <c r="G1494" t="s"/>
      <c r="H1494" t="s"/>
      <c r="I1494" t="s"/>
      <c r="J1494" t="n">
        <v>-0.5266999999999999</v>
      </c>
      <c r="K1494" t="n">
        <v>0.175</v>
      </c>
      <c r="L1494" t="n">
        <v>0.825</v>
      </c>
      <c r="M1494" t="n">
        <v>0</v>
      </c>
    </row>
    <row r="1495" spans="1:13">
      <c r="A1495" s="1">
        <f>HYPERLINK("http://www.twitter.com/NathanBLawrence/status/999679080890011648", "999679080890011648")</f>
        <v/>
      </c>
      <c r="B1495" s="2" t="n">
        <v>43244.66018518519</v>
      </c>
      <c r="C1495" t="n">
        <v>0</v>
      </c>
      <c r="D1495" t="n">
        <v>381</v>
      </c>
      <c r="E1495" t="s">
        <v>1503</v>
      </c>
      <c r="F1495" t="s"/>
      <c r="G1495" t="s"/>
      <c r="H1495" t="s"/>
      <c r="I1495" t="s"/>
      <c r="J1495" t="n">
        <v>-0.6195000000000001</v>
      </c>
      <c r="K1495" t="n">
        <v>0.306</v>
      </c>
      <c r="L1495" t="n">
        <v>0.694</v>
      </c>
      <c r="M1495" t="n">
        <v>0</v>
      </c>
    </row>
    <row r="1496" spans="1:13">
      <c r="A1496" s="1">
        <f>HYPERLINK("http://www.twitter.com/NathanBLawrence/status/999677915624361984", "999677915624361984")</f>
        <v/>
      </c>
      <c r="B1496" s="2" t="n">
        <v>43244.65696759259</v>
      </c>
      <c r="C1496" t="n">
        <v>0</v>
      </c>
      <c r="D1496" t="n">
        <v>31274</v>
      </c>
      <c r="E1496" t="s">
        <v>1504</v>
      </c>
      <c r="F1496" t="s"/>
      <c r="G1496" t="s"/>
      <c r="H1496" t="s"/>
      <c r="I1496" t="s"/>
      <c r="J1496" t="n">
        <v>0.1027</v>
      </c>
      <c r="K1496" t="n">
        <v>0</v>
      </c>
      <c r="L1496" t="n">
        <v>0.9399999999999999</v>
      </c>
      <c r="M1496" t="n">
        <v>0.06</v>
      </c>
    </row>
    <row r="1497" spans="1:13">
      <c r="A1497" s="1">
        <f>HYPERLINK("http://www.twitter.com/NathanBLawrence/status/999677552728952832", "999677552728952832")</f>
        <v/>
      </c>
      <c r="B1497" s="2" t="n">
        <v>43244.65597222222</v>
      </c>
      <c r="C1497" t="n">
        <v>0</v>
      </c>
      <c r="D1497" t="n">
        <v>972</v>
      </c>
      <c r="E1497" t="s">
        <v>1505</v>
      </c>
      <c r="F1497" t="s"/>
      <c r="G1497" t="s"/>
      <c r="H1497" t="s"/>
      <c r="I1497" t="s"/>
      <c r="J1497" t="n">
        <v>0.4404</v>
      </c>
      <c r="K1497" t="n">
        <v>0</v>
      </c>
      <c r="L1497" t="n">
        <v>0.854</v>
      </c>
      <c r="M1497" t="n">
        <v>0.146</v>
      </c>
    </row>
    <row r="1498" spans="1:13">
      <c r="A1498" s="1">
        <f>HYPERLINK("http://www.twitter.com/NathanBLawrence/status/999674047876288512", "999674047876288512")</f>
        <v/>
      </c>
      <c r="B1498" s="2" t="n">
        <v>43244.6462962963</v>
      </c>
      <c r="C1498" t="n">
        <v>0</v>
      </c>
      <c r="D1498" t="n">
        <v>178</v>
      </c>
      <c r="E1498" t="s">
        <v>1506</v>
      </c>
      <c r="F1498">
        <f>HYPERLINK("http://pbs.twimg.com/media/Dd2AGVMVwAEcKSv.jpg", "http://pbs.twimg.com/media/Dd2AGVMVwAEcKSv.jpg")</f>
        <v/>
      </c>
      <c r="G1498" t="s"/>
      <c r="H1498" t="s"/>
      <c r="I1498" t="s"/>
      <c r="J1498" t="n">
        <v>0</v>
      </c>
      <c r="K1498" t="n">
        <v>0</v>
      </c>
      <c r="L1498" t="n">
        <v>1</v>
      </c>
      <c r="M1498" t="n">
        <v>0</v>
      </c>
    </row>
    <row r="1499" spans="1:13">
      <c r="A1499" s="1">
        <f>HYPERLINK("http://www.twitter.com/NathanBLawrence/status/999661373465485312", "999661373465485312")</f>
        <v/>
      </c>
      <c r="B1499" s="2" t="n">
        <v>43244.61131944445</v>
      </c>
      <c r="C1499" t="n">
        <v>0</v>
      </c>
      <c r="D1499" t="n">
        <v>1</v>
      </c>
      <c r="E1499" t="s">
        <v>1507</v>
      </c>
      <c r="F1499" t="s"/>
      <c r="G1499" t="s"/>
      <c r="H1499" t="s"/>
      <c r="I1499" t="s"/>
      <c r="J1499" t="n">
        <v>0</v>
      </c>
      <c r="K1499" t="n">
        <v>0</v>
      </c>
      <c r="L1499" t="n">
        <v>1</v>
      </c>
      <c r="M1499" t="n">
        <v>0</v>
      </c>
    </row>
    <row r="1500" spans="1:13">
      <c r="A1500" s="1">
        <f>HYPERLINK("http://www.twitter.com/NathanBLawrence/status/999661349818060801", "999661349818060801")</f>
        <v/>
      </c>
      <c r="B1500" s="2" t="n">
        <v>43244.61126157407</v>
      </c>
      <c r="C1500" t="n">
        <v>0</v>
      </c>
      <c r="D1500" t="n">
        <v>3</v>
      </c>
      <c r="E1500" t="s">
        <v>1508</v>
      </c>
      <c r="F1500" t="s"/>
      <c r="G1500" t="s"/>
      <c r="H1500" t="s"/>
      <c r="I1500" t="s"/>
      <c r="J1500" t="n">
        <v>0.4404</v>
      </c>
      <c r="K1500" t="n">
        <v>0</v>
      </c>
      <c r="L1500" t="n">
        <v>0.861</v>
      </c>
      <c r="M1500" t="n">
        <v>0.139</v>
      </c>
    </row>
    <row r="1501" spans="1:13">
      <c r="A1501" s="1">
        <f>HYPERLINK("http://www.twitter.com/NathanBLawrence/status/999661274345693190", "999661274345693190")</f>
        <v/>
      </c>
      <c r="B1501" s="2" t="n">
        <v>43244.61105324074</v>
      </c>
      <c r="C1501" t="n">
        <v>0</v>
      </c>
      <c r="D1501" t="n">
        <v>1</v>
      </c>
      <c r="E1501" t="s">
        <v>1509</v>
      </c>
      <c r="F1501" t="s"/>
      <c r="G1501" t="s"/>
      <c r="H1501" t="s"/>
      <c r="I1501" t="s"/>
      <c r="J1501" t="n">
        <v>0</v>
      </c>
      <c r="K1501" t="n">
        <v>0</v>
      </c>
      <c r="L1501" t="n">
        <v>1</v>
      </c>
      <c r="M1501" t="n">
        <v>0</v>
      </c>
    </row>
    <row r="1502" spans="1:13">
      <c r="A1502" s="1">
        <f>HYPERLINK("http://www.twitter.com/NathanBLawrence/status/999661151381319680", "999661151381319680")</f>
        <v/>
      </c>
      <c r="B1502" s="2" t="n">
        <v>43244.61070601852</v>
      </c>
      <c r="C1502" t="n">
        <v>0</v>
      </c>
      <c r="D1502" t="n">
        <v>2977</v>
      </c>
      <c r="E1502" t="s">
        <v>1510</v>
      </c>
      <c r="F1502" t="s"/>
      <c r="G1502" t="s"/>
      <c r="H1502" t="s"/>
      <c r="I1502" t="s"/>
      <c r="J1502" t="n">
        <v>-0.2732</v>
      </c>
      <c r="K1502" t="n">
        <v>0.113</v>
      </c>
      <c r="L1502" t="n">
        <v>0.8169999999999999</v>
      </c>
      <c r="M1502" t="n">
        <v>0.07000000000000001</v>
      </c>
    </row>
    <row r="1503" spans="1:13">
      <c r="A1503" s="1">
        <f>HYPERLINK("http://www.twitter.com/NathanBLawrence/status/999661119336861697", "999661119336861697")</f>
        <v/>
      </c>
      <c r="B1503" s="2" t="n">
        <v>43244.610625</v>
      </c>
      <c r="C1503" t="n">
        <v>0</v>
      </c>
      <c r="D1503" t="n">
        <v>3246</v>
      </c>
      <c r="E1503" t="s">
        <v>1511</v>
      </c>
      <c r="F1503" t="s"/>
      <c r="G1503" t="s"/>
      <c r="H1503" t="s"/>
      <c r="I1503" t="s"/>
      <c r="J1503" t="n">
        <v>-0.8176</v>
      </c>
      <c r="K1503" t="n">
        <v>0.273</v>
      </c>
      <c r="L1503" t="n">
        <v>0.727</v>
      </c>
      <c r="M1503" t="n">
        <v>0</v>
      </c>
    </row>
    <row r="1504" spans="1:13">
      <c r="A1504" s="1">
        <f>HYPERLINK("http://www.twitter.com/NathanBLawrence/status/999657686911332352", "999657686911332352")</f>
        <v/>
      </c>
      <c r="B1504" s="2" t="n">
        <v>43244.60114583333</v>
      </c>
      <c r="C1504" t="n">
        <v>0</v>
      </c>
      <c r="D1504" t="n">
        <v>0</v>
      </c>
      <c r="E1504" t="s">
        <v>1512</v>
      </c>
      <c r="F1504" t="s"/>
      <c r="G1504" t="s"/>
      <c r="H1504" t="s"/>
      <c r="I1504" t="s"/>
      <c r="J1504" t="n">
        <v>0</v>
      </c>
      <c r="K1504" t="n">
        <v>0</v>
      </c>
      <c r="L1504" t="n">
        <v>1</v>
      </c>
      <c r="M1504" t="n">
        <v>0</v>
      </c>
    </row>
    <row r="1505" spans="1:13">
      <c r="A1505" s="1">
        <f>HYPERLINK("http://www.twitter.com/NathanBLawrence/status/999656742626709504", "999656742626709504")</f>
        <v/>
      </c>
      <c r="B1505" s="2" t="n">
        <v>43244.59854166667</v>
      </c>
      <c r="C1505" t="n">
        <v>1</v>
      </c>
      <c r="D1505" t="n">
        <v>0</v>
      </c>
      <c r="E1505" t="s">
        <v>1513</v>
      </c>
      <c r="F1505" t="s"/>
      <c r="G1505" t="s"/>
      <c r="H1505" t="s"/>
      <c r="I1505" t="s"/>
      <c r="J1505" t="n">
        <v>-0.5266999999999999</v>
      </c>
      <c r="K1505" t="n">
        <v>0.129</v>
      </c>
      <c r="L1505" t="n">
        <v>0.822</v>
      </c>
      <c r="M1505" t="n">
        <v>0.049</v>
      </c>
    </row>
    <row r="1506" spans="1:13">
      <c r="A1506" s="1">
        <f>HYPERLINK("http://www.twitter.com/NathanBLawrence/status/999655348804968448", "999655348804968448")</f>
        <v/>
      </c>
      <c r="B1506" s="2" t="n">
        <v>43244.59469907408</v>
      </c>
      <c r="C1506" t="n">
        <v>0</v>
      </c>
      <c r="D1506" t="n">
        <v>0</v>
      </c>
      <c r="E1506" t="s">
        <v>1514</v>
      </c>
      <c r="F1506" t="s"/>
      <c r="G1506" t="s"/>
      <c r="H1506" t="s"/>
      <c r="I1506" t="s"/>
      <c r="J1506" t="n">
        <v>-0.7423999999999999</v>
      </c>
      <c r="K1506" t="n">
        <v>0.138</v>
      </c>
      <c r="L1506" t="n">
        <v>0.831</v>
      </c>
      <c r="M1506" t="n">
        <v>0.03</v>
      </c>
    </row>
    <row r="1507" spans="1:13">
      <c r="A1507" s="1">
        <f>HYPERLINK("http://www.twitter.com/NathanBLawrence/status/999654711383994369", "999654711383994369")</f>
        <v/>
      </c>
      <c r="B1507" s="2" t="n">
        <v>43244.59293981481</v>
      </c>
      <c r="C1507" t="n">
        <v>1</v>
      </c>
      <c r="D1507" t="n">
        <v>0</v>
      </c>
      <c r="E1507" t="s">
        <v>1515</v>
      </c>
      <c r="F1507" t="s"/>
      <c r="G1507" t="s"/>
      <c r="H1507" t="s"/>
      <c r="I1507" t="s"/>
      <c r="J1507" t="n">
        <v>0</v>
      </c>
      <c r="K1507" t="n">
        <v>0</v>
      </c>
      <c r="L1507" t="n">
        <v>1</v>
      </c>
      <c r="M1507" t="n">
        <v>0</v>
      </c>
    </row>
    <row r="1508" spans="1:13">
      <c r="A1508" s="1">
        <f>HYPERLINK("http://www.twitter.com/NathanBLawrence/status/999654477585113088", "999654477585113088")</f>
        <v/>
      </c>
      <c r="B1508" s="2" t="n">
        <v>43244.59229166667</v>
      </c>
      <c r="C1508" t="n">
        <v>0</v>
      </c>
      <c r="D1508" t="n">
        <v>5513</v>
      </c>
      <c r="E1508" t="s">
        <v>1516</v>
      </c>
      <c r="F1508" t="s"/>
      <c r="G1508" t="s"/>
      <c r="H1508" t="s"/>
      <c r="I1508" t="s"/>
      <c r="J1508" t="n">
        <v>-0.3291</v>
      </c>
      <c r="K1508" t="n">
        <v>0.097</v>
      </c>
      <c r="L1508" t="n">
        <v>0.903</v>
      </c>
      <c r="M1508" t="n">
        <v>0</v>
      </c>
    </row>
    <row r="1509" spans="1:13">
      <c r="A1509" s="1">
        <f>HYPERLINK("http://www.twitter.com/NathanBLawrence/status/999654434597687297", "999654434597687297")</f>
        <v/>
      </c>
      <c r="B1509" s="2" t="n">
        <v>43244.59217592593</v>
      </c>
      <c r="C1509" t="n">
        <v>0</v>
      </c>
      <c r="D1509" t="n">
        <v>12914</v>
      </c>
      <c r="E1509" t="s">
        <v>1517</v>
      </c>
      <c r="F1509">
        <f>HYPERLINK("http://pbs.twimg.com/media/Dd680O9VAAAuBY2.jpg", "http://pbs.twimg.com/media/Dd680O9VAAAuBY2.jpg")</f>
        <v/>
      </c>
      <c r="G1509" t="s"/>
      <c r="H1509" t="s"/>
      <c r="I1509" t="s"/>
      <c r="J1509" t="n">
        <v>0.6369</v>
      </c>
      <c r="K1509" t="n">
        <v>0</v>
      </c>
      <c r="L1509" t="n">
        <v>0.792</v>
      </c>
      <c r="M1509" t="n">
        <v>0.208</v>
      </c>
    </row>
    <row r="1510" spans="1:13">
      <c r="A1510" s="1">
        <f>HYPERLINK("http://www.twitter.com/NathanBLawrence/status/999654399348760577", "999654399348760577")</f>
        <v/>
      </c>
      <c r="B1510" s="2" t="n">
        <v>43244.59208333334</v>
      </c>
      <c r="C1510" t="n">
        <v>1</v>
      </c>
      <c r="D1510" t="n">
        <v>1</v>
      </c>
      <c r="E1510" t="s">
        <v>1518</v>
      </c>
      <c r="F1510" t="s"/>
      <c r="G1510" t="s"/>
      <c r="H1510" t="s"/>
      <c r="I1510" t="s"/>
      <c r="J1510" t="n">
        <v>0</v>
      </c>
      <c r="K1510" t="n">
        <v>0</v>
      </c>
      <c r="L1510" t="n">
        <v>1</v>
      </c>
      <c r="M1510" t="n">
        <v>0</v>
      </c>
    </row>
    <row r="1511" spans="1:13">
      <c r="A1511" s="1">
        <f>HYPERLINK("http://www.twitter.com/NathanBLawrence/status/999653962461663232", "999653962461663232")</f>
        <v/>
      </c>
      <c r="B1511" s="2" t="n">
        <v>43244.59086805556</v>
      </c>
      <c r="C1511" t="n">
        <v>0</v>
      </c>
      <c r="D1511" t="n">
        <v>0</v>
      </c>
      <c r="E1511" t="s">
        <v>1519</v>
      </c>
      <c r="F1511" t="s"/>
      <c r="G1511" t="s"/>
      <c r="H1511" t="s"/>
      <c r="I1511" t="s"/>
      <c r="J1511" t="n">
        <v>0.1007</v>
      </c>
      <c r="K1511" t="n">
        <v>0.064</v>
      </c>
      <c r="L1511" t="n">
        <v>0.86</v>
      </c>
      <c r="M1511" t="n">
        <v>0.076</v>
      </c>
    </row>
    <row r="1512" spans="1:13">
      <c r="A1512" s="1">
        <f>HYPERLINK("http://www.twitter.com/NathanBLawrence/status/999652647635472384", "999652647635472384")</f>
        <v/>
      </c>
      <c r="B1512" s="2" t="n">
        <v>43244.58724537037</v>
      </c>
      <c r="C1512" t="n">
        <v>0</v>
      </c>
      <c r="D1512" t="n">
        <v>1</v>
      </c>
      <c r="E1512" t="s">
        <v>1520</v>
      </c>
      <c r="F1512" t="s"/>
      <c r="G1512" t="s"/>
      <c r="H1512" t="s"/>
      <c r="I1512" t="s"/>
      <c r="J1512" t="n">
        <v>-0.6714</v>
      </c>
      <c r="K1512" t="n">
        <v>0.273</v>
      </c>
      <c r="L1512" t="n">
        <v>0.727</v>
      </c>
      <c r="M1512" t="n">
        <v>0</v>
      </c>
    </row>
    <row r="1513" spans="1:13">
      <c r="A1513" s="1">
        <f>HYPERLINK("http://www.twitter.com/NathanBLawrence/status/999652639620108288", "999652639620108288")</f>
        <v/>
      </c>
      <c r="B1513" s="2" t="n">
        <v>43244.58722222222</v>
      </c>
      <c r="C1513" t="n">
        <v>0</v>
      </c>
      <c r="D1513" t="n">
        <v>1776</v>
      </c>
      <c r="E1513" t="s">
        <v>1521</v>
      </c>
      <c r="F1513" t="s"/>
      <c r="G1513" t="s"/>
      <c r="H1513" t="s"/>
      <c r="I1513" t="s"/>
      <c r="J1513" t="n">
        <v>-0.1027</v>
      </c>
      <c r="K1513" t="n">
        <v>0.091</v>
      </c>
      <c r="L1513" t="n">
        <v>0.909</v>
      </c>
      <c r="M1513" t="n">
        <v>0</v>
      </c>
    </row>
    <row r="1514" spans="1:13">
      <c r="A1514" s="1">
        <f>HYPERLINK("http://www.twitter.com/NathanBLawrence/status/999652612176834560", "999652612176834560")</f>
        <v/>
      </c>
      <c r="B1514" s="2" t="n">
        <v>43244.58715277778</v>
      </c>
      <c r="C1514" t="n">
        <v>0</v>
      </c>
      <c r="D1514" t="n">
        <v>72</v>
      </c>
      <c r="E1514" t="s">
        <v>1522</v>
      </c>
      <c r="F1514" t="s"/>
      <c r="G1514" t="s"/>
      <c r="H1514" t="s"/>
      <c r="I1514" t="s"/>
      <c r="J1514" t="n">
        <v>-0.3818</v>
      </c>
      <c r="K1514" t="n">
        <v>0.098</v>
      </c>
      <c r="L1514" t="n">
        <v>0.902</v>
      </c>
      <c r="M1514" t="n">
        <v>0</v>
      </c>
    </row>
    <row r="1515" spans="1:13">
      <c r="A1515" s="1">
        <f>HYPERLINK("http://www.twitter.com/NathanBLawrence/status/999652183539929089", "999652183539929089")</f>
        <v/>
      </c>
      <c r="B1515" s="2" t="n">
        <v>43244.58596064815</v>
      </c>
      <c r="C1515" t="n">
        <v>1</v>
      </c>
      <c r="D1515" t="n">
        <v>0</v>
      </c>
      <c r="E1515" t="s">
        <v>1523</v>
      </c>
      <c r="F1515" t="s"/>
      <c r="G1515" t="s"/>
      <c r="H1515" t="s"/>
      <c r="I1515" t="s"/>
      <c r="J1515" t="n">
        <v>0.3595</v>
      </c>
      <c r="K1515" t="n">
        <v>0</v>
      </c>
      <c r="L1515" t="n">
        <v>0.865</v>
      </c>
      <c r="M1515" t="n">
        <v>0.135</v>
      </c>
    </row>
    <row r="1516" spans="1:13">
      <c r="A1516" s="1">
        <f>HYPERLINK("http://www.twitter.com/NathanBLawrence/status/999651804555116544", "999651804555116544")</f>
        <v/>
      </c>
      <c r="B1516" s="2" t="n">
        <v>43244.58491898148</v>
      </c>
      <c r="C1516" t="n">
        <v>0</v>
      </c>
      <c r="D1516" t="n">
        <v>2</v>
      </c>
      <c r="E1516" t="s">
        <v>1524</v>
      </c>
      <c r="F1516" t="s"/>
      <c r="G1516" t="s"/>
      <c r="H1516" t="s"/>
      <c r="I1516" t="s"/>
      <c r="J1516" t="n">
        <v>0.6679</v>
      </c>
      <c r="K1516" t="n">
        <v>0</v>
      </c>
      <c r="L1516" t="n">
        <v>0.785</v>
      </c>
      <c r="M1516" t="n">
        <v>0.215</v>
      </c>
    </row>
    <row r="1517" spans="1:13">
      <c r="A1517" s="1">
        <f>HYPERLINK("http://www.twitter.com/NathanBLawrence/status/999651773127196672", "999651773127196672")</f>
        <v/>
      </c>
      <c r="B1517" s="2" t="n">
        <v>43244.58483796296</v>
      </c>
      <c r="C1517" t="n">
        <v>0</v>
      </c>
      <c r="D1517" t="n">
        <v>2</v>
      </c>
      <c r="E1517" t="s">
        <v>1525</v>
      </c>
      <c r="F1517" t="s"/>
      <c r="G1517" t="s"/>
      <c r="H1517" t="s"/>
      <c r="I1517" t="s"/>
      <c r="J1517" t="n">
        <v>0.2003</v>
      </c>
      <c r="K1517" t="n">
        <v>0.103</v>
      </c>
      <c r="L1517" t="n">
        <v>0.764</v>
      </c>
      <c r="M1517" t="n">
        <v>0.133</v>
      </c>
    </row>
    <row r="1518" spans="1:13">
      <c r="A1518" s="1">
        <f>HYPERLINK("http://www.twitter.com/NathanBLawrence/status/999651680202510338", "999651680202510338")</f>
        <v/>
      </c>
      <c r="B1518" s="2" t="n">
        <v>43244.58457175926</v>
      </c>
      <c r="C1518" t="n">
        <v>0</v>
      </c>
      <c r="D1518" t="n">
        <v>13</v>
      </c>
      <c r="E1518" t="s">
        <v>1526</v>
      </c>
      <c r="F1518">
        <f>HYPERLINK("http://pbs.twimg.com/media/Dd5JnIgVMAA40ld.jpg", "http://pbs.twimg.com/media/Dd5JnIgVMAA40ld.jpg")</f>
        <v/>
      </c>
      <c r="G1518" t="s"/>
      <c r="H1518" t="s"/>
      <c r="I1518" t="s"/>
      <c r="J1518" t="n">
        <v>0.5859</v>
      </c>
      <c r="K1518" t="n">
        <v>0</v>
      </c>
      <c r="L1518" t="n">
        <v>0.826</v>
      </c>
      <c r="M1518" t="n">
        <v>0.174</v>
      </c>
    </row>
    <row r="1519" spans="1:13">
      <c r="A1519" s="1">
        <f>HYPERLINK("http://www.twitter.com/NathanBLawrence/status/999651581057536002", "999651581057536002")</f>
        <v/>
      </c>
      <c r="B1519" s="2" t="n">
        <v>43244.58430555555</v>
      </c>
      <c r="C1519" t="n">
        <v>0</v>
      </c>
      <c r="D1519" t="n">
        <v>553</v>
      </c>
      <c r="E1519" t="s">
        <v>1527</v>
      </c>
      <c r="F1519">
        <f>HYPERLINK("https://video.twimg.com/ext_tw_video/999470884355166208/pu/vid/1280x720/ByDChyqhokUopTPL.mp4?tag=3", "https://video.twimg.com/ext_tw_video/999470884355166208/pu/vid/1280x720/ByDChyqhokUopTPL.mp4?tag=3")</f>
        <v/>
      </c>
      <c r="G1519" t="s"/>
      <c r="H1519" t="s"/>
      <c r="I1519" t="s"/>
      <c r="J1519" t="n">
        <v>0</v>
      </c>
      <c r="K1519" t="n">
        <v>0</v>
      </c>
      <c r="L1519" t="n">
        <v>1</v>
      </c>
      <c r="M1519" t="n">
        <v>0</v>
      </c>
    </row>
    <row r="1520" spans="1:13">
      <c r="A1520" s="1">
        <f>HYPERLINK("http://www.twitter.com/NathanBLawrence/status/999651541295431680", "999651541295431680")</f>
        <v/>
      </c>
      <c r="B1520" s="2" t="n">
        <v>43244.58418981481</v>
      </c>
      <c r="C1520" t="n">
        <v>0</v>
      </c>
      <c r="D1520" t="n">
        <v>239</v>
      </c>
      <c r="E1520" t="s">
        <v>1528</v>
      </c>
      <c r="F1520">
        <f>HYPERLINK("http://pbs.twimg.com/media/Dd9vYupUwAE5MIt.jpg", "http://pbs.twimg.com/media/Dd9vYupUwAE5MIt.jpg")</f>
        <v/>
      </c>
      <c r="G1520" t="s"/>
      <c r="H1520" t="s"/>
      <c r="I1520" t="s"/>
      <c r="J1520" t="n">
        <v>-0.6808</v>
      </c>
      <c r="K1520" t="n">
        <v>0.146</v>
      </c>
      <c r="L1520" t="n">
        <v>0.854</v>
      </c>
      <c r="M1520" t="n">
        <v>0</v>
      </c>
    </row>
    <row r="1521" spans="1:13">
      <c r="A1521" s="1">
        <f>HYPERLINK("http://www.twitter.com/NathanBLawrence/status/999649737451155456", "999649737451155456")</f>
        <v/>
      </c>
      <c r="B1521" s="2" t="n">
        <v>43244.57921296296</v>
      </c>
      <c r="C1521" t="n">
        <v>0</v>
      </c>
      <c r="D1521" t="n">
        <v>8914</v>
      </c>
      <c r="E1521" t="s">
        <v>1529</v>
      </c>
      <c r="F1521" t="s"/>
      <c r="G1521" t="s"/>
      <c r="H1521" t="s"/>
      <c r="I1521" t="s"/>
      <c r="J1521" t="n">
        <v>0</v>
      </c>
      <c r="K1521" t="n">
        <v>0</v>
      </c>
      <c r="L1521" t="n">
        <v>1</v>
      </c>
      <c r="M1521" t="n">
        <v>0</v>
      </c>
    </row>
    <row r="1522" spans="1:13">
      <c r="A1522" s="1">
        <f>HYPERLINK("http://www.twitter.com/NathanBLawrence/status/999649584468185088", "999649584468185088")</f>
        <v/>
      </c>
      <c r="B1522" s="2" t="n">
        <v>43244.57879629629</v>
      </c>
      <c r="C1522" t="n">
        <v>0</v>
      </c>
      <c r="D1522" t="n">
        <v>151</v>
      </c>
      <c r="E1522" t="s">
        <v>1530</v>
      </c>
      <c r="F1522" t="s"/>
      <c r="G1522" t="s"/>
      <c r="H1522" t="s"/>
      <c r="I1522" t="s"/>
      <c r="J1522" t="n">
        <v>0</v>
      </c>
      <c r="K1522" t="n">
        <v>0</v>
      </c>
      <c r="L1522" t="n">
        <v>1</v>
      </c>
      <c r="M1522" t="n">
        <v>0</v>
      </c>
    </row>
    <row r="1523" spans="1:13">
      <c r="A1523" s="1">
        <f>HYPERLINK("http://www.twitter.com/NathanBLawrence/status/999649533176016896", "999649533176016896")</f>
        <v/>
      </c>
      <c r="B1523" s="2" t="n">
        <v>43244.57864583333</v>
      </c>
      <c r="C1523" t="n">
        <v>0</v>
      </c>
      <c r="D1523" t="n">
        <v>1</v>
      </c>
      <c r="E1523" t="s">
        <v>1531</v>
      </c>
      <c r="F1523" t="s"/>
      <c r="G1523" t="s"/>
      <c r="H1523" t="s"/>
      <c r="I1523" t="s"/>
      <c r="J1523" t="n">
        <v>0</v>
      </c>
      <c r="K1523" t="n">
        <v>0</v>
      </c>
      <c r="L1523" t="n">
        <v>1</v>
      </c>
      <c r="M1523" t="n">
        <v>0</v>
      </c>
    </row>
    <row r="1524" spans="1:13">
      <c r="A1524" s="1">
        <f>HYPERLINK("http://www.twitter.com/NathanBLawrence/status/999649397767069696", "999649397767069696")</f>
        <v/>
      </c>
      <c r="B1524" s="2" t="n">
        <v>43244.57827546296</v>
      </c>
      <c r="C1524" t="n">
        <v>0</v>
      </c>
      <c r="D1524" t="n">
        <v>13517</v>
      </c>
      <c r="E1524" t="s">
        <v>1532</v>
      </c>
      <c r="F1524" t="s"/>
      <c r="G1524" t="s"/>
      <c r="H1524" t="s"/>
      <c r="I1524" t="s"/>
      <c r="J1524" t="n">
        <v>0.4019</v>
      </c>
      <c r="K1524" t="n">
        <v>0</v>
      </c>
      <c r="L1524" t="n">
        <v>0.886</v>
      </c>
      <c r="M1524" t="n">
        <v>0.114</v>
      </c>
    </row>
    <row r="1525" spans="1:13">
      <c r="A1525" s="1">
        <f>HYPERLINK("http://www.twitter.com/NathanBLawrence/status/999624545647693825", "999624545647693825")</f>
        <v/>
      </c>
      <c r="B1525" s="2" t="n">
        <v>43244.50969907407</v>
      </c>
      <c r="C1525" t="n">
        <v>1</v>
      </c>
      <c r="D1525" t="n">
        <v>1</v>
      </c>
      <c r="E1525" t="s">
        <v>1533</v>
      </c>
      <c r="F1525" t="s"/>
      <c r="G1525" t="s"/>
      <c r="H1525" t="s"/>
      <c r="I1525" t="s"/>
      <c r="J1525" t="n">
        <v>0.4215</v>
      </c>
      <c r="K1525" t="n">
        <v>0</v>
      </c>
      <c r="L1525" t="n">
        <v>0.888</v>
      </c>
      <c r="M1525" t="n">
        <v>0.112</v>
      </c>
    </row>
    <row r="1526" spans="1:13">
      <c r="A1526" s="1">
        <f>HYPERLINK("http://www.twitter.com/NathanBLawrence/status/999620554805141504", "999620554805141504")</f>
        <v/>
      </c>
      <c r="B1526" s="2" t="n">
        <v>43244.49868055555</v>
      </c>
      <c r="C1526" t="n">
        <v>0</v>
      </c>
      <c r="D1526" t="n">
        <v>10184</v>
      </c>
      <c r="E1526" t="s">
        <v>1534</v>
      </c>
      <c r="F1526" t="s"/>
      <c r="G1526" t="s"/>
      <c r="H1526" t="s"/>
      <c r="I1526" t="s"/>
      <c r="J1526" t="n">
        <v>-0.8687</v>
      </c>
      <c r="K1526" t="n">
        <v>0.365</v>
      </c>
      <c r="L1526" t="n">
        <v>0.635</v>
      </c>
      <c r="M1526" t="n">
        <v>0</v>
      </c>
    </row>
    <row r="1527" spans="1:13">
      <c r="A1527" s="1">
        <f>HYPERLINK("http://www.twitter.com/NathanBLawrence/status/999526283498459136", "999526283498459136")</f>
        <v/>
      </c>
      <c r="B1527" s="2" t="n">
        <v>43244.23854166667</v>
      </c>
      <c r="C1527" t="n">
        <v>0</v>
      </c>
      <c r="D1527" t="n">
        <v>8</v>
      </c>
      <c r="E1527" t="s">
        <v>1535</v>
      </c>
      <c r="F1527" t="s"/>
      <c r="G1527" t="s"/>
      <c r="H1527" t="s"/>
      <c r="I1527" t="s"/>
      <c r="J1527" t="n">
        <v>-0.1027</v>
      </c>
      <c r="K1527" t="n">
        <v>0.113</v>
      </c>
      <c r="L1527" t="n">
        <v>0.887</v>
      </c>
      <c r="M1527" t="n">
        <v>0</v>
      </c>
    </row>
    <row r="1528" spans="1:13">
      <c r="A1528" s="1">
        <f>HYPERLINK("http://www.twitter.com/NathanBLawrence/status/999526242834579456", "999526242834579456")</f>
        <v/>
      </c>
      <c r="B1528" s="2" t="n">
        <v>43244.2384375</v>
      </c>
      <c r="C1528" t="n">
        <v>0</v>
      </c>
      <c r="D1528" t="n">
        <v>8</v>
      </c>
      <c r="E1528" t="s">
        <v>1536</v>
      </c>
      <c r="F1528" t="s"/>
      <c r="G1528" t="s"/>
      <c r="H1528" t="s"/>
      <c r="I1528" t="s"/>
      <c r="J1528" t="n">
        <v>-0.5106000000000001</v>
      </c>
      <c r="K1528" t="n">
        <v>0.216</v>
      </c>
      <c r="L1528" t="n">
        <v>0.784</v>
      </c>
      <c r="M1528" t="n">
        <v>0</v>
      </c>
    </row>
    <row r="1529" spans="1:13">
      <c r="A1529" s="1">
        <f>HYPERLINK("http://www.twitter.com/NathanBLawrence/status/999526176308768768", "999526176308768768")</f>
        <v/>
      </c>
      <c r="B1529" s="2" t="n">
        <v>43244.23825231481</v>
      </c>
      <c r="C1529" t="n">
        <v>0</v>
      </c>
      <c r="D1529" t="n">
        <v>41</v>
      </c>
      <c r="E1529" t="s">
        <v>1537</v>
      </c>
      <c r="F1529" t="s"/>
      <c r="G1529" t="s"/>
      <c r="H1529" t="s"/>
      <c r="I1529" t="s"/>
      <c r="J1529" t="n">
        <v>-0.2023</v>
      </c>
      <c r="K1529" t="n">
        <v>0.177</v>
      </c>
      <c r="L1529" t="n">
        <v>0.636</v>
      </c>
      <c r="M1529" t="n">
        <v>0.186</v>
      </c>
    </row>
    <row r="1530" spans="1:13">
      <c r="A1530" s="1">
        <f>HYPERLINK("http://www.twitter.com/NathanBLawrence/status/999526085611216896", "999526085611216896")</f>
        <v/>
      </c>
      <c r="B1530" s="2" t="n">
        <v>43244.23799768519</v>
      </c>
      <c r="C1530" t="n">
        <v>0</v>
      </c>
      <c r="D1530" t="n">
        <v>16</v>
      </c>
      <c r="E1530" t="s">
        <v>1538</v>
      </c>
      <c r="F1530" t="s"/>
      <c r="G1530" t="s"/>
      <c r="H1530" t="s"/>
      <c r="I1530" t="s"/>
      <c r="J1530" t="n">
        <v>-0.347</v>
      </c>
      <c r="K1530" t="n">
        <v>0.184</v>
      </c>
      <c r="L1530" t="n">
        <v>0.651</v>
      </c>
      <c r="M1530" t="n">
        <v>0.165</v>
      </c>
    </row>
    <row r="1531" spans="1:13">
      <c r="A1531" s="1">
        <f>HYPERLINK("http://www.twitter.com/NathanBLawrence/status/999525906032091136", "999525906032091136")</f>
        <v/>
      </c>
      <c r="B1531" s="2" t="n">
        <v>43244.2375</v>
      </c>
      <c r="C1531" t="n">
        <v>0</v>
      </c>
      <c r="D1531" t="n">
        <v>4684</v>
      </c>
      <c r="E1531" t="s">
        <v>1539</v>
      </c>
      <c r="F1531" t="s"/>
      <c r="G1531" t="s"/>
      <c r="H1531" t="s"/>
      <c r="I1531" t="s"/>
      <c r="J1531" t="n">
        <v>0</v>
      </c>
      <c r="K1531" t="n">
        <v>0</v>
      </c>
      <c r="L1531" t="n">
        <v>1</v>
      </c>
      <c r="M1531" t="n">
        <v>0</v>
      </c>
    </row>
    <row r="1532" spans="1:13">
      <c r="A1532" s="1">
        <f>HYPERLINK("http://www.twitter.com/NathanBLawrence/status/999525721218437120", "999525721218437120")</f>
        <v/>
      </c>
      <c r="B1532" s="2" t="n">
        <v>43244.23699074074</v>
      </c>
      <c r="C1532" t="n">
        <v>0</v>
      </c>
      <c r="D1532" t="n">
        <v>3329</v>
      </c>
      <c r="E1532" t="s">
        <v>1540</v>
      </c>
      <c r="F1532" t="s"/>
      <c r="G1532" t="s"/>
      <c r="H1532" t="s"/>
      <c r="I1532" t="s"/>
      <c r="J1532" t="n">
        <v>-0.3818</v>
      </c>
      <c r="K1532" t="n">
        <v>0.11</v>
      </c>
      <c r="L1532" t="n">
        <v>0.89</v>
      </c>
      <c r="M1532" t="n">
        <v>0</v>
      </c>
    </row>
    <row r="1533" spans="1:13">
      <c r="A1533" s="1">
        <f>HYPERLINK("http://www.twitter.com/NathanBLawrence/status/999525481966907392", "999525481966907392")</f>
        <v/>
      </c>
      <c r="B1533" s="2" t="n">
        <v>43244.23633101852</v>
      </c>
      <c r="C1533" t="n">
        <v>0</v>
      </c>
      <c r="D1533" t="n">
        <v>643</v>
      </c>
      <c r="E1533" t="s">
        <v>1541</v>
      </c>
      <c r="F1533" t="s"/>
      <c r="G1533" t="s"/>
      <c r="H1533" t="s"/>
      <c r="I1533" t="s"/>
      <c r="J1533" t="n">
        <v>-0.9153</v>
      </c>
      <c r="K1533" t="n">
        <v>0.444</v>
      </c>
      <c r="L1533" t="n">
        <v>0.556</v>
      </c>
      <c r="M1533" t="n">
        <v>0</v>
      </c>
    </row>
    <row r="1534" spans="1:13">
      <c r="A1534" s="1">
        <f>HYPERLINK("http://www.twitter.com/NathanBLawrence/status/999525326668664833", "999525326668664833")</f>
        <v/>
      </c>
      <c r="B1534" s="2" t="n">
        <v>43244.23590277778</v>
      </c>
      <c r="C1534" t="n">
        <v>0</v>
      </c>
      <c r="D1534" t="n">
        <v>648</v>
      </c>
      <c r="E1534" t="s">
        <v>1542</v>
      </c>
      <c r="F1534">
        <f>HYPERLINK("https://video.twimg.com/amplify_video/999483903747461121/vid/1280x720/Y-P93cAB6n1L7dFt.mp4?tag=2", "https://video.twimg.com/amplify_video/999483903747461121/vid/1280x720/Y-P93cAB6n1L7dFt.mp4?tag=2")</f>
        <v/>
      </c>
      <c r="G1534" t="s"/>
      <c r="H1534" t="s"/>
      <c r="I1534" t="s"/>
      <c r="J1534" t="n">
        <v>0.2263</v>
      </c>
      <c r="K1534" t="n">
        <v>0</v>
      </c>
      <c r="L1534" t="n">
        <v>0.905</v>
      </c>
      <c r="M1534" t="n">
        <v>0.095</v>
      </c>
    </row>
    <row r="1535" spans="1:13">
      <c r="A1535" s="1">
        <f>HYPERLINK("http://www.twitter.com/NathanBLawrence/status/999524018570096645", "999524018570096645")</f>
        <v/>
      </c>
      <c r="B1535" s="2" t="n">
        <v>43244.23229166667</v>
      </c>
      <c r="C1535" t="n">
        <v>0</v>
      </c>
      <c r="D1535" t="n">
        <v>69</v>
      </c>
      <c r="E1535" t="s">
        <v>1543</v>
      </c>
      <c r="F1535" t="s"/>
      <c r="G1535" t="s"/>
      <c r="H1535" t="s"/>
      <c r="I1535" t="s"/>
      <c r="J1535" t="n">
        <v>0.5096000000000001</v>
      </c>
      <c r="K1535" t="n">
        <v>0.056</v>
      </c>
      <c r="L1535" t="n">
        <v>0.736</v>
      </c>
      <c r="M1535" t="n">
        <v>0.208</v>
      </c>
    </row>
    <row r="1536" spans="1:13">
      <c r="A1536" s="1">
        <f>HYPERLINK("http://www.twitter.com/NathanBLawrence/status/999523981718900736", "999523981718900736")</f>
        <v/>
      </c>
      <c r="B1536" s="2" t="n">
        <v>43244.23219907407</v>
      </c>
      <c r="C1536" t="n">
        <v>0</v>
      </c>
      <c r="D1536" t="n">
        <v>1</v>
      </c>
      <c r="E1536" t="s">
        <v>1544</v>
      </c>
      <c r="F1536">
        <f>HYPERLINK("http://pbs.twimg.com/media/Dd6W-2rVQAArXdD.jpg", "http://pbs.twimg.com/media/Dd6W-2rVQAArXdD.jpg")</f>
        <v/>
      </c>
      <c r="G1536" t="s"/>
      <c r="H1536" t="s"/>
      <c r="I1536" t="s"/>
      <c r="J1536" t="n">
        <v>-0.8401999999999999</v>
      </c>
      <c r="K1536" t="n">
        <v>0.435</v>
      </c>
      <c r="L1536" t="n">
        <v>0.5649999999999999</v>
      </c>
      <c r="M1536" t="n">
        <v>0</v>
      </c>
    </row>
    <row r="1537" spans="1:13">
      <c r="A1537" s="1">
        <f>HYPERLINK("http://www.twitter.com/NathanBLawrence/status/999523740949106688", "999523740949106688")</f>
        <v/>
      </c>
      <c r="B1537" s="2" t="n">
        <v>43244.23152777777</v>
      </c>
      <c r="C1537" t="n">
        <v>0</v>
      </c>
      <c r="D1537" t="n">
        <v>0</v>
      </c>
      <c r="E1537" t="s">
        <v>1545</v>
      </c>
      <c r="F1537" t="s"/>
      <c r="G1537" t="s"/>
      <c r="H1537" t="s"/>
      <c r="I1537" t="s"/>
      <c r="J1537" t="n">
        <v>-0.7906</v>
      </c>
      <c r="K1537" t="n">
        <v>0.333</v>
      </c>
      <c r="L1537" t="n">
        <v>0.667</v>
      </c>
      <c r="M1537" t="n">
        <v>0</v>
      </c>
    </row>
    <row r="1538" spans="1:13">
      <c r="A1538" s="1">
        <f>HYPERLINK("http://www.twitter.com/NathanBLawrence/status/999523166723731456", "999523166723731456")</f>
        <v/>
      </c>
      <c r="B1538" s="2" t="n">
        <v>43244.22994212963</v>
      </c>
      <c r="C1538" t="n">
        <v>0</v>
      </c>
      <c r="D1538" t="n">
        <v>6</v>
      </c>
      <c r="E1538" t="s">
        <v>1546</v>
      </c>
      <c r="F1538" t="s"/>
      <c r="G1538" t="s"/>
      <c r="H1538" t="s"/>
      <c r="I1538" t="s"/>
      <c r="J1538" t="n">
        <v>0.34</v>
      </c>
      <c r="K1538" t="n">
        <v>0</v>
      </c>
      <c r="L1538" t="n">
        <v>0.862</v>
      </c>
      <c r="M1538" t="n">
        <v>0.138</v>
      </c>
    </row>
    <row r="1539" spans="1:13">
      <c r="A1539" s="1">
        <f>HYPERLINK("http://www.twitter.com/NathanBLawrence/status/999521906628980736", "999521906628980736")</f>
        <v/>
      </c>
      <c r="B1539" s="2" t="n">
        <v>43244.22646990741</v>
      </c>
      <c r="C1539" t="n">
        <v>0</v>
      </c>
      <c r="D1539" t="n">
        <v>20</v>
      </c>
      <c r="E1539" t="s">
        <v>1547</v>
      </c>
      <c r="F1539">
        <f>HYPERLINK("http://pbs.twimg.com/media/Dd6yeUwU8AAPgVZ.jpg", "http://pbs.twimg.com/media/Dd6yeUwU8AAPgVZ.jpg")</f>
        <v/>
      </c>
      <c r="G1539" t="s"/>
      <c r="H1539" t="s"/>
      <c r="I1539" t="s"/>
      <c r="J1539" t="n">
        <v>0</v>
      </c>
      <c r="K1539" t="n">
        <v>0</v>
      </c>
      <c r="L1539" t="n">
        <v>1</v>
      </c>
      <c r="M1539" t="n">
        <v>0</v>
      </c>
    </row>
    <row r="1540" spans="1:13">
      <c r="A1540" s="1">
        <f>HYPERLINK("http://www.twitter.com/NathanBLawrence/status/999519746566520832", "999519746566520832")</f>
        <v/>
      </c>
      <c r="B1540" s="2" t="n">
        <v>43244.22050925926</v>
      </c>
      <c r="C1540" t="n">
        <v>0</v>
      </c>
      <c r="D1540" t="n">
        <v>61</v>
      </c>
      <c r="E1540" t="s">
        <v>1548</v>
      </c>
      <c r="F1540">
        <f>HYPERLINK("http://pbs.twimg.com/media/Ddz1FN6W0AAGrq_.jpg", "http://pbs.twimg.com/media/Ddz1FN6W0AAGrq_.jpg")</f>
        <v/>
      </c>
      <c r="G1540" t="s"/>
      <c r="H1540" t="s"/>
      <c r="I1540" t="s"/>
      <c r="J1540" t="n">
        <v>0</v>
      </c>
      <c r="K1540" t="n">
        <v>0</v>
      </c>
      <c r="L1540" t="n">
        <v>1</v>
      </c>
      <c r="M1540" t="n">
        <v>0</v>
      </c>
    </row>
    <row r="1541" spans="1:13">
      <c r="A1541" s="1">
        <f>HYPERLINK("http://www.twitter.com/NathanBLawrence/status/999519675544408064", "999519675544408064")</f>
        <v/>
      </c>
      <c r="B1541" s="2" t="n">
        <v>43244.2203125</v>
      </c>
      <c r="C1541" t="n">
        <v>0</v>
      </c>
      <c r="D1541" t="n">
        <v>1</v>
      </c>
      <c r="E1541" t="s">
        <v>1549</v>
      </c>
      <c r="F1541" t="s"/>
      <c r="G1541" t="s"/>
      <c r="H1541" t="s"/>
      <c r="I1541" t="s"/>
      <c r="J1541" t="n">
        <v>-0.3818</v>
      </c>
      <c r="K1541" t="n">
        <v>0.115</v>
      </c>
      <c r="L1541" t="n">
        <v>0.885</v>
      </c>
      <c r="M1541" t="n">
        <v>0</v>
      </c>
    </row>
    <row r="1542" spans="1:13">
      <c r="A1542" s="1">
        <f>HYPERLINK("http://www.twitter.com/NathanBLawrence/status/999518317688868864", "999518317688868864")</f>
        <v/>
      </c>
      <c r="B1542" s="2" t="n">
        <v>43244.2165625</v>
      </c>
      <c r="C1542" t="n">
        <v>0</v>
      </c>
      <c r="D1542" t="n">
        <v>3481</v>
      </c>
      <c r="E1542" t="s">
        <v>1550</v>
      </c>
      <c r="F1542">
        <f>HYPERLINK("https://video.twimg.com/ext_tw_video/995291706525351936/pu/vid/1280x720/lAbgweA_6g4SJFQL.mp4?tag=3", "https://video.twimg.com/ext_tw_video/995291706525351936/pu/vid/1280x720/lAbgweA_6g4SJFQL.mp4?tag=3")</f>
        <v/>
      </c>
      <c r="G1542" t="s"/>
      <c r="H1542" t="s"/>
      <c r="I1542" t="s"/>
      <c r="J1542" t="n">
        <v>0.9517</v>
      </c>
      <c r="K1542" t="n">
        <v>0</v>
      </c>
      <c r="L1542" t="n">
        <v>0.515</v>
      </c>
      <c r="M1542" t="n">
        <v>0.485</v>
      </c>
    </row>
    <row r="1543" spans="1:13">
      <c r="A1543" s="1">
        <f>HYPERLINK("http://www.twitter.com/NathanBLawrence/status/999518005636882432", "999518005636882432")</f>
        <v/>
      </c>
      <c r="B1543" s="2" t="n">
        <v>43244.21570601852</v>
      </c>
      <c r="C1543" t="n">
        <v>0</v>
      </c>
      <c r="D1543" t="n">
        <v>3</v>
      </c>
      <c r="E1543" t="s">
        <v>1551</v>
      </c>
      <c r="F1543" t="s"/>
      <c r="G1543" t="s"/>
      <c r="H1543" t="s"/>
      <c r="I1543" t="s"/>
      <c r="J1543" t="n">
        <v>0</v>
      </c>
      <c r="K1543" t="n">
        <v>0</v>
      </c>
      <c r="L1543" t="n">
        <v>1</v>
      </c>
      <c r="M1543" t="n">
        <v>0</v>
      </c>
    </row>
    <row r="1544" spans="1:13">
      <c r="A1544" s="1">
        <f>HYPERLINK("http://www.twitter.com/NathanBLawrence/status/999517961433108483", "999517961433108483")</f>
        <v/>
      </c>
      <c r="B1544" s="2" t="n">
        <v>43244.2155787037</v>
      </c>
      <c r="C1544" t="n">
        <v>0</v>
      </c>
      <c r="D1544" t="n">
        <v>5</v>
      </c>
      <c r="E1544" t="s">
        <v>1552</v>
      </c>
      <c r="F1544">
        <f>HYPERLINK("http://pbs.twimg.com/media/Dd6u9ElVQAA6YUm.jpg", "http://pbs.twimg.com/media/Dd6u9ElVQAA6YUm.jpg")</f>
        <v/>
      </c>
      <c r="G1544" t="s"/>
      <c r="H1544" t="s"/>
      <c r="I1544" t="s"/>
      <c r="J1544" t="n">
        <v>0</v>
      </c>
      <c r="K1544" t="n">
        <v>0</v>
      </c>
      <c r="L1544" t="n">
        <v>1</v>
      </c>
      <c r="M1544" t="n">
        <v>0</v>
      </c>
    </row>
    <row r="1545" spans="1:13">
      <c r="A1545" s="1">
        <f>HYPERLINK("http://www.twitter.com/NathanBLawrence/status/999517796810838016", "999517796810838016")</f>
        <v/>
      </c>
      <c r="B1545" s="2" t="n">
        <v>43244.21512731481</v>
      </c>
      <c r="C1545" t="n">
        <v>0</v>
      </c>
      <c r="D1545" t="n">
        <v>211</v>
      </c>
      <c r="E1545" t="s">
        <v>1553</v>
      </c>
      <c r="F1545" t="s"/>
      <c r="G1545" t="s"/>
      <c r="H1545" t="s"/>
      <c r="I1545" t="s"/>
      <c r="J1545" t="n">
        <v>0</v>
      </c>
      <c r="K1545" t="n">
        <v>0</v>
      </c>
      <c r="L1545" t="n">
        <v>1</v>
      </c>
      <c r="M1545" t="n">
        <v>0</v>
      </c>
    </row>
    <row r="1546" spans="1:13">
      <c r="A1546" s="1">
        <f>HYPERLINK("http://www.twitter.com/NathanBLawrence/status/999517743555792896", "999517743555792896")</f>
        <v/>
      </c>
      <c r="B1546" s="2" t="n">
        <v>43244.21497685185</v>
      </c>
      <c r="C1546" t="n">
        <v>0</v>
      </c>
      <c r="D1546" t="n">
        <v>253</v>
      </c>
      <c r="E1546" t="s">
        <v>1554</v>
      </c>
      <c r="F1546" t="s"/>
      <c r="G1546" t="s"/>
      <c r="H1546" t="s"/>
      <c r="I1546" t="s"/>
      <c r="J1546" t="n">
        <v>0.7964</v>
      </c>
      <c r="K1546" t="n">
        <v>0</v>
      </c>
      <c r="L1546" t="n">
        <v>0.649</v>
      </c>
      <c r="M1546" t="n">
        <v>0.351</v>
      </c>
    </row>
    <row r="1547" spans="1:13">
      <c r="A1547" s="1">
        <f>HYPERLINK("http://www.twitter.com/NathanBLawrence/status/999515153531011072", "999515153531011072")</f>
        <v/>
      </c>
      <c r="B1547" s="2" t="n">
        <v>43244.20783564815</v>
      </c>
      <c r="C1547" t="n">
        <v>0</v>
      </c>
      <c r="D1547" t="n">
        <v>880</v>
      </c>
      <c r="E1547" t="s">
        <v>1555</v>
      </c>
      <c r="F1547">
        <f>HYPERLINK("https://video.twimg.com/amplify_video/999441825411805186/vid/1280x720/FdD05HQ_4t6c8lk1.mp4?tag=2", "https://video.twimg.com/amplify_video/999441825411805186/vid/1280x720/FdD05HQ_4t6c8lk1.mp4?tag=2")</f>
        <v/>
      </c>
      <c r="G1547" t="s"/>
      <c r="H1547" t="s"/>
      <c r="I1547" t="s"/>
      <c r="J1547" t="n">
        <v>0.4767</v>
      </c>
      <c r="K1547" t="n">
        <v>0</v>
      </c>
      <c r="L1547" t="n">
        <v>0.886</v>
      </c>
      <c r="M1547" t="n">
        <v>0.114</v>
      </c>
    </row>
    <row r="1548" spans="1:13">
      <c r="A1548" s="1">
        <f>HYPERLINK("http://www.twitter.com/NathanBLawrence/status/999514657638486016", "999514657638486016")</f>
        <v/>
      </c>
      <c r="B1548" s="2" t="n">
        <v>43244.20646990741</v>
      </c>
      <c r="C1548" t="n">
        <v>0</v>
      </c>
      <c r="D1548" t="n">
        <v>853</v>
      </c>
      <c r="E1548" t="s">
        <v>1556</v>
      </c>
      <c r="F1548" t="s"/>
      <c r="G1548" t="s"/>
      <c r="H1548" t="s"/>
      <c r="I1548" t="s"/>
      <c r="J1548" t="n">
        <v>0</v>
      </c>
      <c r="K1548" t="n">
        <v>0</v>
      </c>
      <c r="L1548" t="n">
        <v>1</v>
      </c>
      <c r="M1548" t="n">
        <v>0</v>
      </c>
    </row>
    <row r="1549" spans="1:13">
      <c r="A1549" s="1">
        <f>HYPERLINK("http://www.twitter.com/NathanBLawrence/status/999514620430835713", "999514620430835713")</f>
        <v/>
      </c>
      <c r="B1549" s="2" t="n">
        <v>43244.20636574074</v>
      </c>
      <c r="C1549" t="n">
        <v>0</v>
      </c>
      <c r="D1549" t="n">
        <v>689</v>
      </c>
      <c r="E1549" t="s">
        <v>1557</v>
      </c>
      <c r="F1549" t="s"/>
      <c r="G1549" t="s"/>
      <c r="H1549" t="s"/>
      <c r="I1549" t="s"/>
      <c r="J1549" t="n">
        <v>0.7003</v>
      </c>
      <c r="K1549" t="n">
        <v>0</v>
      </c>
      <c r="L1549" t="n">
        <v>0.734</v>
      </c>
      <c r="M1549" t="n">
        <v>0.266</v>
      </c>
    </row>
    <row r="1550" spans="1:13">
      <c r="A1550" s="1">
        <f>HYPERLINK("http://www.twitter.com/NathanBLawrence/status/999513661034106881", "999513661034106881")</f>
        <v/>
      </c>
      <c r="B1550" s="2" t="n">
        <v>43244.20371527778</v>
      </c>
      <c r="C1550" t="n">
        <v>0</v>
      </c>
      <c r="D1550" t="n">
        <v>713</v>
      </c>
      <c r="E1550" t="s">
        <v>1558</v>
      </c>
      <c r="F1550">
        <f>HYPERLINK("http://pbs.twimg.com/media/Dd4_UowU0AIPpik.jpg", "http://pbs.twimg.com/media/Dd4_UowU0AIPpik.jpg")</f>
        <v/>
      </c>
      <c r="G1550">
        <f>HYPERLINK("http://pbs.twimg.com/media/Dd4_VwCVwAEXBu5.jpg", "http://pbs.twimg.com/media/Dd4_VwCVwAEXBu5.jpg")</f>
        <v/>
      </c>
      <c r="H1550" t="s"/>
      <c r="I1550" t="s"/>
      <c r="J1550" t="n">
        <v>0</v>
      </c>
      <c r="K1550" t="n">
        <v>0</v>
      </c>
      <c r="L1550" t="n">
        <v>1</v>
      </c>
      <c r="M1550" t="n">
        <v>0</v>
      </c>
    </row>
    <row r="1551" spans="1:13">
      <c r="A1551" s="1">
        <f>HYPERLINK("http://www.twitter.com/NathanBLawrence/status/999508184732749824", "999508184732749824")</f>
        <v/>
      </c>
      <c r="B1551" s="2" t="n">
        <v>43244.18859953704</v>
      </c>
      <c r="C1551" t="n">
        <v>0</v>
      </c>
      <c r="D1551" t="n">
        <v>34</v>
      </c>
      <c r="E1551" t="s">
        <v>1559</v>
      </c>
      <c r="F1551" t="s"/>
      <c r="G1551" t="s"/>
      <c r="H1551" t="s"/>
      <c r="I1551" t="s"/>
      <c r="J1551" t="n">
        <v>0</v>
      </c>
      <c r="K1551" t="n">
        <v>0</v>
      </c>
      <c r="L1551" t="n">
        <v>1</v>
      </c>
      <c r="M1551" t="n">
        <v>0</v>
      </c>
    </row>
    <row r="1552" spans="1:13">
      <c r="A1552" s="1">
        <f>HYPERLINK("http://www.twitter.com/NathanBLawrence/status/999508054289866755", "999508054289866755")</f>
        <v/>
      </c>
      <c r="B1552" s="2" t="n">
        <v>43244.18824074074</v>
      </c>
      <c r="C1552" t="n">
        <v>0</v>
      </c>
      <c r="D1552" t="n">
        <v>22</v>
      </c>
      <c r="E1552" t="s">
        <v>1560</v>
      </c>
      <c r="F1552" t="s"/>
      <c r="G1552" t="s"/>
      <c r="H1552" t="s"/>
      <c r="I1552" t="s"/>
      <c r="J1552" t="n">
        <v>0.6249</v>
      </c>
      <c r="K1552" t="n">
        <v>0</v>
      </c>
      <c r="L1552" t="n">
        <v>0.785</v>
      </c>
      <c r="M1552" t="n">
        <v>0.215</v>
      </c>
    </row>
    <row r="1553" spans="1:13">
      <c r="A1553" s="1">
        <f>HYPERLINK("http://www.twitter.com/NathanBLawrence/status/999507393779261441", "999507393779261441")</f>
        <v/>
      </c>
      <c r="B1553" s="2" t="n">
        <v>43244.18642361111</v>
      </c>
      <c r="C1553" t="n">
        <v>0</v>
      </c>
      <c r="D1553" t="n">
        <v>58</v>
      </c>
      <c r="E1553" t="s">
        <v>1561</v>
      </c>
      <c r="F1553" t="s"/>
      <c r="G1553" t="s"/>
      <c r="H1553" t="s"/>
      <c r="I1553" t="s"/>
      <c r="J1553" t="n">
        <v>0.4559</v>
      </c>
      <c r="K1553" t="n">
        <v>0.104</v>
      </c>
      <c r="L1553" t="n">
        <v>0.648</v>
      </c>
      <c r="M1553" t="n">
        <v>0.248</v>
      </c>
    </row>
    <row r="1554" spans="1:13">
      <c r="A1554" s="1">
        <f>HYPERLINK("http://www.twitter.com/NathanBLawrence/status/999507326175514624", "999507326175514624")</f>
        <v/>
      </c>
      <c r="B1554" s="2" t="n">
        <v>43244.18623842593</v>
      </c>
      <c r="C1554" t="n">
        <v>0</v>
      </c>
      <c r="D1554" t="n">
        <v>63</v>
      </c>
      <c r="E1554" t="s">
        <v>1562</v>
      </c>
      <c r="F1554" t="s"/>
      <c r="G1554" t="s"/>
      <c r="H1554" t="s"/>
      <c r="I1554" t="s"/>
      <c r="J1554" t="n">
        <v>-0.1706</v>
      </c>
      <c r="K1554" t="n">
        <v>0.122</v>
      </c>
      <c r="L1554" t="n">
        <v>0.781</v>
      </c>
      <c r="M1554" t="n">
        <v>0.096</v>
      </c>
    </row>
    <row r="1555" spans="1:13">
      <c r="A1555" s="1">
        <f>HYPERLINK("http://www.twitter.com/NathanBLawrence/status/999507202082734080", "999507202082734080")</f>
        <v/>
      </c>
      <c r="B1555" s="2" t="n">
        <v>43244.18589120371</v>
      </c>
      <c r="C1555" t="n">
        <v>0</v>
      </c>
      <c r="D1555" t="n">
        <v>145</v>
      </c>
      <c r="E1555" t="s">
        <v>1563</v>
      </c>
      <c r="F1555" t="s"/>
      <c r="G1555" t="s"/>
      <c r="H1555" t="s"/>
      <c r="I1555" t="s"/>
      <c r="J1555" t="n">
        <v>-0.0606</v>
      </c>
      <c r="K1555" t="n">
        <v>0.101</v>
      </c>
      <c r="L1555" t="n">
        <v>0.8080000000000001</v>
      </c>
      <c r="M1555" t="n">
        <v>0.091</v>
      </c>
    </row>
    <row r="1556" spans="1:13">
      <c r="A1556" s="1">
        <f>HYPERLINK("http://www.twitter.com/NathanBLawrence/status/999507151172325376", "999507151172325376")</f>
        <v/>
      </c>
      <c r="B1556" s="2" t="n">
        <v>43244.18575231481</v>
      </c>
      <c r="C1556" t="n">
        <v>0</v>
      </c>
      <c r="D1556" t="n">
        <v>31</v>
      </c>
      <c r="E1556" t="s">
        <v>1564</v>
      </c>
      <c r="F1556" t="s"/>
      <c r="G1556" t="s"/>
      <c r="H1556" t="s"/>
      <c r="I1556" t="s"/>
      <c r="J1556" t="n">
        <v>0</v>
      </c>
      <c r="K1556" t="n">
        <v>0</v>
      </c>
      <c r="L1556" t="n">
        <v>1</v>
      </c>
      <c r="M1556" t="n">
        <v>0</v>
      </c>
    </row>
    <row r="1557" spans="1:13">
      <c r="A1557" s="1">
        <f>HYPERLINK("http://www.twitter.com/NathanBLawrence/status/999507073082839041", "999507073082839041")</f>
        <v/>
      </c>
      <c r="B1557" s="2" t="n">
        <v>43244.18553240741</v>
      </c>
      <c r="C1557" t="n">
        <v>0</v>
      </c>
      <c r="D1557" t="n">
        <v>33</v>
      </c>
      <c r="E1557" t="s">
        <v>1565</v>
      </c>
      <c r="F1557" t="s"/>
      <c r="G1557" t="s"/>
      <c r="H1557" t="s"/>
      <c r="I1557" t="s"/>
      <c r="J1557" t="n">
        <v>0</v>
      </c>
      <c r="K1557" t="n">
        <v>0</v>
      </c>
      <c r="L1557" t="n">
        <v>1</v>
      </c>
      <c r="M1557" t="n">
        <v>0</v>
      </c>
    </row>
    <row r="1558" spans="1:13">
      <c r="A1558" s="1">
        <f>HYPERLINK("http://www.twitter.com/NathanBLawrence/status/999506967029796864", "999506967029796864")</f>
        <v/>
      </c>
      <c r="B1558" s="2" t="n">
        <v>43244.18524305556</v>
      </c>
      <c r="C1558" t="n">
        <v>0</v>
      </c>
      <c r="D1558" t="n">
        <v>32</v>
      </c>
      <c r="E1558" t="s">
        <v>1566</v>
      </c>
      <c r="F1558" t="s"/>
      <c r="G1558" t="s"/>
      <c r="H1558" t="s"/>
      <c r="I1558" t="s"/>
      <c r="J1558" t="n">
        <v>-0.4391</v>
      </c>
      <c r="K1558" t="n">
        <v>0.108</v>
      </c>
      <c r="L1558" t="n">
        <v>0.892</v>
      </c>
      <c r="M1558" t="n">
        <v>0</v>
      </c>
    </row>
    <row r="1559" spans="1:13">
      <c r="A1559" s="1">
        <f>HYPERLINK("http://www.twitter.com/NathanBLawrence/status/999506916203212801", "999506916203212801")</f>
        <v/>
      </c>
      <c r="B1559" s="2" t="n">
        <v>43244.18510416667</v>
      </c>
      <c r="C1559" t="n">
        <v>0</v>
      </c>
      <c r="D1559" t="n">
        <v>59</v>
      </c>
      <c r="E1559" t="s">
        <v>1567</v>
      </c>
      <c r="F1559" t="s"/>
      <c r="G1559" t="s"/>
      <c r="H1559" t="s"/>
      <c r="I1559" t="s"/>
      <c r="J1559" t="n">
        <v>-0.4767</v>
      </c>
      <c r="K1559" t="n">
        <v>0.14</v>
      </c>
      <c r="L1559" t="n">
        <v>0.86</v>
      </c>
      <c r="M1559" t="n">
        <v>0</v>
      </c>
    </row>
    <row r="1560" spans="1:13">
      <c r="A1560" s="1">
        <f>HYPERLINK("http://www.twitter.com/NathanBLawrence/status/999505561430450181", "999505561430450181")</f>
        <v/>
      </c>
      <c r="B1560" s="2" t="n">
        <v>43244.18136574074</v>
      </c>
      <c r="C1560" t="n">
        <v>0</v>
      </c>
      <c r="D1560" t="n">
        <v>156</v>
      </c>
      <c r="E1560" t="s">
        <v>1568</v>
      </c>
      <c r="F1560" t="s"/>
      <c r="G1560" t="s"/>
      <c r="H1560" t="s"/>
      <c r="I1560" t="s"/>
      <c r="J1560" t="n">
        <v>0.2716</v>
      </c>
      <c r="K1560" t="n">
        <v>0</v>
      </c>
      <c r="L1560" t="n">
        <v>0.92</v>
      </c>
      <c r="M1560" t="n">
        <v>0.08</v>
      </c>
    </row>
    <row r="1561" spans="1:13">
      <c r="A1561" s="1">
        <f>HYPERLINK("http://www.twitter.com/NathanBLawrence/status/999505449929060352", "999505449929060352")</f>
        <v/>
      </c>
      <c r="B1561" s="2" t="n">
        <v>43244.18105324074</v>
      </c>
      <c r="C1561" t="n">
        <v>0</v>
      </c>
      <c r="D1561" t="n">
        <v>264</v>
      </c>
      <c r="E1561" t="s">
        <v>1569</v>
      </c>
      <c r="F1561">
        <f>HYPERLINK("http://pbs.twimg.com/media/Dd7cplbVMAESN1a.jpg", "http://pbs.twimg.com/media/Dd7cplbVMAESN1a.jpg")</f>
        <v/>
      </c>
      <c r="G1561" t="s"/>
      <c r="H1561" t="s"/>
      <c r="I1561" t="s"/>
      <c r="J1561" t="n">
        <v>0</v>
      </c>
      <c r="K1561" t="n">
        <v>0</v>
      </c>
      <c r="L1561" t="n">
        <v>1</v>
      </c>
      <c r="M1561" t="n">
        <v>0</v>
      </c>
    </row>
    <row r="1562" spans="1:13">
      <c r="A1562" s="1">
        <f>HYPERLINK("http://www.twitter.com/NathanBLawrence/status/999505172970819585", "999505172970819585")</f>
        <v/>
      </c>
      <c r="B1562" s="2" t="n">
        <v>43244.18028935185</v>
      </c>
      <c r="C1562" t="n">
        <v>0</v>
      </c>
      <c r="D1562" t="n">
        <v>2</v>
      </c>
      <c r="E1562" t="s">
        <v>1570</v>
      </c>
      <c r="F1562" t="s"/>
      <c r="G1562" t="s"/>
      <c r="H1562" t="s"/>
      <c r="I1562" t="s"/>
      <c r="J1562" t="n">
        <v>0.3612</v>
      </c>
      <c r="K1562" t="n">
        <v>0</v>
      </c>
      <c r="L1562" t="n">
        <v>0.857</v>
      </c>
      <c r="M1562" t="n">
        <v>0.143</v>
      </c>
    </row>
    <row r="1563" spans="1:13">
      <c r="A1563" s="1">
        <f>HYPERLINK("http://www.twitter.com/NathanBLawrence/status/999505148354486272", "999505148354486272")</f>
        <v/>
      </c>
      <c r="B1563" s="2" t="n">
        <v>43244.18021990741</v>
      </c>
      <c r="C1563" t="n">
        <v>0</v>
      </c>
      <c r="D1563" t="n">
        <v>24</v>
      </c>
      <c r="E1563" t="s">
        <v>1571</v>
      </c>
      <c r="F1563" t="s"/>
      <c r="G1563" t="s"/>
      <c r="H1563" t="s"/>
      <c r="I1563" t="s"/>
      <c r="J1563" t="n">
        <v>0.5106000000000001</v>
      </c>
      <c r="K1563" t="n">
        <v>0.089</v>
      </c>
      <c r="L1563" t="n">
        <v>0.6879999999999999</v>
      </c>
      <c r="M1563" t="n">
        <v>0.223</v>
      </c>
    </row>
    <row r="1564" spans="1:13">
      <c r="A1564" s="1">
        <f>HYPERLINK("http://www.twitter.com/NathanBLawrence/status/999505112304406528", "999505112304406528")</f>
        <v/>
      </c>
      <c r="B1564" s="2" t="n">
        <v>43244.18012731482</v>
      </c>
      <c r="C1564" t="n">
        <v>0</v>
      </c>
      <c r="D1564" t="n">
        <v>9</v>
      </c>
      <c r="E1564" t="s">
        <v>1572</v>
      </c>
      <c r="F1564" t="s"/>
      <c r="G1564" t="s"/>
      <c r="H1564" t="s"/>
      <c r="I1564" t="s"/>
      <c r="J1564" t="n">
        <v>0</v>
      </c>
      <c r="K1564" t="n">
        <v>0</v>
      </c>
      <c r="L1564" t="n">
        <v>1</v>
      </c>
      <c r="M1564" t="n">
        <v>0</v>
      </c>
    </row>
    <row r="1565" spans="1:13">
      <c r="A1565" s="1">
        <f>HYPERLINK("http://www.twitter.com/NathanBLawrence/status/999505007220228097", "999505007220228097")</f>
        <v/>
      </c>
      <c r="B1565" s="2" t="n">
        <v>43244.17983796296</v>
      </c>
      <c r="C1565" t="n">
        <v>0</v>
      </c>
      <c r="D1565" t="n">
        <v>90</v>
      </c>
      <c r="E1565" t="s">
        <v>1573</v>
      </c>
      <c r="F1565">
        <f>HYPERLINK("http://pbs.twimg.com/media/Dd7cqmKVMAAbEPe.jpg", "http://pbs.twimg.com/media/Dd7cqmKVMAAbEPe.jpg")</f>
        <v/>
      </c>
      <c r="G1565" t="s"/>
      <c r="H1565" t="s"/>
      <c r="I1565" t="s"/>
      <c r="J1565" t="n">
        <v>-0.1027</v>
      </c>
      <c r="K1565" t="n">
        <v>0.204</v>
      </c>
      <c r="L1565" t="n">
        <v>0.609</v>
      </c>
      <c r="M1565" t="n">
        <v>0.187</v>
      </c>
    </row>
    <row r="1566" spans="1:13">
      <c r="A1566" s="1">
        <f>HYPERLINK("http://www.twitter.com/NathanBLawrence/status/999504927125856261", "999504927125856261")</f>
        <v/>
      </c>
      <c r="B1566" s="2" t="n">
        <v>43244.17961805555</v>
      </c>
      <c r="C1566" t="n">
        <v>0</v>
      </c>
      <c r="D1566" t="n">
        <v>78</v>
      </c>
      <c r="E1566" t="s">
        <v>1574</v>
      </c>
      <c r="F1566" t="s"/>
      <c r="G1566" t="s"/>
      <c r="H1566" t="s"/>
      <c r="I1566" t="s"/>
      <c r="J1566" t="n">
        <v>0</v>
      </c>
      <c r="K1566" t="n">
        <v>0</v>
      </c>
      <c r="L1566" t="n">
        <v>1</v>
      </c>
      <c r="M1566" t="n">
        <v>0</v>
      </c>
    </row>
    <row r="1567" spans="1:13">
      <c r="A1567" s="1">
        <f>HYPERLINK("http://www.twitter.com/NathanBLawrence/status/999503670390779905", "999503670390779905")</f>
        <v/>
      </c>
      <c r="B1567" s="2" t="n">
        <v>43244.17614583333</v>
      </c>
      <c r="C1567" t="n">
        <v>0</v>
      </c>
      <c r="D1567" t="n">
        <v>430</v>
      </c>
      <c r="E1567" t="s">
        <v>1575</v>
      </c>
      <c r="F1567">
        <f>HYPERLINK("http://pbs.twimg.com/media/Dd7eCDdVMAErKoe.jpg", "http://pbs.twimg.com/media/Dd7eCDdVMAErKoe.jpg")</f>
        <v/>
      </c>
      <c r="G1567" t="s"/>
      <c r="H1567" t="s"/>
      <c r="I1567" t="s"/>
      <c r="J1567" t="n">
        <v>0</v>
      </c>
      <c r="K1567" t="n">
        <v>0</v>
      </c>
      <c r="L1567" t="n">
        <v>1</v>
      </c>
      <c r="M1567" t="n">
        <v>0</v>
      </c>
    </row>
    <row r="1568" spans="1:13">
      <c r="A1568" s="1">
        <f>HYPERLINK("http://www.twitter.com/NathanBLawrence/status/999503032504258561", "999503032504258561")</f>
        <v/>
      </c>
      <c r="B1568" s="2" t="n">
        <v>43244.17438657407</v>
      </c>
      <c r="C1568" t="n">
        <v>0</v>
      </c>
      <c r="D1568" t="n">
        <v>212</v>
      </c>
      <c r="E1568" t="s">
        <v>1576</v>
      </c>
      <c r="F1568">
        <f>HYPERLINK("https://video.twimg.com/ext_tw_video/999435896490344448/pu/vid/1280x720/h_QmOY3tUBMNbMPK.mp4?tag=3", "https://video.twimg.com/ext_tw_video/999435896490344448/pu/vid/1280x720/h_QmOY3tUBMNbMPK.mp4?tag=3")</f>
        <v/>
      </c>
      <c r="G1568" t="s"/>
      <c r="H1568" t="s"/>
      <c r="I1568" t="s"/>
      <c r="J1568" t="n">
        <v>-0.5859</v>
      </c>
      <c r="K1568" t="n">
        <v>0.2</v>
      </c>
      <c r="L1568" t="n">
        <v>0.6879999999999999</v>
      </c>
      <c r="M1568" t="n">
        <v>0.113</v>
      </c>
    </row>
    <row r="1569" spans="1:13">
      <c r="A1569" s="1">
        <f>HYPERLINK("http://www.twitter.com/NathanBLawrence/status/999502931207639040", "999502931207639040")</f>
        <v/>
      </c>
      <c r="B1569" s="2" t="n">
        <v>43244.17410879629</v>
      </c>
      <c r="C1569" t="n">
        <v>0</v>
      </c>
      <c r="D1569" t="n">
        <v>7308</v>
      </c>
      <c r="E1569" t="s">
        <v>1577</v>
      </c>
      <c r="F1569" t="s"/>
      <c r="G1569" t="s"/>
      <c r="H1569" t="s"/>
      <c r="I1569" t="s"/>
      <c r="J1569" t="n">
        <v>0.1655</v>
      </c>
      <c r="K1569" t="n">
        <v>0</v>
      </c>
      <c r="L1569" t="n">
        <v>0.93</v>
      </c>
      <c r="M1569" t="n">
        <v>0.07000000000000001</v>
      </c>
    </row>
    <row r="1570" spans="1:13">
      <c r="A1570" s="1">
        <f>HYPERLINK("http://www.twitter.com/NathanBLawrence/status/999502806708097025", "999502806708097025")</f>
        <v/>
      </c>
      <c r="B1570" s="2" t="n">
        <v>43244.17376157407</v>
      </c>
      <c r="C1570" t="n">
        <v>0</v>
      </c>
      <c r="D1570" t="n">
        <v>1591</v>
      </c>
      <c r="E1570" t="s">
        <v>1578</v>
      </c>
      <c r="F1570" t="s"/>
      <c r="G1570" t="s"/>
      <c r="H1570" t="s"/>
      <c r="I1570" t="s"/>
      <c r="J1570" t="n">
        <v>0</v>
      </c>
      <c r="K1570" t="n">
        <v>0</v>
      </c>
      <c r="L1570" t="n">
        <v>1</v>
      </c>
      <c r="M1570" t="n">
        <v>0</v>
      </c>
    </row>
    <row r="1571" spans="1:13">
      <c r="A1571" s="1">
        <f>HYPERLINK("http://www.twitter.com/NathanBLawrence/status/999502737762148353", "999502737762148353")</f>
        <v/>
      </c>
      <c r="B1571" s="2" t="n">
        <v>43244.17357638889</v>
      </c>
      <c r="C1571" t="n">
        <v>0</v>
      </c>
      <c r="D1571" t="n">
        <v>2654</v>
      </c>
      <c r="E1571" t="s">
        <v>1579</v>
      </c>
      <c r="F1571" t="s"/>
      <c r="G1571" t="s"/>
      <c r="H1571" t="s"/>
      <c r="I1571" t="s"/>
      <c r="J1571" t="n">
        <v>0.7783</v>
      </c>
      <c r="K1571" t="n">
        <v>0</v>
      </c>
      <c r="L1571" t="n">
        <v>0.755</v>
      </c>
      <c r="M1571" t="n">
        <v>0.245</v>
      </c>
    </row>
    <row r="1572" spans="1:13">
      <c r="A1572" s="1">
        <f>HYPERLINK("http://www.twitter.com/NathanBLawrence/status/999502645277724672", "999502645277724672")</f>
        <v/>
      </c>
      <c r="B1572" s="2" t="n">
        <v>43244.17332175926</v>
      </c>
      <c r="C1572" t="n">
        <v>0</v>
      </c>
      <c r="D1572" t="n">
        <v>152</v>
      </c>
      <c r="E1572" t="s">
        <v>1580</v>
      </c>
      <c r="F1572" t="s"/>
      <c r="G1572" t="s"/>
      <c r="H1572" t="s"/>
      <c r="I1572" t="s"/>
      <c r="J1572" t="n">
        <v>-0.1513</v>
      </c>
      <c r="K1572" t="n">
        <v>0.117</v>
      </c>
      <c r="L1572" t="n">
        <v>0.883</v>
      </c>
      <c r="M1572" t="n">
        <v>0</v>
      </c>
    </row>
    <row r="1573" spans="1:13">
      <c r="A1573" s="1">
        <f>HYPERLINK("http://www.twitter.com/NathanBLawrence/status/999502489190830080", "999502489190830080")</f>
        <v/>
      </c>
      <c r="B1573" s="2" t="n">
        <v>43244.17288194445</v>
      </c>
      <c r="C1573" t="n">
        <v>0</v>
      </c>
      <c r="D1573" t="n">
        <v>2551</v>
      </c>
      <c r="E1573" t="s">
        <v>1581</v>
      </c>
      <c r="F1573" t="s"/>
      <c r="G1573" t="s"/>
      <c r="H1573" t="s"/>
      <c r="I1573" t="s"/>
      <c r="J1573" t="n">
        <v>0</v>
      </c>
      <c r="K1573" t="n">
        <v>0</v>
      </c>
      <c r="L1573" t="n">
        <v>1</v>
      </c>
      <c r="M1573" t="n">
        <v>0</v>
      </c>
    </row>
    <row r="1574" spans="1:13">
      <c r="A1574" s="1">
        <f>HYPERLINK("http://www.twitter.com/NathanBLawrence/status/999502402016432133", "999502402016432133")</f>
        <v/>
      </c>
      <c r="B1574" s="2" t="n">
        <v>43244.17265046296</v>
      </c>
      <c r="C1574" t="n">
        <v>0</v>
      </c>
      <c r="D1574" t="n">
        <v>502</v>
      </c>
      <c r="E1574" t="s">
        <v>1582</v>
      </c>
      <c r="F1574" t="s"/>
      <c r="G1574" t="s"/>
      <c r="H1574" t="s"/>
      <c r="I1574" t="s"/>
      <c r="J1574" t="n">
        <v>0.4939</v>
      </c>
      <c r="K1574" t="n">
        <v>0</v>
      </c>
      <c r="L1574" t="n">
        <v>0.862</v>
      </c>
      <c r="M1574" t="n">
        <v>0.138</v>
      </c>
    </row>
    <row r="1575" spans="1:13">
      <c r="A1575" s="1">
        <f>HYPERLINK("http://www.twitter.com/NathanBLawrence/status/999501683699978241", "999501683699978241")</f>
        <v/>
      </c>
      <c r="B1575" s="2" t="n">
        <v>43244.17065972222</v>
      </c>
      <c r="C1575" t="n">
        <v>0</v>
      </c>
      <c r="D1575" t="n">
        <v>1294</v>
      </c>
      <c r="E1575" t="s">
        <v>1583</v>
      </c>
      <c r="F1575" t="s"/>
      <c r="G1575" t="s"/>
      <c r="H1575" t="s"/>
      <c r="I1575" t="s"/>
      <c r="J1575" t="n">
        <v>-0.6103</v>
      </c>
      <c r="K1575" t="n">
        <v>0.263</v>
      </c>
      <c r="L1575" t="n">
        <v>0.737</v>
      </c>
      <c r="M1575" t="n">
        <v>0</v>
      </c>
    </row>
    <row r="1576" spans="1:13">
      <c r="A1576" s="1">
        <f>HYPERLINK("http://www.twitter.com/NathanBLawrence/status/999501552044867584", "999501552044867584")</f>
        <v/>
      </c>
      <c r="B1576" s="2" t="n">
        <v>43244.17030092593</v>
      </c>
      <c r="C1576" t="n">
        <v>0</v>
      </c>
      <c r="D1576" t="n">
        <v>953</v>
      </c>
      <c r="E1576" t="s">
        <v>1584</v>
      </c>
      <c r="F1576" t="s"/>
      <c r="G1576" t="s"/>
      <c r="H1576" t="s"/>
      <c r="I1576" t="s"/>
      <c r="J1576" t="n">
        <v>0</v>
      </c>
      <c r="K1576" t="n">
        <v>0</v>
      </c>
      <c r="L1576" t="n">
        <v>1</v>
      </c>
      <c r="M1576" t="n">
        <v>0</v>
      </c>
    </row>
    <row r="1577" spans="1:13">
      <c r="A1577" s="1">
        <f>HYPERLINK("http://www.twitter.com/NathanBLawrence/status/999501451020980224", "999501451020980224")</f>
        <v/>
      </c>
      <c r="B1577" s="2" t="n">
        <v>43244.17002314814</v>
      </c>
      <c r="C1577" t="n">
        <v>0</v>
      </c>
      <c r="D1577" t="n">
        <v>61</v>
      </c>
      <c r="E1577" t="s">
        <v>1585</v>
      </c>
      <c r="F1577">
        <f>HYPERLINK("http://pbs.twimg.com/media/Ddj2J77WsAAcTPo.jpg", "http://pbs.twimg.com/media/Ddj2J77WsAAcTPo.jpg")</f>
        <v/>
      </c>
      <c r="G1577" t="s"/>
      <c r="H1577" t="s"/>
      <c r="I1577" t="s"/>
      <c r="J1577" t="n">
        <v>0</v>
      </c>
      <c r="K1577" t="n">
        <v>0</v>
      </c>
      <c r="L1577" t="n">
        <v>1</v>
      </c>
      <c r="M1577" t="n">
        <v>0</v>
      </c>
    </row>
    <row r="1578" spans="1:13">
      <c r="A1578" s="1">
        <f>HYPERLINK("http://www.twitter.com/NathanBLawrence/status/999501134254497793", "999501134254497793")</f>
        <v/>
      </c>
      <c r="B1578" s="2" t="n">
        <v>43244.16914351852</v>
      </c>
      <c r="C1578" t="n">
        <v>0</v>
      </c>
      <c r="D1578" t="n">
        <v>703</v>
      </c>
      <c r="E1578" t="s">
        <v>1586</v>
      </c>
      <c r="F1578" t="s"/>
      <c r="G1578" t="s"/>
      <c r="H1578" t="s"/>
      <c r="I1578" t="s"/>
      <c r="J1578" t="n">
        <v>0</v>
      </c>
      <c r="K1578" t="n">
        <v>0</v>
      </c>
      <c r="L1578" t="n">
        <v>1</v>
      </c>
      <c r="M1578" t="n">
        <v>0</v>
      </c>
    </row>
    <row r="1579" spans="1:13">
      <c r="A1579" s="1">
        <f>HYPERLINK("http://www.twitter.com/NathanBLawrence/status/999501051194757120", "999501051194757120")</f>
        <v/>
      </c>
      <c r="B1579" s="2" t="n">
        <v>43244.16892361111</v>
      </c>
      <c r="C1579" t="n">
        <v>0</v>
      </c>
      <c r="D1579" t="n">
        <v>75</v>
      </c>
      <c r="E1579" t="s">
        <v>1587</v>
      </c>
      <c r="F1579">
        <f>HYPERLINK("http://pbs.twimg.com/media/DdfiBblVAAIDFdg.jpg", "http://pbs.twimg.com/media/DdfiBblVAAIDFdg.jpg")</f>
        <v/>
      </c>
      <c r="G1579" t="s"/>
      <c r="H1579" t="s"/>
      <c r="I1579" t="s"/>
      <c r="J1579" t="n">
        <v>0.7262999999999999</v>
      </c>
      <c r="K1579" t="n">
        <v>0</v>
      </c>
      <c r="L1579" t="n">
        <v>0.535</v>
      </c>
      <c r="M1579" t="n">
        <v>0.465</v>
      </c>
    </row>
    <row r="1580" spans="1:13">
      <c r="A1580" s="1">
        <f>HYPERLINK("http://www.twitter.com/NathanBLawrence/status/999496939577147392", "999496939577147392")</f>
        <v/>
      </c>
      <c r="B1580" s="2" t="n">
        <v>43244.15756944445</v>
      </c>
      <c r="C1580" t="n">
        <v>0</v>
      </c>
      <c r="D1580" t="n">
        <v>280</v>
      </c>
      <c r="E1580" t="s">
        <v>1588</v>
      </c>
      <c r="F1580" t="s"/>
      <c r="G1580" t="s"/>
      <c r="H1580" t="s"/>
      <c r="I1580" t="s"/>
      <c r="J1580" t="n">
        <v>-0.8689</v>
      </c>
      <c r="K1580" t="n">
        <v>0.454</v>
      </c>
      <c r="L1580" t="n">
        <v>0.546</v>
      </c>
      <c r="M1580" t="n">
        <v>0</v>
      </c>
    </row>
    <row r="1581" spans="1:13">
      <c r="A1581" s="1">
        <f>HYPERLINK("http://www.twitter.com/NathanBLawrence/status/999496838804922368", "999496838804922368")</f>
        <v/>
      </c>
      <c r="B1581" s="2" t="n">
        <v>43244.15729166667</v>
      </c>
      <c r="C1581" t="n">
        <v>0</v>
      </c>
      <c r="D1581" t="n">
        <v>1391</v>
      </c>
      <c r="E1581" t="s">
        <v>1589</v>
      </c>
      <c r="F1581" t="s"/>
      <c r="G1581" t="s"/>
      <c r="H1581" t="s"/>
      <c r="I1581" t="s"/>
      <c r="J1581" t="n">
        <v>-0.3612</v>
      </c>
      <c r="K1581" t="n">
        <v>0.201</v>
      </c>
      <c r="L1581" t="n">
        <v>0.656</v>
      </c>
      <c r="M1581" t="n">
        <v>0.143</v>
      </c>
    </row>
    <row r="1582" spans="1:13">
      <c r="A1582" s="1">
        <f>HYPERLINK("http://www.twitter.com/NathanBLawrence/status/999496769649238017", "999496769649238017")</f>
        <v/>
      </c>
      <c r="B1582" s="2" t="n">
        <v>43244.15710648148</v>
      </c>
      <c r="C1582" t="n">
        <v>0</v>
      </c>
      <c r="D1582" t="n">
        <v>126</v>
      </c>
      <c r="E1582" t="s">
        <v>1590</v>
      </c>
      <c r="F1582" t="s"/>
      <c r="G1582" t="s"/>
      <c r="H1582" t="s"/>
      <c r="I1582" t="s"/>
      <c r="J1582" t="n">
        <v>-0.8643999999999999</v>
      </c>
      <c r="K1582" t="n">
        <v>0.366</v>
      </c>
      <c r="L1582" t="n">
        <v>0.634</v>
      </c>
      <c r="M1582" t="n">
        <v>0</v>
      </c>
    </row>
    <row r="1583" spans="1:13">
      <c r="A1583" s="1">
        <f>HYPERLINK("http://www.twitter.com/NathanBLawrence/status/999496587163430912", "999496587163430912")</f>
        <v/>
      </c>
      <c r="B1583" s="2" t="n">
        <v>43244.15659722222</v>
      </c>
      <c r="C1583" t="n">
        <v>0</v>
      </c>
      <c r="D1583" t="n">
        <v>2525</v>
      </c>
      <c r="E1583" t="s">
        <v>1591</v>
      </c>
      <c r="F1583" t="s"/>
      <c r="G1583" t="s"/>
      <c r="H1583" t="s"/>
      <c r="I1583" t="s"/>
      <c r="J1583" t="n">
        <v>0</v>
      </c>
      <c r="K1583" t="n">
        <v>0</v>
      </c>
      <c r="L1583" t="n">
        <v>1</v>
      </c>
      <c r="M1583" t="n">
        <v>0</v>
      </c>
    </row>
    <row r="1584" spans="1:13">
      <c r="A1584" s="1">
        <f>HYPERLINK("http://www.twitter.com/NathanBLawrence/status/999496338407649280", "999496338407649280")</f>
        <v/>
      </c>
      <c r="B1584" s="2" t="n">
        <v>43244.15591435185</v>
      </c>
      <c r="C1584" t="n">
        <v>0</v>
      </c>
      <c r="D1584" t="n">
        <v>93</v>
      </c>
      <c r="E1584" t="s">
        <v>1592</v>
      </c>
      <c r="F1584">
        <f>HYPERLINK("http://pbs.twimg.com/media/Dd5tY6aV0AEeVeh.jpg", "http://pbs.twimg.com/media/Dd5tY6aV0AEeVeh.jpg")</f>
        <v/>
      </c>
      <c r="G1584">
        <f>HYPERLINK("http://pbs.twimg.com/media/Dd5taFpU8AEQaJ_.jpg", "http://pbs.twimg.com/media/Dd5taFpU8AEQaJ_.jpg")</f>
        <v/>
      </c>
      <c r="H1584">
        <f>HYPERLINK("http://pbs.twimg.com/media/Dd5ta78U8AAYWqR.jpg", "http://pbs.twimg.com/media/Dd5ta78U8AAYWqR.jpg")</f>
        <v/>
      </c>
      <c r="I1584" t="s"/>
      <c r="J1584" t="n">
        <v>0.4019</v>
      </c>
      <c r="K1584" t="n">
        <v>0</v>
      </c>
      <c r="L1584" t="n">
        <v>0.895</v>
      </c>
      <c r="M1584" t="n">
        <v>0.105</v>
      </c>
    </row>
    <row r="1585" spans="1:13">
      <c r="A1585" s="1">
        <f>HYPERLINK("http://www.twitter.com/NathanBLawrence/status/999496263556100096", "999496263556100096")</f>
        <v/>
      </c>
      <c r="B1585" s="2" t="n">
        <v>43244.15570601852</v>
      </c>
      <c r="C1585" t="n">
        <v>0</v>
      </c>
      <c r="D1585" t="n">
        <v>84</v>
      </c>
      <c r="E1585" t="s">
        <v>1593</v>
      </c>
      <c r="F1585" t="s"/>
      <c r="G1585" t="s"/>
      <c r="H1585" t="s"/>
      <c r="I1585" t="s"/>
      <c r="J1585" t="n">
        <v>0.25</v>
      </c>
      <c r="K1585" t="n">
        <v>0.083</v>
      </c>
      <c r="L1585" t="n">
        <v>0.795</v>
      </c>
      <c r="M1585" t="n">
        <v>0.121</v>
      </c>
    </row>
    <row r="1586" spans="1:13">
      <c r="A1586" s="1">
        <f>HYPERLINK("http://www.twitter.com/NathanBLawrence/status/999496105141440512", "999496105141440512")</f>
        <v/>
      </c>
      <c r="B1586" s="2" t="n">
        <v>43244.15526620371</v>
      </c>
      <c r="C1586" t="n">
        <v>0</v>
      </c>
      <c r="D1586" t="n">
        <v>175</v>
      </c>
      <c r="E1586" t="s">
        <v>1594</v>
      </c>
      <c r="F1586" t="s"/>
      <c r="G1586" t="s"/>
      <c r="H1586" t="s"/>
      <c r="I1586" t="s"/>
      <c r="J1586" t="n">
        <v>0.5994</v>
      </c>
      <c r="K1586" t="n">
        <v>0</v>
      </c>
      <c r="L1586" t="n">
        <v>0.843</v>
      </c>
      <c r="M1586" t="n">
        <v>0.157</v>
      </c>
    </row>
    <row r="1587" spans="1:13">
      <c r="A1587" s="1">
        <f>HYPERLINK("http://www.twitter.com/NathanBLawrence/status/999495914212425728", "999495914212425728")</f>
        <v/>
      </c>
      <c r="B1587" s="2" t="n">
        <v>43244.15474537037</v>
      </c>
      <c r="C1587" t="n">
        <v>0</v>
      </c>
      <c r="D1587" t="n">
        <v>807</v>
      </c>
      <c r="E1587" t="s">
        <v>1595</v>
      </c>
      <c r="F1587" t="s"/>
      <c r="G1587" t="s"/>
      <c r="H1587" t="s"/>
      <c r="I1587" t="s"/>
      <c r="J1587" t="n">
        <v>0.7003</v>
      </c>
      <c r="K1587" t="n">
        <v>0</v>
      </c>
      <c r="L1587" t="n">
        <v>0.784</v>
      </c>
      <c r="M1587" t="n">
        <v>0.216</v>
      </c>
    </row>
    <row r="1588" spans="1:13">
      <c r="A1588" s="1">
        <f>HYPERLINK("http://www.twitter.com/NathanBLawrence/status/999495880444121089", "999495880444121089")</f>
        <v/>
      </c>
      <c r="B1588" s="2" t="n">
        <v>43244.15465277778</v>
      </c>
      <c r="C1588" t="n">
        <v>0</v>
      </c>
      <c r="D1588" t="n">
        <v>577</v>
      </c>
      <c r="E1588" t="s">
        <v>1596</v>
      </c>
      <c r="F1588" t="s"/>
      <c r="G1588" t="s"/>
      <c r="H1588" t="s"/>
      <c r="I1588" t="s"/>
      <c r="J1588" t="n">
        <v>-0.5709</v>
      </c>
      <c r="K1588" t="n">
        <v>0.273</v>
      </c>
      <c r="L1588" t="n">
        <v>0.617</v>
      </c>
      <c r="M1588" t="n">
        <v>0.11</v>
      </c>
    </row>
    <row r="1589" spans="1:13">
      <c r="A1589" s="1">
        <f>HYPERLINK("http://www.twitter.com/NathanBLawrence/status/999495663892271105", "999495663892271105")</f>
        <v/>
      </c>
      <c r="B1589" s="2" t="n">
        <v>43244.15405092593</v>
      </c>
      <c r="C1589" t="n">
        <v>0</v>
      </c>
      <c r="D1589" t="n">
        <v>2994</v>
      </c>
      <c r="E1589" t="s">
        <v>1597</v>
      </c>
      <c r="F1589" t="s"/>
      <c r="G1589" t="s"/>
      <c r="H1589" t="s"/>
      <c r="I1589" t="s"/>
      <c r="J1589" t="n">
        <v>-0.7421</v>
      </c>
      <c r="K1589" t="n">
        <v>0.241</v>
      </c>
      <c r="L1589" t="n">
        <v>0.704</v>
      </c>
      <c r="M1589" t="n">
        <v>0.055</v>
      </c>
    </row>
    <row r="1590" spans="1:13">
      <c r="A1590" s="1">
        <f>HYPERLINK("http://www.twitter.com/NathanBLawrence/status/999495633202491392", "999495633202491392")</f>
        <v/>
      </c>
      <c r="B1590" s="2" t="n">
        <v>43244.15396990741</v>
      </c>
      <c r="C1590" t="n">
        <v>0</v>
      </c>
      <c r="D1590" t="n">
        <v>177</v>
      </c>
      <c r="E1590" t="s">
        <v>1598</v>
      </c>
      <c r="F1590" t="s"/>
      <c r="G1590" t="s"/>
      <c r="H1590" t="s"/>
      <c r="I1590" t="s"/>
      <c r="J1590" t="n">
        <v>0.4215</v>
      </c>
      <c r="K1590" t="n">
        <v>0</v>
      </c>
      <c r="L1590" t="n">
        <v>0.865</v>
      </c>
      <c r="M1590" t="n">
        <v>0.135</v>
      </c>
    </row>
    <row r="1591" spans="1:13">
      <c r="A1591" s="1">
        <f>HYPERLINK("http://www.twitter.com/NathanBLawrence/status/999495581390327808", "999495581390327808")</f>
        <v/>
      </c>
      <c r="B1591" s="2" t="n">
        <v>43244.15381944444</v>
      </c>
      <c r="C1591" t="n">
        <v>0</v>
      </c>
      <c r="D1591" t="n">
        <v>114</v>
      </c>
      <c r="E1591" t="s">
        <v>1599</v>
      </c>
      <c r="F1591" t="s"/>
      <c r="G1591" t="s"/>
      <c r="H1591" t="s"/>
      <c r="I1591" t="s"/>
      <c r="J1591" t="n">
        <v>-0.5106000000000001</v>
      </c>
      <c r="K1591" t="n">
        <v>0.142</v>
      </c>
      <c r="L1591" t="n">
        <v>0.858</v>
      </c>
      <c r="M1591" t="n">
        <v>0</v>
      </c>
    </row>
    <row r="1592" spans="1:13">
      <c r="A1592" s="1">
        <f>HYPERLINK("http://www.twitter.com/NathanBLawrence/status/999495482924781568", "999495482924781568")</f>
        <v/>
      </c>
      <c r="B1592" s="2" t="n">
        <v>43244.15355324074</v>
      </c>
      <c r="C1592" t="n">
        <v>0</v>
      </c>
      <c r="D1592" t="n">
        <v>2173</v>
      </c>
      <c r="E1592" t="s">
        <v>1600</v>
      </c>
      <c r="F1592" t="s"/>
      <c r="G1592" t="s"/>
      <c r="H1592" t="s"/>
      <c r="I1592" t="s"/>
      <c r="J1592" t="n">
        <v>-0.4341</v>
      </c>
      <c r="K1592" t="n">
        <v>0.144</v>
      </c>
      <c r="L1592" t="n">
        <v>0.856</v>
      </c>
      <c r="M1592" t="n">
        <v>0</v>
      </c>
    </row>
    <row r="1593" spans="1:13">
      <c r="A1593" s="1">
        <f>HYPERLINK("http://www.twitter.com/NathanBLawrence/status/999495441497690112", "999495441497690112")</f>
        <v/>
      </c>
      <c r="B1593" s="2" t="n">
        <v>43244.1534375</v>
      </c>
      <c r="C1593" t="n">
        <v>0</v>
      </c>
      <c r="D1593" t="n">
        <v>108</v>
      </c>
      <c r="E1593" t="s">
        <v>1601</v>
      </c>
      <c r="F1593" t="s"/>
      <c r="G1593" t="s"/>
      <c r="H1593" t="s"/>
      <c r="I1593" t="s"/>
      <c r="J1593" t="n">
        <v>-0.4404</v>
      </c>
      <c r="K1593" t="n">
        <v>0.182</v>
      </c>
      <c r="L1593" t="n">
        <v>0.8179999999999999</v>
      </c>
      <c r="M1593" t="n">
        <v>0</v>
      </c>
    </row>
    <row r="1594" spans="1:13">
      <c r="A1594" s="1">
        <f>HYPERLINK("http://www.twitter.com/NathanBLawrence/status/999495384190869504", "999495384190869504")</f>
        <v/>
      </c>
      <c r="B1594" s="2" t="n">
        <v>43244.15327546297</v>
      </c>
      <c r="C1594" t="n">
        <v>0</v>
      </c>
      <c r="D1594" t="n">
        <v>403</v>
      </c>
      <c r="E1594" t="s">
        <v>1602</v>
      </c>
      <c r="F1594" t="s"/>
      <c r="G1594" t="s"/>
      <c r="H1594" t="s"/>
      <c r="I1594" t="s"/>
      <c r="J1594" t="n">
        <v>-0.1331</v>
      </c>
      <c r="K1594" t="n">
        <v>0.14</v>
      </c>
      <c r="L1594" t="n">
        <v>0.745</v>
      </c>
      <c r="M1594" t="n">
        <v>0.115</v>
      </c>
    </row>
    <row r="1595" spans="1:13">
      <c r="A1595" s="1">
        <f>HYPERLINK("http://www.twitter.com/NathanBLawrence/status/999495357972336640", "999495357972336640")</f>
        <v/>
      </c>
      <c r="B1595" s="2" t="n">
        <v>43244.15320601852</v>
      </c>
      <c r="C1595" t="n">
        <v>0</v>
      </c>
      <c r="D1595" t="n">
        <v>1179</v>
      </c>
      <c r="E1595" t="s">
        <v>1603</v>
      </c>
      <c r="F1595">
        <f>HYPERLINK("http://pbs.twimg.com/media/Dd5CGOJVMAAG-8S.jpg", "http://pbs.twimg.com/media/Dd5CGOJVMAAG-8S.jpg")</f>
        <v/>
      </c>
      <c r="G1595" t="s"/>
      <c r="H1595" t="s"/>
      <c r="I1595" t="s"/>
      <c r="J1595" t="n">
        <v>0.6124000000000001</v>
      </c>
      <c r="K1595" t="n">
        <v>0</v>
      </c>
      <c r="L1595" t="n">
        <v>0.8</v>
      </c>
      <c r="M1595" t="n">
        <v>0.2</v>
      </c>
    </row>
    <row r="1596" spans="1:13">
      <c r="A1596" s="1">
        <f>HYPERLINK("http://www.twitter.com/NathanBLawrence/status/999495175184367617", "999495175184367617")</f>
        <v/>
      </c>
      <c r="B1596" s="2" t="n">
        <v>43244.15270833333</v>
      </c>
      <c r="C1596" t="n">
        <v>0</v>
      </c>
      <c r="D1596" t="n">
        <v>1061</v>
      </c>
      <c r="E1596" t="s">
        <v>1604</v>
      </c>
      <c r="F1596">
        <f>HYPERLINK("http://pbs.twimg.com/media/Dd63hEdVQAEZfNV.jpg", "http://pbs.twimg.com/media/Dd63hEdVQAEZfNV.jpg")</f>
        <v/>
      </c>
      <c r="G1596" t="s"/>
      <c r="H1596" t="s"/>
      <c r="I1596" t="s"/>
      <c r="J1596" t="n">
        <v>0.5266999999999999</v>
      </c>
      <c r="K1596" t="n">
        <v>0</v>
      </c>
      <c r="L1596" t="n">
        <v>0.833</v>
      </c>
      <c r="M1596" t="n">
        <v>0.167</v>
      </c>
    </row>
    <row r="1597" spans="1:13">
      <c r="A1597" s="1">
        <f>HYPERLINK("http://www.twitter.com/NathanBLawrence/status/999494867217715200", "999494867217715200")</f>
        <v/>
      </c>
      <c r="B1597" s="2" t="n">
        <v>43244.15185185185</v>
      </c>
      <c r="C1597" t="n">
        <v>0</v>
      </c>
      <c r="D1597" t="n">
        <v>216</v>
      </c>
      <c r="E1597" t="s">
        <v>1605</v>
      </c>
      <c r="F1597" t="s"/>
      <c r="G1597" t="s"/>
      <c r="H1597" t="s"/>
      <c r="I1597" t="s"/>
      <c r="J1597" t="n">
        <v>-0.4939</v>
      </c>
      <c r="K1597" t="n">
        <v>0.198</v>
      </c>
      <c r="L1597" t="n">
        <v>0.719</v>
      </c>
      <c r="M1597" t="n">
        <v>0.083</v>
      </c>
    </row>
    <row r="1598" spans="1:13">
      <c r="A1598" s="1">
        <f>HYPERLINK("http://www.twitter.com/NathanBLawrence/status/999494571708035073", "999494571708035073")</f>
        <v/>
      </c>
      <c r="B1598" s="2" t="n">
        <v>43244.15104166666</v>
      </c>
      <c r="C1598" t="n">
        <v>0</v>
      </c>
      <c r="D1598" t="n">
        <v>97</v>
      </c>
      <c r="E1598" t="s">
        <v>1606</v>
      </c>
      <c r="F1598" t="s"/>
      <c r="G1598" t="s"/>
      <c r="H1598" t="s"/>
      <c r="I1598" t="s"/>
      <c r="J1598" t="n">
        <v>0</v>
      </c>
      <c r="K1598" t="n">
        <v>0</v>
      </c>
      <c r="L1598" t="n">
        <v>1</v>
      </c>
      <c r="M1598" t="n">
        <v>0</v>
      </c>
    </row>
    <row r="1599" spans="1:13">
      <c r="A1599" s="1">
        <f>HYPERLINK("http://www.twitter.com/NathanBLawrence/status/999494534408130560", "999494534408130560")</f>
        <v/>
      </c>
      <c r="B1599" s="2" t="n">
        <v>43244.1509375</v>
      </c>
      <c r="C1599" t="n">
        <v>0</v>
      </c>
      <c r="D1599" t="n">
        <v>1277</v>
      </c>
      <c r="E1599" t="s">
        <v>1607</v>
      </c>
      <c r="F1599">
        <f>HYPERLINK("http://pbs.twimg.com/media/Dd5IBU3V0AIUSSA.jpg", "http://pbs.twimg.com/media/Dd5IBU3V0AIUSSA.jpg")</f>
        <v/>
      </c>
      <c r="G1599">
        <f>HYPERLINK("http://pbs.twimg.com/media/Dd5IBU2V4AAhwNZ.jpg", "http://pbs.twimg.com/media/Dd5IBU2V4AAhwNZ.jpg")</f>
        <v/>
      </c>
      <c r="H1599" t="s"/>
      <c r="I1599" t="s"/>
      <c r="J1599" t="n">
        <v>-0.2263</v>
      </c>
      <c r="K1599" t="n">
        <v>0.101</v>
      </c>
      <c r="L1599" t="n">
        <v>0.899</v>
      </c>
      <c r="M1599" t="n">
        <v>0</v>
      </c>
    </row>
    <row r="1600" spans="1:13">
      <c r="A1600" s="1">
        <f>HYPERLINK("http://www.twitter.com/NathanBLawrence/status/999493577813176320", "999493577813176320")</f>
        <v/>
      </c>
      <c r="B1600" s="2" t="n">
        <v>43244.14829861111</v>
      </c>
      <c r="C1600" t="n">
        <v>0</v>
      </c>
      <c r="D1600" t="n">
        <v>2082</v>
      </c>
      <c r="E1600" t="s">
        <v>1608</v>
      </c>
      <c r="F1600" t="s"/>
      <c r="G1600" t="s"/>
      <c r="H1600" t="s"/>
      <c r="I1600" t="s"/>
      <c r="J1600" t="n">
        <v>-0.1531</v>
      </c>
      <c r="K1600" t="n">
        <v>0.126</v>
      </c>
      <c r="L1600" t="n">
        <v>0.769</v>
      </c>
      <c r="M1600" t="n">
        <v>0.105</v>
      </c>
    </row>
    <row r="1601" spans="1:13">
      <c r="A1601" s="1">
        <f>HYPERLINK("http://www.twitter.com/NathanBLawrence/status/999492347573559299", "999492347573559299")</f>
        <v/>
      </c>
      <c r="B1601" s="2" t="n">
        <v>43244.14489583333</v>
      </c>
      <c r="C1601" t="n">
        <v>0</v>
      </c>
      <c r="D1601" t="n">
        <v>642</v>
      </c>
      <c r="E1601" t="s">
        <v>1609</v>
      </c>
      <c r="F1601" t="s"/>
      <c r="G1601" t="s"/>
      <c r="H1601" t="s"/>
      <c r="I1601" t="s"/>
      <c r="J1601" t="n">
        <v>-0.1511</v>
      </c>
      <c r="K1601" t="n">
        <v>0.137</v>
      </c>
      <c r="L1601" t="n">
        <v>0.863</v>
      </c>
      <c r="M1601" t="n">
        <v>0</v>
      </c>
    </row>
    <row r="1602" spans="1:13">
      <c r="A1602" s="1">
        <f>HYPERLINK("http://www.twitter.com/NathanBLawrence/status/999492263393873920", "999492263393873920")</f>
        <v/>
      </c>
      <c r="B1602" s="2" t="n">
        <v>43244.14466435185</v>
      </c>
      <c r="C1602" t="n">
        <v>0</v>
      </c>
      <c r="D1602" t="n">
        <v>38</v>
      </c>
      <c r="E1602" t="s">
        <v>1610</v>
      </c>
      <c r="F1602" t="s"/>
      <c r="G1602" t="s"/>
      <c r="H1602" t="s"/>
      <c r="I1602" t="s"/>
      <c r="J1602" t="n">
        <v>0.4404</v>
      </c>
      <c r="K1602" t="n">
        <v>0</v>
      </c>
      <c r="L1602" t="n">
        <v>0.822</v>
      </c>
      <c r="M1602" t="n">
        <v>0.178</v>
      </c>
    </row>
    <row r="1603" spans="1:13">
      <c r="A1603" s="1">
        <f>HYPERLINK("http://www.twitter.com/NathanBLawrence/status/999492100658954240", "999492100658954240")</f>
        <v/>
      </c>
      <c r="B1603" s="2" t="n">
        <v>43244.14422453703</v>
      </c>
      <c r="C1603" t="n">
        <v>0</v>
      </c>
      <c r="D1603" t="n">
        <v>92</v>
      </c>
      <c r="E1603" t="s">
        <v>1611</v>
      </c>
      <c r="F1603" t="s"/>
      <c r="G1603" t="s"/>
      <c r="H1603" t="s"/>
      <c r="I1603" t="s"/>
      <c r="J1603" t="n">
        <v>0.3818</v>
      </c>
      <c r="K1603" t="n">
        <v>0</v>
      </c>
      <c r="L1603" t="n">
        <v>0.843</v>
      </c>
      <c r="M1603" t="n">
        <v>0.157</v>
      </c>
    </row>
    <row r="1604" spans="1:13">
      <c r="A1604" s="1">
        <f>HYPERLINK("http://www.twitter.com/NathanBLawrence/status/999491568615723008", "999491568615723008")</f>
        <v/>
      </c>
      <c r="B1604" s="2" t="n">
        <v>43244.14275462963</v>
      </c>
      <c r="C1604" t="n">
        <v>0</v>
      </c>
      <c r="D1604" t="n">
        <v>1767</v>
      </c>
      <c r="E1604" t="s">
        <v>1612</v>
      </c>
      <c r="F1604" t="s"/>
      <c r="G1604" t="s"/>
      <c r="H1604" t="s"/>
      <c r="I1604" t="s"/>
      <c r="J1604" t="n">
        <v>0.4019</v>
      </c>
      <c r="K1604" t="n">
        <v>0</v>
      </c>
      <c r="L1604" t="n">
        <v>0.838</v>
      </c>
      <c r="M1604" t="n">
        <v>0.162</v>
      </c>
    </row>
    <row r="1605" spans="1:13">
      <c r="A1605" s="1">
        <f>HYPERLINK("http://www.twitter.com/NathanBLawrence/status/999491043623096320", "999491043623096320")</f>
        <v/>
      </c>
      <c r="B1605" s="2" t="n">
        <v>43244.14130787037</v>
      </c>
      <c r="C1605" t="n">
        <v>0</v>
      </c>
      <c r="D1605" t="n">
        <v>53</v>
      </c>
      <c r="E1605" t="s">
        <v>1613</v>
      </c>
      <c r="F1605" t="s"/>
      <c r="G1605" t="s"/>
      <c r="H1605" t="s"/>
      <c r="I1605" t="s"/>
      <c r="J1605" t="n">
        <v>-0.3818</v>
      </c>
      <c r="K1605" t="n">
        <v>0.106</v>
      </c>
      <c r="L1605" t="n">
        <v>0.894</v>
      </c>
      <c r="M1605" t="n">
        <v>0</v>
      </c>
    </row>
    <row r="1606" spans="1:13">
      <c r="A1606" s="1">
        <f>HYPERLINK("http://www.twitter.com/NathanBLawrence/status/999490733655633920", "999490733655633920")</f>
        <v/>
      </c>
      <c r="B1606" s="2" t="n">
        <v>43244.14045138889</v>
      </c>
      <c r="C1606" t="n">
        <v>0</v>
      </c>
      <c r="D1606" t="n">
        <v>809</v>
      </c>
      <c r="E1606" t="s">
        <v>1614</v>
      </c>
      <c r="F1606">
        <f>HYPERLINK("http://pbs.twimg.com/media/Dd68NDGUwAAr2XW.jpg", "http://pbs.twimg.com/media/Dd68NDGUwAAr2XW.jpg")</f>
        <v/>
      </c>
      <c r="G1606">
        <f>HYPERLINK("http://pbs.twimg.com/media/Dd68NDGVQAEh4W_.jpg", "http://pbs.twimg.com/media/Dd68NDGVQAEh4W_.jpg")</f>
        <v/>
      </c>
      <c r="H1606" t="s"/>
      <c r="I1606" t="s"/>
      <c r="J1606" t="n">
        <v>0</v>
      </c>
      <c r="K1606" t="n">
        <v>0</v>
      </c>
      <c r="L1606" t="n">
        <v>1</v>
      </c>
      <c r="M1606" t="n">
        <v>0</v>
      </c>
    </row>
    <row r="1607" spans="1:13">
      <c r="A1607" s="1">
        <f>HYPERLINK("http://www.twitter.com/NathanBLawrence/status/999490700793311233", "999490700793311233")</f>
        <v/>
      </c>
      <c r="B1607" s="2" t="n">
        <v>43244.1403587963</v>
      </c>
      <c r="C1607" t="n">
        <v>0</v>
      </c>
      <c r="D1607" t="n">
        <v>3201</v>
      </c>
      <c r="E1607" t="s">
        <v>1615</v>
      </c>
      <c r="F1607" t="s"/>
      <c r="G1607" t="s"/>
      <c r="H1607" t="s"/>
      <c r="I1607" t="s"/>
      <c r="J1607" t="n">
        <v>0</v>
      </c>
      <c r="K1607" t="n">
        <v>0</v>
      </c>
      <c r="L1607" t="n">
        <v>1</v>
      </c>
      <c r="M1607" t="n">
        <v>0</v>
      </c>
    </row>
    <row r="1608" spans="1:13">
      <c r="A1608" s="1">
        <f>HYPERLINK("http://www.twitter.com/NathanBLawrence/status/999486335206461440", "999486335206461440")</f>
        <v/>
      </c>
      <c r="B1608" s="2" t="n">
        <v>43244.12831018519</v>
      </c>
      <c r="C1608" t="n">
        <v>0</v>
      </c>
      <c r="D1608" t="n">
        <v>411</v>
      </c>
      <c r="E1608" t="s">
        <v>1616</v>
      </c>
      <c r="F1608">
        <f>HYPERLINK("http://pbs.twimg.com/media/Dd6RvPRUQAE2GGu.jpg", "http://pbs.twimg.com/media/Dd6RvPRUQAE2GGu.jpg")</f>
        <v/>
      </c>
      <c r="G1608" t="s"/>
      <c r="H1608" t="s"/>
      <c r="I1608" t="s"/>
      <c r="J1608" t="n">
        <v>0</v>
      </c>
      <c r="K1608" t="n">
        <v>0</v>
      </c>
      <c r="L1608" t="n">
        <v>1</v>
      </c>
      <c r="M1608" t="n">
        <v>0</v>
      </c>
    </row>
    <row r="1609" spans="1:13">
      <c r="A1609" s="1">
        <f>HYPERLINK("http://www.twitter.com/NathanBLawrence/status/999483833841004544", "999483833841004544")</f>
        <v/>
      </c>
      <c r="B1609" s="2" t="n">
        <v>43244.12141203704</v>
      </c>
      <c r="C1609" t="n">
        <v>0</v>
      </c>
      <c r="D1609" t="n">
        <v>3517</v>
      </c>
      <c r="E1609" t="s">
        <v>1617</v>
      </c>
      <c r="F1609" t="s"/>
      <c r="G1609" t="s"/>
      <c r="H1609" t="s"/>
      <c r="I1609" t="s"/>
      <c r="J1609" t="n">
        <v>-0.6124000000000001</v>
      </c>
      <c r="K1609" t="n">
        <v>0.179</v>
      </c>
      <c r="L1609" t="n">
        <v>0.821</v>
      </c>
      <c r="M1609" t="n">
        <v>0</v>
      </c>
    </row>
    <row r="1610" spans="1:13">
      <c r="A1610" s="1">
        <f>HYPERLINK("http://www.twitter.com/NathanBLawrence/status/999483188660592640", "999483188660592640")</f>
        <v/>
      </c>
      <c r="B1610" s="2" t="n">
        <v>43244.11962962963</v>
      </c>
      <c r="C1610" t="n">
        <v>0</v>
      </c>
      <c r="D1610" t="n">
        <v>2988</v>
      </c>
      <c r="E1610" t="s">
        <v>1618</v>
      </c>
      <c r="F1610" t="s"/>
      <c r="G1610" t="s"/>
      <c r="H1610" t="s"/>
      <c r="I1610" t="s"/>
      <c r="J1610" t="n">
        <v>0</v>
      </c>
      <c r="K1610" t="n">
        <v>0</v>
      </c>
      <c r="L1610" t="n">
        <v>1</v>
      </c>
      <c r="M1610" t="n">
        <v>0</v>
      </c>
    </row>
    <row r="1611" spans="1:13">
      <c r="A1611" s="1">
        <f>HYPERLINK("http://www.twitter.com/NathanBLawrence/status/999482991318568960", "999482991318568960")</f>
        <v/>
      </c>
      <c r="B1611" s="2" t="n">
        <v>43244.11908564815</v>
      </c>
      <c r="C1611" t="n">
        <v>0</v>
      </c>
      <c r="D1611" t="n">
        <v>179</v>
      </c>
      <c r="E1611" t="s">
        <v>1619</v>
      </c>
      <c r="F1611" t="s"/>
      <c r="G1611" t="s"/>
      <c r="H1611" t="s"/>
      <c r="I1611" t="s"/>
      <c r="J1611" t="n">
        <v>0</v>
      </c>
      <c r="K1611" t="n">
        <v>0</v>
      </c>
      <c r="L1611" t="n">
        <v>1</v>
      </c>
      <c r="M1611" t="n">
        <v>0</v>
      </c>
    </row>
    <row r="1612" spans="1:13">
      <c r="A1612" s="1">
        <f>HYPERLINK("http://www.twitter.com/NathanBLawrence/status/999482166617759745", "999482166617759745")</f>
        <v/>
      </c>
      <c r="B1612" s="2" t="n">
        <v>43244.11680555555</v>
      </c>
      <c r="C1612" t="n">
        <v>0</v>
      </c>
      <c r="D1612" t="n">
        <v>2796</v>
      </c>
      <c r="E1612" t="s">
        <v>1620</v>
      </c>
      <c r="F1612" t="s"/>
      <c r="G1612" t="s"/>
      <c r="H1612" t="s"/>
      <c r="I1612" t="s"/>
      <c r="J1612" t="n">
        <v>-0.7269</v>
      </c>
      <c r="K1612" t="n">
        <v>0.353</v>
      </c>
      <c r="L1612" t="n">
        <v>0.647</v>
      </c>
      <c r="M1612" t="n">
        <v>0</v>
      </c>
    </row>
    <row r="1613" spans="1:13">
      <c r="A1613" s="1">
        <f>HYPERLINK("http://www.twitter.com/NathanBLawrence/status/999482042034413568", "999482042034413568")</f>
        <v/>
      </c>
      <c r="B1613" s="2" t="n">
        <v>43244.11645833333</v>
      </c>
      <c r="C1613" t="n">
        <v>0</v>
      </c>
      <c r="D1613" t="n">
        <v>1911</v>
      </c>
      <c r="E1613" t="s">
        <v>1621</v>
      </c>
      <c r="F1613" t="s"/>
      <c r="G1613" t="s"/>
      <c r="H1613" t="s"/>
      <c r="I1613" t="s"/>
      <c r="J1613" t="n">
        <v>0.128</v>
      </c>
      <c r="K1613" t="n">
        <v>0.095</v>
      </c>
      <c r="L1613" t="n">
        <v>0.791</v>
      </c>
      <c r="M1613" t="n">
        <v>0.115</v>
      </c>
    </row>
    <row r="1614" spans="1:13">
      <c r="A1614" s="1">
        <f>HYPERLINK("http://www.twitter.com/NathanBLawrence/status/999481656401629185", "999481656401629185")</f>
        <v/>
      </c>
      <c r="B1614" s="2" t="n">
        <v>43244.11540509259</v>
      </c>
      <c r="C1614" t="n">
        <v>0</v>
      </c>
      <c r="D1614" t="n">
        <v>196</v>
      </c>
      <c r="E1614" t="s">
        <v>1622</v>
      </c>
      <c r="F1614" t="s"/>
      <c r="G1614" t="s"/>
      <c r="H1614" t="s"/>
      <c r="I1614" t="s"/>
      <c r="J1614" t="n">
        <v>-0.8401999999999999</v>
      </c>
      <c r="K1614" t="n">
        <v>0.346</v>
      </c>
      <c r="L1614" t="n">
        <v>0.654</v>
      </c>
      <c r="M1614" t="n">
        <v>0</v>
      </c>
    </row>
    <row r="1615" spans="1:13">
      <c r="A1615" s="1">
        <f>HYPERLINK("http://www.twitter.com/NathanBLawrence/status/999481617994452992", "999481617994452992")</f>
        <v/>
      </c>
      <c r="B1615" s="2" t="n">
        <v>43244.11528935185</v>
      </c>
      <c r="C1615" t="n">
        <v>0</v>
      </c>
      <c r="D1615" t="n">
        <v>492</v>
      </c>
      <c r="E1615" t="s">
        <v>1623</v>
      </c>
      <c r="F1615" t="s"/>
      <c r="G1615" t="s"/>
      <c r="H1615" t="s"/>
      <c r="I1615" t="s"/>
      <c r="J1615" t="n">
        <v>-0.2732</v>
      </c>
      <c r="K1615" t="n">
        <v>0.116</v>
      </c>
      <c r="L1615" t="n">
        <v>0.821</v>
      </c>
      <c r="M1615" t="n">
        <v>0.063</v>
      </c>
    </row>
    <row r="1616" spans="1:13">
      <c r="A1616" s="1">
        <f>HYPERLINK("http://www.twitter.com/NathanBLawrence/status/999481467305648129", "999481467305648129")</f>
        <v/>
      </c>
      <c r="B1616" s="2" t="n">
        <v>43244.11487268518</v>
      </c>
      <c r="C1616" t="n">
        <v>0</v>
      </c>
      <c r="D1616" t="n">
        <v>431</v>
      </c>
      <c r="E1616" t="s">
        <v>1624</v>
      </c>
      <c r="F1616" t="s"/>
      <c r="G1616" t="s"/>
      <c r="H1616" t="s"/>
      <c r="I1616" t="s"/>
      <c r="J1616" t="n">
        <v>0</v>
      </c>
      <c r="K1616" t="n">
        <v>0</v>
      </c>
      <c r="L1616" t="n">
        <v>1</v>
      </c>
      <c r="M1616" t="n">
        <v>0</v>
      </c>
    </row>
    <row r="1617" spans="1:13">
      <c r="A1617" s="1">
        <f>HYPERLINK("http://www.twitter.com/NathanBLawrence/status/999480081893548032", "999480081893548032")</f>
        <v/>
      </c>
      <c r="B1617" s="2" t="n">
        <v>43244.11105324074</v>
      </c>
      <c r="C1617" t="n">
        <v>0</v>
      </c>
      <c r="D1617" t="n">
        <v>6</v>
      </c>
      <c r="E1617" t="s">
        <v>1625</v>
      </c>
      <c r="F1617" t="s"/>
      <c r="G1617" t="s"/>
      <c r="H1617" t="s"/>
      <c r="I1617" t="s"/>
      <c r="J1617" t="n">
        <v>-0.7184</v>
      </c>
      <c r="K1617" t="n">
        <v>0.304</v>
      </c>
      <c r="L1617" t="n">
        <v>0.696</v>
      </c>
      <c r="M1617" t="n">
        <v>0</v>
      </c>
    </row>
    <row r="1618" spans="1:13">
      <c r="A1618" s="1">
        <f>HYPERLINK("http://www.twitter.com/NathanBLawrence/status/999479956060147713", "999479956060147713")</f>
        <v/>
      </c>
      <c r="B1618" s="2" t="n">
        <v>43244.11070601852</v>
      </c>
      <c r="C1618" t="n">
        <v>0</v>
      </c>
      <c r="D1618" t="n">
        <v>7114</v>
      </c>
      <c r="E1618" t="s">
        <v>1626</v>
      </c>
      <c r="F1618">
        <f>HYPERLINK("https://video.twimg.com/ext_tw_video/999410978134478850/pu/vid/1280x720/Wu79eVwlxY3InRuO.mp4?tag=3", "https://video.twimg.com/ext_tw_video/999410978134478850/pu/vid/1280x720/Wu79eVwlxY3InRuO.mp4?tag=3")</f>
        <v/>
      </c>
      <c r="G1618" t="s"/>
      <c r="H1618" t="s"/>
      <c r="I1618" t="s"/>
      <c r="J1618" t="n">
        <v>0.8316</v>
      </c>
      <c r="K1618" t="n">
        <v>0</v>
      </c>
      <c r="L1618" t="n">
        <v>0.705</v>
      </c>
      <c r="M1618" t="n">
        <v>0.295</v>
      </c>
    </row>
    <row r="1619" spans="1:13">
      <c r="A1619" s="1">
        <f>HYPERLINK("http://www.twitter.com/NathanBLawrence/status/999479923613028352", "999479923613028352")</f>
        <v/>
      </c>
      <c r="B1619" s="2" t="n">
        <v>43244.11061342592</v>
      </c>
      <c r="C1619" t="n">
        <v>0</v>
      </c>
      <c r="D1619" t="n">
        <v>289</v>
      </c>
      <c r="E1619" t="s">
        <v>1627</v>
      </c>
      <c r="F1619" t="s"/>
      <c r="G1619" t="s"/>
      <c r="H1619" t="s"/>
      <c r="I1619" t="s"/>
      <c r="J1619" t="n">
        <v>0</v>
      </c>
      <c r="K1619" t="n">
        <v>0</v>
      </c>
      <c r="L1619" t="n">
        <v>1</v>
      </c>
      <c r="M1619" t="n">
        <v>0</v>
      </c>
    </row>
    <row r="1620" spans="1:13">
      <c r="A1620" s="1">
        <f>HYPERLINK("http://www.twitter.com/NathanBLawrence/status/999445621990936577", "999445621990936577")</f>
        <v/>
      </c>
      <c r="B1620" s="2" t="n">
        <v>43244.01596064815</v>
      </c>
      <c r="C1620" t="n">
        <v>0</v>
      </c>
      <c r="D1620" t="n">
        <v>84</v>
      </c>
      <c r="E1620" t="s">
        <v>1628</v>
      </c>
      <c r="F1620" t="s"/>
      <c r="G1620" t="s"/>
      <c r="H1620" t="s"/>
      <c r="I1620" t="s"/>
      <c r="J1620" t="n">
        <v>-0.8625</v>
      </c>
      <c r="K1620" t="n">
        <v>0.336</v>
      </c>
      <c r="L1620" t="n">
        <v>0.664</v>
      </c>
      <c r="M1620" t="n">
        <v>0</v>
      </c>
    </row>
    <row r="1621" spans="1:13">
      <c r="A1621" s="1">
        <f>HYPERLINK("http://www.twitter.com/NathanBLawrence/status/999444981101350912", "999444981101350912")</f>
        <v/>
      </c>
      <c r="B1621" s="2" t="n">
        <v>43244.01418981481</v>
      </c>
      <c r="C1621" t="n">
        <v>1</v>
      </c>
      <c r="D1621" t="n">
        <v>0</v>
      </c>
      <c r="E1621" t="s">
        <v>1629</v>
      </c>
      <c r="F1621" t="s"/>
      <c r="G1621" t="s"/>
      <c r="H1621" t="s"/>
      <c r="I1621" t="s"/>
      <c r="J1621" t="n">
        <v>0.5729</v>
      </c>
      <c r="K1621" t="n">
        <v>0.174</v>
      </c>
      <c r="L1621" t="n">
        <v>0.574</v>
      </c>
      <c r="M1621" t="n">
        <v>0.252</v>
      </c>
    </row>
    <row r="1622" spans="1:13">
      <c r="A1622" s="1">
        <f>HYPERLINK("http://www.twitter.com/NathanBLawrence/status/999441484662411264", "999441484662411264")</f>
        <v/>
      </c>
      <c r="B1622" s="2" t="n">
        <v>43244.00454861111</v>
      </c>
      <c r="C1622" t="n">
        <v>1</v>
      </c>
      <c r="D1622" t="n">
        <v>1</v>
      </c>
      <c r="E1622" t="s">
        <v>1630</v>
      </c>
      <c r="F1622" t="s"/>
      <c r="G1622" t="s"/>
      <c r="H1622" t="s"/>
      <c r="I1622" t="s"/>
      <c r="J1622" t="n">
        <v>-0.1779</v>
      </c>
      <c r="K1622" t="n">
        <v>0.125</v>
      </c>
      <c r="L1622" t="n">
        <v>0.766</v>
      </c>
      <c r="M1622" t="n">
        <v>0.109</v>
      </c>
    </row>
    <row r="1623" spans="1:13">
      <c r="A1623" s="1">
        <f>HYPERLINK("http://www.twitter.com/NathanBLawrence/status/999440786184908804", "999440786184908804")</f>
        <v/>
      </c>
      <c r="B1623" s="2" t="n">
        <v>43244.00261574074</v>
      </c>
      <c r="C1623" t="n">
        <v>1</v>
      </c>
      <c r="D1623" t="n">
        <v>1</v>
      </c>
      <c r="E1623" t="s">
        <v>1631</v>
      </c>
      <c r="F1623" t="s"/>
      <c r="G1623" t="s"/>
      <c r="H1623" t="s"/>
      <c r="I1623" t="s"/>
      <c r="J1623" t="n">
        <v>-0.8625</v>
      </c>
      <c r="K1623" t="n">
        <v>0.233</v>
      </c>
      <c r="L1623" t="n">
        <v>0.714</v>
      </c>
      <c r="M1623" t="n">
        <v>0.053</v>
      </c>
    </row>
    <row r="1624" spans="1:13">
      <c r="A1624" s="1">
        <f>HYPERLINK("http://www.twitter.com/NathanBLawrence/status/999440125624029185", "999440125624029185")</f>
        <v/>
      </c>
      <c r="B1624" s="2" t="n">
        <v>43244.00079861111</v>
      </c>
      <c r="C1624" t="n">
        <v>1</v>
      </c>
      <c r="D1624" t="n">
        <v>1</v>
      </c>
      <c r="E1624" t="s">
        <v>1632</v>
      </c>
      <c r="F1624" t="s"/>
      <c r="G1624" t="s"/>
      <c r="H1624" t="s"/>
      <c r="I1624" t="s"/>
      <c r="J1624" t="n">
        <v>0.1531</v>
      </c>
      <c r="K1624" t="n">
        <v>0.077</v>
      </c>
      <c r="L1624" t="n">
        <v>0.8129999999999999</v>
      </c>
      <c r="M1624" t="n">
        <v>0.109</v>
      </c>
    </row>
    <row r="1625" spans="1:13">
      <c r="A1625" s="1">
        <f>HYPERLINK("http://www.twitter.com/NathanBLawrence/status/999439493835952133", "999439493835952133")</f>
        <v/>
      </c>
      <c r="B1625" s="2" t="n">
        <v>43243.99905092592</v>
      </c>
      <c r="C1625" t="n">
        <v>0</v>
      </c>
      <c r="D1625" t="n">
        <v>3</v>
      </c>
      <c r="E1625" t="s">
        <v>1633</v>
      </c>
      <c r="F1625" t="s"/>
      <c r="G1625" t="s"/>
      <c r="H1625" t="s"/>
      <c r="I1625" t="s"/>
      <c r="J1625" t="n">
        <v>0</v>
      </c>
      <c r="K1625" t="n">
        <v>0</v>
      </c>
      <c r="L1625" t="n">
        <v>1</v>
      </c>
      <c r="M1625" t="n">
        <v>0</v>
      </c>
    </row>
    <row r="1626" spans="1:13">
      <c r="A1626" s="1">
        <f>HYPERLINK("http://www.twitter.com/NathanBLawrence/status/999439460759678976", "999439460759678976")</f>
        <v/>
      </c>
      <c r="B1626" s="2" t="n">
        <v>43243.99895833333</v>
      </c>
      <c r="C1626" t="n">
        <v>0</v>
      </c>
      <c r="D1626" t="n">
        <v>0</v>
      </c>
      <c r="E1626" t="s">
        <v>1634</v>
      </c>
      <c r="F1626" t="s"/>
      <c r="G1626" t="s"/>
      <c r="H1626" t="s"/>
      <c r="I1626" t="s"/>
      <c r="J1626" t="n">
        <v>0.4912</v>
      </c>
      <c r="K1626" t="n">
        <v>0.12</v>
      </c>
      <c r="L1626" t="n">
        <v>0.6889999999999999</v>
      </c>
      <c r="M1626" t="n">
        <v>0.191</v>
      </c>
    </row>
    <row r="1627" spans="1:13">
      <c r="A1627" s="1">
        <f>HYPERLINK("http://www.twitter.com/NathanBLawrence/status/999437935953969152", "999437935953969152")</f>
        <v/>
      </c>
      <c r="B1627" s="2" t="n">
        <v>43243.99475694444</v>
      </c>
      <c r="C1627" t="n">
        <v>0</v>
      </c>
      <c r="D1627" t="n">
        <v>2</v>
      </c>
      <c r="E1627" t="s">
        <v>1635</v>
      </c>
      <c r="F1627">
        <f>HYPERLINK("http://pbs.twimg.com/media/Dd6umDtUQAAfFRd.jpg", "http://pbs.twimg.com/media/Dd6umDtUQAAfFRd.jpg")</f>
        <v/>
      </c>
      <c r="G1627" t="s"/>
      <c r="H1627" t="s"/>
      <c r="I1627" t="s"/>
      <c r="J1627" t="n">
        <v>0.1027</v>
      </c>
      <c r="K1627" t="n">
        <v>0.2</v>
      </c>
      <c r="L1627" t="n">
        <v>0.583</v>
      </c>
      <c r="M1627" t="n">
        <v>0.217</v>
      </c>
    </row>
    <row r="1628" spans="1:13">
      <c r="A1628" s="1">
        <f>HYPERLINK("http://www.twitter.com/NathanBLawrence/status/999437739408936961", "999437739408936961")</f>
        <v/>
      </c>
      <c r="B1628" s="2" t="n">
        <v>43243.99421296296</v>
      </c>
      <c r="C1628" t="n">
        <v>0</v>
      </c>
      <c r="D1628" t="n">
        <v>2</v>
      </c>
      <c r="E1628" t="s">
        <v>1636</v>
      </c>
      <c r="F1628" t="s"/>
      <c r="G1628" t="s"/>
      <c r="H1628" t="s"/>
      <c r="I1628" t="s"/>
      <c r="J1628" t="n">
        <v>-0.3612</v>
      </c>
      <c r="K1628" t="n">
        <v>0.135</v>
      </c>
      <c r="L1628" t="n">
        <v>0.865</v>
      </c>
      <c r="M1628" t="n">
        <v>0</v>
      </c>
    </row>
    <row r="1629" spans="1:13">
      <c r="A1629" s="1">
        <f>HYPERLINK("http://www.twitter.com/NathanBLawrence/status/999435955873427456", "999435955873427456")</f>
        <v/>
      </c>
      <c r="B1629" s="2" t="n">
        <v>43243.98929398148</v>
      </c>
      <c r="C1629" t="n">
        <v>0</v>
      </c>
      <c r="D1629" t="n">
        <v>1</v>
      </c>
      <c r="E1629" t="s">
        <v>1637</v>
      </c>
      <c r="F1629" t="s"/>
      <c r="G1629" t="s"/>
      <c r="H1629" t="s"/>
      <c r="I1629" t="s"/>
      <c r="J1629" t="n">
        <v>0.5696</v>
      </c>
      <c r="K1629" t="n">
        <v>0.178</v>
      </c>
      <c r="L1629" t="n">
        <v>0.54</v>
      </c>
      <c r="M1629" t="n">
        <v>0.283</v>
      </c>
    </row>
    <row r="1630" spans="1:13">
      <c r="A1630" s="1">
        <f>HYPERLINK("http://www.twitter.com/NathanBLawrence/status/999434933927120896", "999434933927120896")</f>
        <v/>
      </c>
      <c r="B1630" s="2" t="n">
        <v>43243.98646990741</v>
      </c>
      <c r="C1630" t="n">
        <v>0</v>
      </c>
      <c r="D1630" t="n">
        <v>0</v>
      </c>
      <c r="E1630" t="s">
        <v>1638</v>
      </c>
      <c r="F1630" t="s"/>
      <c r="G1630" t="s"/>
      <c r="H1630" t="s"/>
      <c r="I1630" t="s"/>
      <c r="J1630" t="n">
        <v>0</v>
      </c>
      <c r="K1630" t="n">
        <v>0</v>
      </c>
      <c r="L1630" t="n">
        <v>1</v>
      </c>
      <c r="M1630" t="n">
        <v>0</v>
      </c>
    </row>
    <row r="1631" spans="1:13">
      <c r="A1631" s="1">
        <f>HYPERLINK("http://www.twitter.com/NathanBLawrence/status/999434424294035456", "999434424294035456")</f>
        <v/>
      </c>
      <c r="B1631" s="2" t="n">
        <v>43243.98506944445</v>
      </c>
      <c r="C1631" t="n">
        <v>5</v>
      </c>
      <c r="D1631" t="n">
        <v>2</v>
      </c>
      <c r="E1631" t="s">
        <v>1639</v>
      </c>
      <c r="F1631" t="s"/>
      <c r="G1631" t="s"/>
      <c r="H1631" t="s"/>
      <c r="I1631" t="s"/>
      <c r="J1631" t="n">
        <v>-0.2732</v>
      </c>
      <c r="K1631" t="n">
        <v>0.161</v>
      </c>
      <c r="L1631" t="n">
        <v>0.717</v>
      </c>
      <c r="M1631" t="n">
        <v>0.122</v>
      </c>
    </row>
    <row r="1632" spans="1:13">
      <c r="A1632" s="1">
        <f>HYPERLINK("http://www.twitter.com/NathanBLawrence/status/999432202550239232", "999432202550239232")</f>
        <v/>
      </c>
      <c r="B1632" s="2" t="n">
        <v>43243.97893518519</v>
      </c>
      <c r="C1632" t="n">
        <v>0</v>
      </c>
      <c r="D1632" t="n">
        <v>1</v>
      </c>
      <c r="E1632" t="s">
        <v>1640</v>
      </c>
      <c r="F1632" t="s"/>
      <c r="G1632" t="s"/>
      <c r="H1632" t="s"/>
      <c r="I1632" t="s"/>
      <c r="J1632" t="n">
        <v>-0.7089</v>
      </c>
      <c r="K1632" t="n">
        <v>0.27</v>
      </c>
      <c r="L1632" t="n">
        <v>0.647</v>
      </c>
      <c r="M1632" t="n">
        <v>0.08400000000000001</v>
      </c>
    </row>
    <row r="1633" spans="1:13">
      <c r="A1633" s="1">
        <f>HYPERLINK("http://www.twitter.com/NathanBLawrence/status/999432122015379457", "999432122015379457")</f>
        <v/>
      </c>
      <c r="B1633" s="2" t="n">
        <v>43243.97871527778</v>
      </c>
      <c r="C1633" t="n">
        <v>0</v>
      </c>
      <c r="D1633" t="n">
        <v>12</v>
      </c>
      <c r="E1633" t="s">
        <v>1641</v>
      </c>
      <c r="F1633">
        <f>HYPERLINK("http://pbs.twimg.com/media/Dd5swPuU8AEulge.jpg", "http://pbs.twimg.com/media/Dd5swPuU8AEulge.jpg")</f>
        <v/>
      </c>
      <c r="G1633" t="s"/>
      <c r="H1633" t="s"/>
      <c r="I1633" t="s"/>
      <c r="J1633" t="n">
        <v>0</v>
      </c>
      <c r="K1633" t="n">
        <v>0</v>
      </c>
      <c r="L1633" t="n">
        <v>1</v>
      </c>
      <c r="M1633" t="n">
        <v>0</v>
      </c>
    </row>
    <row r="1634" spans="1:13">
      <c r="A1634" s="1">
        <f>HYPERLINK("http://www.twitter.com/NathanBLawrence/status/999432073202094080", "999432073202094080")</f>
        <v/>
      </c>
      <c r="B1634" s="2" t="n">
        <v>43243.97857638889</v>
      </c>
      <c r="C1634" t="n">
        <v>0</v>
      </c>
      <c r="D1634" t="n">
        <v>1621</v>
      </c>
      <c r="E1634" t="s">
        <v>1642</v>
      </c>
      <c r="F1634" t="s"/>
      <c r="G1634" t="s"/>
      <c r="H1634" t="s"/>
      <c r="I1634" t="s"/>
      <c r="J1634" t="n">
        <v>-0.7506</v>
      </c>
      <c r="K1634" t="n">
        <v>0.262</v>
      </c>
      <c r="L1634" t="n">
        <v>0.738</v>
      </c>
      <c r="M1634" t="n">
        <v>0</v>
      </c>
    </row>
    <row r="1635" spans="1:13">
      <c r="A1635" s="1">
        <f>HYPERLINK("http://www.twitter.com/NathanBLawrence/status/999432014465044481", "999432014465044481")</f>
        <v/>
      </c>
      <c r="B1635" s="2" t="n">
        <v>43243.97841435186</v>
      </c>
      <c r="C1635" t="n">
        <v>0</v>
      </c>
      <c r="D1635" t="n">
        <v>18</v>
      </c>
      <c r="E1635" t="s">
        <v>1643</v>
      </c>
      <c r="F1635" t="s"/>
      <c r="G1635" t="s"/>
      <c r="H1635" t="s"/>
      <c r="I1635" t="s"/>
      <c r="J1635" t="n">
        <v>-0.6369</v>
      </c>
      <c r="K1635" t="n">
        <v>0.321</v>
      </c>
      <c r="L1635" t="n">
        <v>0.679</v>
      </c>
      <c r="M1635" t="n">
        <v>0</v>
      </c>
    </row>
    <row r="1636" spans="1:13">
      <c r="A1636" s="1">
        <f>HYPERLINK("http://www.twitter.com/NathanBLawrence/status/999431947544944640", "999431947544944640")</f>
        <v/>
      </c>
      <c r="B1636" s="2" t="n">
        <v>43243.97822916666</v>
      </c>
      <c r="C1636" t="n">
        <v>0</v>
      </c>
      <c r="D1636" t="n">
        <v>301</v>
      </c>
      <c r="E1636" t="s">
        <v>1644</v>
      </c>
      <c r="F1636" t="s"/>
      <c r="G1636" t="s"/>
      <c r="H1636" t="s"/>
      <c r="I1636" t="s"/>
      <c r="J1636" t="n">
        <v>-0.7184</v>
      </c>
      <c r="K1636" t="n">
        <v>0.261</v>
      </c>
      <c r="L1636" t="n">
        <v>0.739</v>
      </c>
      <c r="M1636" t="n">
        <v>0</v>
      </c>
    </row>
    <row r="1637" spans="1:13">
      <c r="A1637" s="1">
        <f>HYPERLINK("http://www.twitter.com/NathanBLawrence/status/999431694926143488", "999431694926143488")</f>
        <v/>
      </c>
      <c r="B1637" s="2" t="n">
        <v>43243.97753472222</v>
      </c>
      <c r="C1637" t="n">
        <v>0</v>
      </c>
      <c r="D1637" t="n">
        <v>13806</v>
      </c>
      <c r="E1637" t="s">
        <v>1645</v>
      </c>
      <c r="F1637">
        <f>HYPERLINK("https://video.twimg.com/ext_tw_video/999371558639435776/pu/vid/1280x720/DjV6WcTFVrigbabJ.mp4?tag=3", "https://video.twimg.com/ext_tw_video/999371558639435776/pu/vid/1280x720/DjV6WcTFVrigbabJ.mp4?tag=3")</f>
        <v/>
      </c>
      <c r="G1637" t="s"/>
      <c r="H1637" t="s"/>
      <c r="I1637" t="s"/>
      <c r="J1637" t="n">
        <v>-0.7845</v>
      </c>
      <c r="K1637" t="n">
        <v>0.247</v>
      </c>
      <c r="L1637" t="n">
        <v>0.753</v>
      </c>
      <c r="M1637" t="n">
        <v>0</v>
      </c>
    </row>
    <row r="1638" spans="1:13">
      <c r="A1638" s="1">
        <f>HYPERLINK("http://www.twitter.com/NathanBLawrence/status/999431642757455872", "999431642757455872")</f>
        <v/>
      </c>
      <c r="B1638" s="2" t="n">
        <v>43243.97738425926</v>
      </c>
      <c r="C1638" t="n">
        <v>0</v>
      </c>
      <c r="D1638" t="n">
        <v>349</v>
      </c>
      <c r="E1638" t="s">
        <v>1646</v>
      </c>
      <c r="F1638">
        <f>HYPERLINK("http://pbs.twimg.com/media/Dd5aB1WVAAIAlDG.jpg", "http://pbs.twimg.com/media/Dd5aB1WVAAIAlDG.jpg")</f>
        <v/>
      </c>
      <c r="G1638" t="s"/>
      <c r="H1638" t="s"/>
      <c r="I1638" t="s"/>
      <c r="J1638" t="n">
        <v>0.4019</v>
      </c>
      <c r="K1638" t="n">
        <v>0</v>
      </c>
      <c r="L1638" t="n">
        <v>0.881</v>
      </c>
      <c r="M1638" t="n">
        <v>0.119</v>
      </c>
    </row>
    <row r="1639" spans="1:13">
      <c r="A1639" s="1">
        <f>HYPERLINK("http://www.twitter.com/NathanBLawrence/status/999431431381291008", "999431431381291008")</f>
        <v/>
      </c>
      <c r="B1639" s="2" t="n">
        <v>43243.97680555555</v>
      </c>
      <c r="C1639" t="n">
        <v>0</v>
      </c>
      <c r="D1639" t="n">
        <v>387</v>
      </c>
      <c r="E1639" t="s">
        <v>1647</v>
      </c>
      <c r="F1639" t="s"/>
      <c r="G1639" t="s"/>
      <c r="H1639" t="s"/>
      <c r="I1639" t="s"/>
      <c r="J1639" t="n">
        <v>-0.1779</v>
      </c>
      <c r="K1639" t="n">
        <v>0.138</v>
      </c>
      <c r="L1639" t="n">
        <v>0.753</v>
      </c>
      <c r="M1639" t="n">
        <v>0.109</v>
      </c>
    </row>
    <row r="1640" spans="1:13">
      <c r="A1640" s="1">
        <f>HYPERLINK("http://www.twitter.com/NathanBLawrence/status/999431343565099008", "999431343565099008")</f>
        <v/>
      </c>
      <c r="B1640" s="2" t="n">
        <v>43243.9765625</v>
      </c>
      <c r="C1640" t="n">
        <v>0</v>
      </c>
      <c r="D1640" t="n">
        <v>1057</v>
      </c>
      <c r="E1640" t="s">
        <v>1648</v>
      </c>
      <c r="F1640" t="s"/>
      <c r="G1640" t="s"/>
      <c r="H1640" t="s"/>
      <c r="I1640" t="s"/>
      <c r="J1640" t="n">
        <v>-0.4404</v>
      </c>
      <c r="K1640" t="n">
        <v>0.145</v>
      </c>
      <c r="L1640" t="n">
        <v>0.745</v>
      </c>
      <c r="M1640" t="n">
        <v>0.11</v>
      </c>
    </row>
    <row r="1641" spans="1:13">
      <c r="A1641" s="1">
        <f>HYPERLINK("http://www.twitter.com/NathanBLawrence/status/999431319003254784", "999431319003254784")</f>
        <v/>
      </c>
      <c r="B1641" s="2" t="n">
        <v>43243.97649305555</v>
      </c>
      <c r="C1641" t="n">
        <v>0</v>
      </c>
      <c r="D1641" t="n">
        <v>5294</v>
      </c>
      <c r="E1641" t="s">
        <v>1649</v>
      </c>
      <c r="F1641" t="s"/>
      <c r="G1641" t="s"/>
      <c r="H1641" t="s"/>
      <c r="I1641" t="s"/>
      <c r="J1641" t="n">
        <v>-0.1754</v>
      </c>
      <c r="K1641" t="n">
        <v>0.182</v>
      </c>
      <c r="L1641" t="n">
        <v>0.711</v>
      </c>
      <c r="M1641" t="n">
        <v>0.107</v>
      </c>
    </row>
    <row r="1642" spans="1:13">
      <c r="A1642" s="1">
        <f>HYPERLINK("http://www.twitter.com/NathanBLawrence/status/999431252364185601", "999431252364185601")</f>
        <v/>
      </c>
      <c r="B1642" s="2" t="n">
        <v>43243.97630787037</v>
      </c>
      <c r="C1642" t="n">
        <v>0</v>
      </c>
      <c r="D1642" t="n">
        <v>14701</v>
      </c>
      <c r="E1642" t="s">
        <v>1650</v>
      </c>
      <c r="F1642" t="s"/>
      <c r="G1642" t="s"/>
      <c r="H1642" t="s"/>
      <c r="I1642" t="s"/>
      <c r="J1642" t="n">
        <v>0.0258</v>
      </c>
      <c r="K1642" t="n">
        <v>0.142</v>
      </c>
      <c r="L1642" t="n">
        <v>0.709</v>
      </c>
      <c r="M1642" t="n">
        <v>0.149</v>
      </c>
    </row>
    <row r="1643" spans="1:13">
      <c r="A1643" s="1">
        <f>HYPERLINK("http://www.twitter.com/NathanBLawrence/status/999431130397933570", "999431130397933570")</f>
        <v/>
      </c>
      <c r="B1643" s="2" t="n">
        <v>43243.97597222222</v>
      </c>
      <c r="C1643" t="n">
        <v>0</v>
      </c>
      <c r="D1643" t="n">
        <v>610</v>
      </c>
      <c r="E1643" t="s">
        <v>1651</v>
      </c>
      <c r="F1643" t="s"/>
      <c r="G1643" t="s"/>
      <c r="H1643" t="s"/>
      <c r="I1643" t="s"/>
      <c r="J1643" t="n">
        <v>-0.7677</v>
      </c>
      <c r="K1643" t="n">
        <v>0.269</v>
      </c>
      <c r="L1643" t="n">
        <v>0.731</v>
      </c>
      <c r="M1643" t="n">
        <v>0</v>
      </c>
    </row>
    <row r="1644" spans="1:13">
      <c r="A1644" s="1">
        <f>HYPERLINK("http://www.twitter.com/NathanBLawrence/status/999430622593667082", "999430622593667082")</f>
        <v/>
      </c>
      <c r="B1644" s="2" t="n">
        <v>43243.97457175926</v>
      </c>
      <c r="C1644" t="n">
        <v>0</v>
      </c>
      <c r="D1644" t="n">
        <v>568</v>
      </c>
      <c r="E1644" t="s">
        <v>1652</v>
      </c>
      <c r="F1644" t="s"/>
      <c r="G1644" t="s"/>
      <c r="H1644" t="s"/>
      <c r="I1644" t="s"/>
      <c r="J1644" t="n">
        <v>0.3818</v>
      </c>
      <c r="K1644" t="n">
        <v>0</v>
      </c>
      <c r="L1644" t="n">
        <v>0.89</v>
      </c>
      <c r="M1644" t="n">
        <v>0.11</v>
      </c>
    </row>
    <row r="1645" spans="1:13">
      <c r="A1645" s="1">
        <f>HYPERLINK("http://www.twitter.com/NathanBLawrence/status/999430044996030464", "999430044996030464")</f>
        <v/>
      </c>
      <c r="B1645" s="2" t="n">
        <v>43243.97297453704</v>
      </c>
      <c r="C1645" t="n">
        <v>0</v>
      </c>
      <c r="D1645" t="n">
        <v>3405</v>
      </c>
      <c r="E1645" t="s">
        <v>1653</v>
      </c>
      <c r="F1645" t="s"/>
      <c r="G1645" t="s"/>
      <c r="H1645" t="s"/>
      <c r="I1645" t="s"/>
      <c r="J1645" t="n">
        <v>0</v>
      </c>
      <c r="K1645" t="n">
        <v>0</v>
      </c>
      <c r="L1645" t="n">
        <v>1</v>
      </c>
      <c r="M1645" t="n">
        <v>0</v>
      </c>
    </row>
    <row r="1646" spans="1:13">
      <c r="A1646" s="1">
        <f>HYPERLINK("http://www.twitter.com/NathanBLawrence/status/999429465020207106", "999429465020207106")</f>
        <v/>
      </c>
      <c r="B1646" s="2" t="n">
        <v>43243.97137731482</v>
      </c>
      <c r="C1646" t="n">
        <v>0</v>
      </c>
      <c r="D1646" t="n">
        <v>432</v>
      </c>
      <c r="E1646" t="s">
        <v>1654</v>
      </c>
      <c r="F1646" t="s"/>
      <c r="G1646" t="s"/>
      <c r="H1646" t="s"/>
      <c r="I1646" t="s"/>
      <c r="J1646" t="n">
        <v>-0.0516</v>
      </c>
      <c r="K1646" t="n">
        <v>0.16</v>
      </c>
      <c r="L1646" t="n">
        <v>0.611</v>
      </c>
      <c r="M1646" t="n">
        <v>0.229</v>
      </c>
    </row>
    <row r="1647" spans="1:13">
      <c r="A1647" s="1">
        <f>HYPERLINK("http://www.twitter.com/NathanBLawrence/status/999429411819737089", "999429411819737089")</f>
        <v/>
      </c>
      <c r="B1647" s="2" t="n">
        <v>43243.97122685185</v>
      </c>
      <c r="C1647" t="n">
        <v>0</v>
      </c>
      <c r="D1647" t="n">
        <v>2554</v>
      </c>
      <c r="E1647" t="s">
        <v>1655</v>
      </c>
      <c r="F1647" t="s"/>
      <c r="G1647" t="s"/>
      <c r="H1647" t="s"/>
      <c r="I1647" t="s"/>
      <c r="J1647" t="n">
        <v>0.4069</v>
      </c>
      <c r="K1647" t="n">
        <v>0.067</v>
      </c>
      <c r="L1647" t="n">
        <v>0.794</v>
      </c>
      <c r="M1647" t="n">
        <v>0.139</v>
      </c>
    </row>
    <row r="1648" spans="1:13">
      <c r="A1648" s="1">
        <f>HYPERLINK("http://www.twitter.com/NathanBLawrence/status/999429356190666752", "999429356190666752")</f>
        <v/>
      </c>
      <c r="B1648" s="2" t="n">
        <v>43243.97107638889</v>
      </c>
      <c r="C1648" t="n">
        <v>0</v>
      </c>
      <c r="D1648" t="n">
        <v>385</v>
      </c>
      <c r="E1648" t="s">
        <v>1656</v>
      </c>
      <c r="F1648" t="s"/>
      <c r="G1648" t="s"/>
      <c r="H1648" t="s"/>
      <c r="I1648" t="s"/>
      <c r="J1648" t="n">
        <v>-0.128</v>
      </c>
      <c r="K1648" t="n">
        <v>0.231</v>
      </c>
      <c r="L1648" t="n">
        <v>0.769</v>
      </c>
      <c r="M1648" t="n">
        <v>0</v>
      </c>
    </row>
    <row r="1649" spans="1:13">
      <c r="A1649" s="1">
        <f>HYPERLINK("http://www.twitter.com/NathanBLawrence/status/999429021933998080", "999429021933998080")</f>
        <v/>
      </c>
      <c r="B1649" s="2" t="n">
        <v>43243.97015046296</v>
      </c>
      <c r="C1649" t="n">
        <v>0</v>
      </c>
      <c r="D1649" t="n">
        <v>4575</v>
      </c>
      <c r="E1649" t="s">
        <v>1657</v>
      </c>
      <c r="F1649">
        <f>HYPERLINK("http://pbs.twimg.com/media/Dd6W0NSVAAAvHjf.jpg", "http://pbs.twimg.com/media/Dd6W0NSVAAAvHjf.jpg")</f>
        <v/>
      </c>
      <c r="G1649" t="s"/>
      <c r="H1649" t="s"/>
      <c r="I1649" t="s"/>
      <c r="J1649" t="n">
        <v>0.1531</v>
      </c>
      <c r="K1649" t="n">
        <v>0.094</v>
      </c>
      <c r="L1649" t="n">
        <v>0.791</v>
      </c>
      <c r="M1649" t="n">
        <v>0.115</v>
      </c>
    </row>
    <row r="1650" spans="1:13">
      <c r="A1650" s="1">
        <f>HYPERLINK("http://www.twitter.com/NathanBLawrence/status/999428975322652672", "999428975322652672")</f>
        <v/>
      </c>
      <c r="B1650" s="2" t="n">
        <v>43243.97002314815</v>
      </c>
      <c r="C1650" t="n">
        <v>0</v>
      </c>
      <c r="D1650" t="n">
        <v>2366</v>
      </c>
      <c r="E1650" t="s">
        <v>1658</v>
      </c>
      <c r="F1650">
        <f>HYPERLINK("http://pbs.twimg.com/media/Dd4QG0QUwAEGmag.jpg", "http://pbs.twimg.com/media/Dd4QG0QUwAEGmag.jpg")</f>
        <v/>
      </c>
      <c r="G1650" t="s"/>
      <c r="H1650" t="s"/>
      <c r="I1650" t="s"/>
      <c r="J1650" t="n">
        <v>0.4588</v>
      </c>
      <c r="K1650" t="n">
        <v>0</v>
      </c>
      <c r="L1650" t="n">
        <v>0.789</v>
      </c>
      <c r="M1650" t="n">
        <v>0.211</v>
      </c>
    </row>
    <row r="1651" spans="1:13">
      <c r="A1651" s="1">
        <f>HYPERLINK("http://www.twitter.com/NathanBLawrence/status/999428822524203008", "999428822524203008")</f>
        <v/>
      </c>
      <c r="B1651" s="2" t="n">
        <v>43243.96960648148</v>
      </c>
      <c r="C1651" t="n">
        <v>0</v>
      </c>
      <c r="D1651" t="n">
        <v>123</v>
      </c>
      <c r="E1651" t="s">
        <v>1659</v>
      </c>
      <c r="F1651" t="s"/>
      <c r="G1651" t="s"/>
      <c r="H1651" t="s"/>
      <c r="I1651" t="s"/>
      <c r="J1651" t="n">
        <v>0.5719</v>
      </c>
      <c r="K1651" t="n">
        <v>0.05</v>
      </c>
      <c r="L1651" t="n">
        <v>0.784</v>
      </c>
      <c r="M1651" t="n">
        <v>0.166</v>
      </c>
    </row>
    <row r="1652" spans="1:13">
      <c r="A1652" s="1">
        <f>HYPERLINK("http://www.twitter.com/NathanBLawrence/status/999428602642030593", "999428602642030593")</f>
        <v/>
      </c>
      <c r="B1652" s="2" t="n">
        <v>43243.96900462963</v>
      </c>
      <c r="C1652" t="n">
        <v>0</v>
      </c>
      <c r="D1652" t="n">
        <v>5322</v>
      </c>
      <c r="E1652" t="s">
        <v>1660</v>
      </c>
      <c r="F1652">
        <f>HYPERLINK("https://video.twimg.com/ext_tw_video/999379881531092992/pu/vid/1280x720/1oZb2mgWUf2JaLQh.mp4?tag=3", "https://video.twimg.com/ext_tw_video/999379881531092992/pu/vid/1280x720/1oZb2mgWUf2JaLQh.mp4?tag=3")</f>
        <v/>
      </c>
      <c r="G1652" t="s"/>
      <c r="H1652" t="s"/>
      <c r="I1652" t="s"/>
      <c r="J1652" t="n">
        <v>0.6908</v>
      </c>
      <c r="K1652" t="n">
        <v>0</v>
      </c>
      <c r="L1652" t="n">
        <v>0.794</v>
      </c>
      <c r="M1652" t="n">
        <v>0.206</v>
      </c>
    </row>
    <row r="1653" spans="1:13">
      <c r="A1653" s="1">
        <f>HYPERLINK("http://www.twitter.com/NathanBLawrence/status/999428558954123264", "999428558954123264")</f>
        <v/>
      </c>
      <c r="B1653" s="2" t="n">
        <v>43243.96887731482</v>
      </c>
      <c r="C1653" t="n">
        <v>0</v>
      </c>
      <c r="D1653" t="n">
        <v>2319</v>
      </c>
      <c r="E1653" t="s">
        <v>1661</v>
      </c>
      <c r="F1653" t="s"/>
      <c r="G1653" t="s"/>
      <c r="H1653" t="s"/>
      <c r="I1653" t="s"/>
      <c r="J1653" t="n">
        <v>0</v>
      </c>
      <c r="K1653" t="n">
        <v>0</v>
      </c>
      <c r="L1653" t="n">
        <v>1</v>
      </c>
      <c r="M1653" t="n">
        <v>0</v>
      </c>
    </row>
    <row r="1654" spans="1:13">
      <c r="A1654" s="1">
        <f>HYPERLINK("http://www.twitter.com/NathanBLawrence/status/999428520647503872", "999428520647503872")</f>
        <v/>
      </c>
      <c r="B1654" s="2" t="n">
        <v>43243.96877314815</v>
      </c>
      <c r="C1654" t="n">
        <v>0</v>
      </c>
      <c r="D1654" t="n">
        <v>0</v>
      </c>
      <c r="E1654" t="s">
        <v>1662</v>
      </c>
      <c r="F1654" t="s"/>
      <c r="G1654" t="s"/>
      <c r="H1654" t="s"/>
      <c r="I1654" t="s"/>
      <c r="J1654" t="n">
        <v>-0.2263</v>
      </c>
      <c r="K1654" t="n">
        <v>0.315</v>
      </c>
      <c r="L1654" t="n">
        <v>0.45</v>
      </c>
      <c r="M1654" t="n">
        <v>0.234</v>
      </c>
    </row>
    <row r="1655" spans="1:13">
      <c r="A1655" s="1">
        <f>HYPERLINK("http://www.twitter.com/NathanBLawrence/status/999428295388168192", "999428295388168192")</f>
        <v/>
      </c>
      <c r="B1655" s="2" t="n">
        <v>43243.96814814815</v>
      </c>
      <c r="C1655" t="n">
        <v>0</v>
      </c>
      <c r="D1655" t="n">
        <v>285</v>
      </c>
      <c r="E1655" t="s">
        <v>1663</v>
      </c>
      <c r="F1655">
        <f>HYPERLINK("http://pbs.twimg.com/media/Dd5_FYMVAAA5zqo.jpg", "http://pbs.twimg.com/media/Dd5_FYMVAAA5zqo.jpg")</f>
        <v/>
      </c>
      <c r="G1655" t="s"/>
      <c r="H1655" t="s"/>
      <c r="I1655" t="s"/>
      <c r="J1655" t="n">
        <v>0.0772</v>
      </c>
      <c r="K1655" t="n">
        <v>0</v>
      </c>
      <c r="L1655" t="n">
        <v>0.944</v>
      </c>
      <c r="M1655" t="n">
        <v>0.056</v>
      </c>
    </row>
    <row r="1656" spans="1:13">
      <c r="A1656" s="1">
        <f>HYPERLINK("http://www.twitter.com/NathanBLawrence/status/999428228547858432", "999428228547858432")</f>
        <v/>
      </c>
      <c r="B1656" s="2" t="n">
        <v>43243.96796296296</v>
      </c>
      <c r="C1656" t="n">
        <v>0</v>
      </c>
      <c r="D1656" t="n">
        <v>595</v>
      </c>
      <c r="E1656" t="s">
        <v>1664</v>
      </c>
      <c r="F1656" t="s"/>
      <c r="G1656" t="s"/>
      <c r="H1656" t="s"/>
      <c r="I1656" t="s"/>
      <c r="J1656" t="n">
        <v>0</v>
      </c>
      <c r="K1656" t="n">
        <v>0</v>
      </c>
      <c r="L1656" t="n">
        <v>1</v>
      </c>
      <c r="M1656" t="n">
        <v>0</v>
      </c>
    </row>
    <row r="1657" spans="1:13">
      <c r="A1657" s="1">
        <f>HYPERLINK("http://www.twitter.com/NathanBLawrence/status/999428151494217728", "999428151494217728")</f>
        <v/>
      </c>
      <c r="B1657" s="2" t="n">
        <v>43243.96775462963</v>
      </c>
      <c r="C1657" t="n">
        <v>0</v>
      </c>
      <c r="D1657" t="n">
        <v>412</v>
      </c>
      <c r="E1657" t="s">
        <v>1665</v>
      </c>
      <c r="F1657" t="s"/>
      <c r="G1657" t="s"/>
      <c r="H1657" t="s"/>
      <c r="I1657" t="s"/>
      <c r="J1657" t="n">
        <v>0.8481</v>
      </c>
      <c r="K1657" t="n">
        <v>0</v>
      </c>
      <c r="L1657" t="n">
        <v>0.6850000000000001</v>
      </c>
      <c r="M1657" t="n">
        <v>0.315</v>
      </c>
    </row>
    <row r="1658" spans="1:13">
      <c r="A1658" s="1">
        <f>HYPERLINK("http://www.twitter.com/NathanBLawrence/status/999428088818733056", "999428088818733056")</f>
        <v/>
      </c>
      <c r="B1658" s="2" t="n">
        <v>43243.96758101852</v>
      </c>
      <c r="C1658" t="n">
        <v>0</v>
      </c>
      <c r="D1658" t="n">
        <v>10049</v>
      </c>
      <c r="E1658" t="s">
        <v>1666</v>
      </c>
      <c r="F1658" t="s"/>
      <c r="G1658" t="s"/>
      <c r="H1658" t="s"/>
      <c r="I1658" t="s"/>
      <c r="J1658" t="n">
        <v>-0.7351</v>
      </c>
      <c r="K1658" t="n">
        <v>0.237</v>
      </c>
      <c r="L1658" t="n">
        <v>0.763</v>
      </c>
      <c r="M1658" t="n">
        <v>0</v>
      </c>
    </row>
    <row r="1659" spans="1:13">
      <c r="A1659" s="1">
        <f>HYPERLINK("http://www.twitter.com/NathanBLawrence/status/999428054933016576", "999428054933016576")</f>
        <v/>
      </c>
      <c r="B1659" s="2" t="n">
        <v>43243.96748842593</v>
      </c>
      <c r="C1659" t="n">
        <v>0</v>
      </c>
      <c r="D1659" t="n">
        <v>1728</v>
      </c>
      <c r="E1659" t="s">
        <v>1667</v>
      </c>
      <c r="F1659" t="s"/>
      <c r="G1659" t="s"/>
      <c r="H1659" t="s"/>
      <c r="I1659" t="s"/>
      <c r="J1659" t="n">
        <v>0</v>
      </c>
      <c r="K1659" t="n">
        <v>0</v>
      </c>
      <c r="L1659" t="n">
        <v>1</v>
      </c>
      <c r="M1659" t="n">
        <v>0</v>
      </c>
    </row>
    <row r="1660" spans="1:13">
      <c r="A1660" s="1">
        <f>HYPERLINK("http://www.twitter.com/NathanBLawrence/status/999427934099304449", "999427934099304449")</f>
        <v/>
      </c>
      <c r="B1660" s="2" t="n">
        <v>43243.96715277778</v>
      </c>
      <c r="C1660" t="n">
        <v>0</v>
      </c>
      <c r="D1660" t="n">
        <v>6640</v>
      </c>
      <c r="E1660" t="s">
        <v>1668</v>
      </c>
      <c r="F1660">
        <f>HYPERLINK("https://video.twimg.com/ext_tw_video/999417592379985920/pu/vid/644x360/RuTt-63yoDIhxWIb.mp4?tag=3", "https://video.twimg.com/ext_tw_video/999417592379985920/pu/vid/644x360/RuTt-63yoDIhxWIb.mp4?tag=3")</f>
        <v/>
      </c>
      <c r="G1660" t="s"/>
      <c r="H1660" t="s"/>
      <c r="I1660" t="s"/>
      <c r="J1660" t="n">
        <v>0</v>
      </c>
      <c r="K1660" t="n">
        <v>0</v>
      </c>
      <c r="L1660" t="n">
        <v>1</v>
      </c>
      <c r="M1660" t="n">
        <v>0</v>
      </c>
    </row>
    <row r="1661" spans="1:13">
      <c r="A1661" s="1">
        <f>HYPERLINK("http://www.twitter.com/NathanBLawrence/status/999427887139827712", "999427887139827712")</f>
        <v/>
      </c>
      <c r="B1661" s="2" t="n">
        <v>43243.96702546296</v>
      </c>
      <c r="C1661" t="n">
        <v>0</v>
      </c>
      <c r="D1661" t="n">
        <v>776</v>
      </c>
      <c r="E1661" t="s">
        <v>1669</v>
      </c>
      <c r="F1661" t="s"/>
      <c r="G1661" t="s"/>
      <c r="H1661" t="s"/>
      <c r="I1661" t="s"/>
      <c r="J1661" t="n">
        <v>0.8777</v>
      </c>
      <c r="K1661" t="n">
        <v>0</v>
      </c>
      <c r="L1661" t="n">
        <v>0.643</v>
      </c>
      <c r="M1661" t="n">
        <v>0.357</v>
      </c>
    </row>
    <row r="1662" spans="1:13">
      <c r="A1662" s="1">
        <f>HYPERLINK("http://www.twitter.com/NathanBLawrence/status/999427311299715078", "999427311299715078")</f>
        <v/>
      </c>
      <c r="B1662" s="2" t="n">
        <v>43243.96543981481</v>
      </c>
      <c r="C1662" t="n">
        <v>0</v>
      </c>
      <c r="D1662" t="n">
        <v>858</v>
      </c>
      <c r="E1662" t="s">
        <v>1670</v>
      </c>
      <c r="F1662">
        <f>HYPERLINK("https://video.twimg.com/ext_tw_video/998953532219781120/pu/vid/1280x720/yr03EHyxSeW1WfiL.mp4?tag=3", "https://video.twimg.com/ext_tw_video/998953532219781120/pu/vid/1280x720/yr03EHyxSeW1WfiL.mp4?tag=3")</f>
        <v/>
      </c>
      <c r="G1662" t="s"/>
      <c r="H1662" t="s"/>
      <c r="I1662" t="s"/>
      <c r="J1662" t="n">
        <v>-0.2263</v>
      </c>
      <c r="K1662" t="n">
        <v>0.155</v>
      </c>
      <c r="L1662" t="n">
        <v>0.73</v>
      </c>
      <c r="M1662" t="n">
        <v>0.116</v>
      </c>
    </row>
    <row r="1663" spans="1:13">
      <c r="A1663" s="1">
        <f>HYPERLINK("http://www.twitter.com/NathanBLawrence/status/999427216269246465", "999427216269246465")</f>
        <v/>
      </c>
      <c r="B1663" s="2" t="n">
        <v>43243.96517361111</v>
      </c>
      <c r="C1663" t="n">
        <v>0</v>
      </c>
      <c r="D1663" t="n">
        <v>1961</v>
      </c>
      <c r="E1663" t="s">
        <v>1671</v>
      </c>
      <c r="F1663" t="s"/>
      <c r="G1663" t="s"/>
      <c r="H1663" t="s"/>
      <c r="I1663" t="s"/>
      <c r="J1663" t="n">
        <v>0.3612</v>
      </c>
      <c r="K1663" t="n">
        <v>0</v>
      </c>
      <c r="L1663" t="n">
        <v>0.848</v>
      </c>
      <c r="M1663" t="n">
        <v>0.152</v>
      </c>
    </row>
    <row r="1664" spans="1:13">
      <c r="A1664" s="1">
        <f>HYPERLINK("http://www.twitter.com/NathanBLawrence/status/999426572888231936", "999426572888231936")</f>
        <v/>
      </c>
      <c r="B1664" s="2" t="n">
        <v>43243.96340277778</v>
      </c>
      <c r="C1664" t="n">
        <v>0</v>
      </c>
      <c r="D1664" t="n">
        <v>361</v>
      </c>
      <c r="E1664" t="s">
        <v>1672</v>
      </c>
      <c r="F1664" t="s"/>
      <c r="G1664" t="s"/>
      <c r="H1664" t="s"/>
      <c r="I1664" t="s"/>
      <c r="J1664" t="n">
        <v>0</v>
      </c>
      <c r="K1664" t="n">
        <v>0</v>
      </c>
      <c r="L1664" t="n">
        <v>1</v>
      </c>
      <c r="M1664" t="n">
        <v>0</v>
      </c>
    </row>
    <row r="1665" spans="1:13">
      <c r="A1665" s="1">
        <f>HYPERLINK("http://www.twitter.com/NathanBLawrence/status/999426516919480320", "999426516919480320")</f>
        <v/>
      </c>
      <c r="B1665" s="2" t="n">
        <v>43243.96324074074</v>
      </c>
      <c r="C1665" t="n">
        <v>0</v>
      </c>
      <c r="D1665" t="n">
        <v>3742</v>
      </c>
      <c r="E1665" t="s">
        <v>1673</v>
      </c>
      <c r="F1665" t="s"/>
      <c r="G1665" t="s"/>
      <c r="H1665" t="s"/>
      <c r="I1665" t="s"/>
      <c r="J1665" t="n">
        <v>0</v>
      </c>
      <c r="K1665" t="n">
        <v>0</v>
      </c>
      <c r="L1665" t="n">
        <v>1</v>
      </c>
      <c r="M1665" t="n">
        <v>0</v>
      </c>
    </row>
    <row r="1666" spans="1:13">
      <c r="A1666" s="1">
        <f>HYPERLINK("http://www.twitter.com/NathanBLawrence/status/999426431389241344", "999426431389241344")</f>
        <v/>
      </c>
      <c r="B1666" s="2" t="n">
        <v>43243.96300925926</v>
      </c>
      <c r="C1666" t="n">
        <v>0</v>
      </c>
      <c r="D1666" t="n">
        <v>667</v>
      </c>
      <c r="E1666" t="s">
        <v>1674</v>
      </c>
      <c r="F1666" t="s"/>
      <c r="G1666" t="s"/>
      <c r="H1666" t="s"/>
      <c r="I1666" t="s"/>
      <c r="J1666" t="n">
        <v>-0.6516999999999999</v>
      </c>
      <c r="K1666" t="n">
        <v>0.195</v>
      </c>
      <c r="L1666" t="n">
        <v>0.805</v>
      </c>
      <c r="M1666" t="n">
        <v>0</v>
      </c>
    </row>
    <row r="1667" spans="1:13">
      <c r="A1667" s="1">
        <f>HYPERLINK("http://www.twitter.com/NathanBLawrence/status/999426027158999041", "999426027158999041")</f>
        <v/>
      </c>
      <c r="B1667" s="2" t="n">
        <v>43243.96188657408</v>
      </c>
      <c r="C1667" t="n">
        <v>0</v>
      </c>
      <c r="D1667" t="n">
        <v>3226</v>
      </c>
      <c r="E1667" t="s">
        <v>1675</v>
      </c>
      <c r="F1667" t="s"/>
      <c r="G1667" t="s"/>
      <c r="H1667" t="s"/>
      <c r="I1667" t="s"/>
      <c r="J1667" t="n">
        <v>0</v>
      </c>
      <c r="K1667" t="n">
        <v>0</v>
      </c>
      <c r="L1667" t="n">
        <v>1</v>
      </c>
      <c r="M1667" t="n">
        <v>0</v>
      </c>
    </row>
    <row r="1668" spans="1:13">
      <c r="A1668" s="1">
        <f>HYPERLINK("http://www.twitter.com/NathanBLawrence/status/999425953666424833", "999425953666424833")</f>
        <v/>
      </c>
      <c r="B1668" s="2" t="n">
        <v>43243.96168981482</v>
      </c>
      <c r="C1668" t="n">
        <v>0</v>
      </c>
      <c r="D1668" t="n">
        <v>4912</v>
      </c>
      <c r="E1668" t="s">
        <v>1676</v>
      </c>
      <c r="F1668" t="s"/>
      <c r="G1668" t="s"/>
      <c r="H1668" t="s"/>
      <c r="I1668" t="s"/>
      <c r="J1668" t="n">
        <v>0.5996</v>
      </c>
      <c r="K1668" t="n">
        <v>0</v>
      </c>
      <c r="L1668" t="n">
        <v>0.8179999999999999</v>
      </c>
      <c r="M1668" t="n">
        <v>0.182</v>
      </c>
    </row>
    <row r="1669" spans="1:13">
      <c r="A1669" s="1">
        <f>HYPERLINK("http://www.twitter.com/NathanBLawrence/status/999425762196369410", "999425762196369410")</f>
        <v/>
      </c>
      <c r="B1669" s="2" t="n">
        <v>43243.96115740741</v>
      </c>
      <c r="C1669" t="n">
        <v>0</v>
      </c>
      <c r="D1669" t="n">
        <v>2991</v>
      </c>
      <c r="E1669" t="s">
        <v>1677</v>
      </c>
      <c r="F1669" t="s"/>
      <c r="G1669" t="s"/>
      <c r="H1669" t="s"/>
      <c r="I1669" t="s"/>
      <c r="J1669" t="n">
        <v>-0.6597</v>
      </c>
      <c r="K1669" t="n">
        <v>0.278</v>
      </c>
      <c r="L1669" t="n">
        <v>0.722</v>
      </c>
      <c r="M1669" t="n">
        <v>0</v>
      </c>
    </row>
    <row r="1670" spans="1:13">
      <c r="A1670" s="1">
        <f>HYPERLINK("http://www.twitter.com/NathanBLawrence/status/999425708920397824", "999425708920397824")</f>
        <v/>
      </c>
      <c r="B1670" s="2" t="n">
        <v>43243.96101851852</v>
      </c>
      <c r="C1670" t="n">
        <v>0</v>
      </c>
      <c r="D1670" t="n">
        <v>11827</v>
      </c>
      <c r="E1670" t="s">
        <v>1678</v>
      </c>
      <c r="F1670" t="s"/>
      <c r="G1670" t="s"/>
      <c r="H1670" t="s"/>
      <c r="I1670" t="s"/>
      <c r="J1670" t="n">
        <v>0.4404</v>
      </c>
      <c r="K1670" t="n">
        <v>0</v>
      </c>
      <c r="L1670" t="n">
        <v>0.879</v>
      </c>
      <c r="M1670" t="n">
        <v>0.121</v>
      </c>
    </row>
    <row r="1671" spans="1:13">
      <c r="A1671" s="1">
        <f>HYPERLINK("http://www.twitter.com/NathanBLawrence/status/999425670181801984", "999425670181801984")</f>
        <v/>
      </c>
      <c r="B1671" s="2" t="n">
        <v>43243.96090277778</v>
      </c>
      <c r="C1671" t="n">
        <v>0</v>
      </c>
      <c r="D1671" t="n">
        <v>1808</v>
      </c>
      <c r="E1671" t="s">
        <v>1679</v>
      </c>
      <c r="F1671">
        <f>HYPERLINK("http://pbs.twimg.com/media/Dd6MnrOU8AEdcqa.jpg", "http://pbs.twimg.com/media/Dd6MnrOU8AEdcqa.jpg")</f>
        <v/>
      </c>
      <c r="G1671" t="s"/>
      <c r="H1671" t="s"/>
      <c r="I1671" t="s"/>
      <c r="J1671" t="n">
        <v>0.4885</v>
      </c>
      <c r="K1671" t="n">
        <v>0.173</v>
      </c>
      <c r="L1671" t="n">
        <v>0.551</v>
      </c>
      <c r="M1671" t="n">
        <v>0.276</v>
      </c>
    </row>
    <row r="1672" spans="1:13">
      <c r="A1672" s="1">
        <f>HYPERLINK("http://www.twitter.com/NathanBLawrence/status/999425612833050624", "999425612833050624")</f>
        <v/>
      </c>
      <c r="B1672" s="2" t="n">
        <v>43243.96075231482</v>
      </c>
      <c r="C1672" t="n">
        <v>0</v>
      </c>
      <c r="D1672" t="n">
        <v>416</v>
      </c>
      <c r="E1672" t="s">
        <v>1680</v>
      </c>
      <c r="F1672" t="s"/>
      <c r="G1672" t="s"/>
      <c r="H1672" t="s"/>
      <c r="I1672" t="s"/>
      <c r="J1672" t="n">
        <v>-0.34</v>
      </c>
      <c r="K1672" t="n">
        <v>0.098</v>
      </c>
      <c r="L1672" t="n">
        <v>0.902</v>
      </c>
      <c r="M1672" t="n">
        <v>0</v>
      </c>
    </row>
    <row r="1673" spans="1:13">
      <c r="A1673" s="1">
        <f>HYPERLINK("http://www.twitter.com/NathanBLawrence/status/999425517211279361", "999425517211279361")</f>
        <v/>
      </c>
      <c r="B1673" s="2" t="n">
        <v>43243.96048611111</v>
      </c>
      <c r="C1673" t="n">
        <v>0</v>
      </c>
      <c r="D1673" t="n">
        <v>1743</v>
      </c>
      <c r="E1673" t="s">
        <v>1681</v>
      </c>
      <c r="F1673" t="s"/>
      <c r="G1673" t="s"/>
      <c r="H1673" t="s"/>
      <c r="I1673" t="s"/>
      <c r="J1673" t="n">
        <v>0.694</v>
      </c>
      <c r="K1673" t="n">
        <v>0</v>
      </c>
      <c r="L1673" t="n">
        <v>0.777</v>
      </c>
      <c r="M1673" t="n">
        <v>0.223</v>
      </c>
    </row>
    <row r="1674" spans="1:13">
      <c r="A1674" s="1">
        <f>HYPERLINK("http://www.twitter.com/NathanBLawrence/status/999425344087183360", "999425344087183360")</f>
        <v/>
      </c>
      <c r="B1674" s="2" t="n">
        <v>43243.96001157408</v>
      </c>
      <c r="C1674" t="n">
        <v>0</v>
      </c>
      <c r="D1674" t="n">
        <v>565</v>
      </c>
      <c r="E1674" t="s">
        <v>1682</v>
      </c>
      <c r="F1674" t="s"/>
      <c r="G1674" t="s"/>
      <c r="H1674" t="s"/>
      <c r="I1674" t="s"/>
      <c r="J1674" t="n">
        <v>0.3612</v>
      </c>
      <c r="K1674" t="n">
        <v>0</v>
      </c>
      <c r="L1674" t="n">
        <v>0.894</v>
      </c>
      <c r="M1674" t="n">
        <v>0.106</v>
      </c>
    </row>
    <row r="1675" spans="1:13">
      <c r="A1675" s="1">
        <f>HYPERLINK("http://www.twitter.com/NathanBLawrence/status/999424926934155264", "999424926934155264")</f>
        <v/>
      </c>
      <c r="B1675" s="2" t="n">
        <v>43243.95885416667</v>
      </c>
      <c r="C1675" t="n">
        <v>0</v>
      </c>
      <c r="D1675" t="n">
        <v>1369</v>
      </c>
      <c r="E1675" t="s">
        <v>1683</v>
      </c>
      <c r="F1675">
        <f>HYPERLINK("https://video.twimg.com/ext_tw_video/999320712065122304/pu/vid/1278x720/EWphowlVkpGOqsIc.mp4?tag=3", "https://video.twimg.com/ext_tw_video/999320712065122304/pu/vid/1278x720/EWphowlVkpGOqsIc.mp4?tag=3")</f>
        <v/>
      </c>
      <c r="G1675" t="s"/>
      <c r="H1675" t="s"/>
      <c r="I1675" t="s"/>
      <c r="J1675" t="n">
        <v>-0.4767</v>
      </c>
      <c r="K1675" t="n">
        <v>0.154</v>
      </c>
      <c r="L1675" t="n">
        <v>0.846</v>
      </c>
      <c r="M1675" t="n">
        <v>0</v>
      </c>
    </row>
    <row r="1676" spans="1:13">
      <c r="A1676" s="1">
        <f>HYPERLINK("http://www.twitter.com/NathanBLawrence/status/999424869120053248", "999424869120053248")</f>
        <v/>
      </c>
      <c r="B1676" s="2" t="n">
        <v>43243.95869212963</v>
      </c>
      <c r="C1676" t="n">
        <v>0</v>
      </c>
      <c r="D1676" t="n">
        <v>402</v>
      </c>
      <c r="E1676" t="s">
        <v>1684</v>
      </c>
      <c r="F1676" t="s"/>
      <c r="G1676" t="s"/>
      <c r="H1676" t="s"/>
      <c r="I1676" t="s"/>
      <c r="J1676" t="n">
        <v>-0.1091</v>
      </c>
      <c r="K1676" t="n">
        <v>0.199</v>
      </c>
      <c r="L1676" t="n">
        <v>0.614</v>
      </c>
      <c r="M1676" t="n">
        <v>0.187</v>
      </c>
    </row>
    <row r="1677" spans="1:13">
      <c r="A1677" s="1">
        <f>HYPERLINK("http://www.twitter.com/NathanBLawrence/status/999424746038153217", "999424746038153217")</f>
        <v/>
      </c>
      <c r="B1677" s="2" t="n">
        <v>43243.95835648148</v>
      </c>
      <c r="C1677" t="n">
        <v>0</v>
      </c>
      <c r="D1677" t="n">
        <v>199</v>
      </c>
      <c r="E1677" t="s">
        <v>1685</v>
      </c>
      <c r="F1677" t="s"/>
      <c r="G1677" t="s"/>
      <c r="H1677" t="s"/>
      <c r="I1677" t="s"/>
      <c r="J1677" t="n">
        <v>0.2732</v>
      </c>
      <c r="K1677" t="n">
        <v>0.092</v>
      </c>
      <c r="L1677" t="n">
        <v>0.746</v>
      </c>
      <c r="M1677" t="n">
        <v>0.163</v>
      </c>
    </row>
    <row r="1678" spans="1:13">
      <c r="A1678" s="1">
        <f>HYPERLINK("http://www.twitter.com/NathanBLawrence/status/999424714878660614", "999424714878660614")</f>
        <v/>
      </c>
      <c r="B1678" s="2" t="n">
        <v>43243.95827546297</v>
      </c>
      <c r="C1678" t="n">
        <v>0</v>
      </c>
      <c r="D1678" t="n">
        <v>13684</v>
      </c>
      <c r="E1678" t="s">
        <v>1686</v>
      </c>
      <c r="F1678" t="s"/>
      <c r="G1678" t="s"/>
      <c r="H1678" t="s"/>
      <c r="I1678" t="s"/>
      <c r="J1678" t="n">
        <v>0.1655</v>
      </c>
      <c r="K1678" t="n">
        <v>0</v>
      </c>
      <c r="L1678" t="n">
        <v>0.93</v>
      </c>
      <c r="M1678" t="n">
        <v>0.07000000000000001</v>
      </c>
    </row>
    <row r="1679" spans="1:13">
      <c r="A1679" s="1">
        <f>HYPERLINK("http://www.twitter.com/NathanBLawrence/status/999424220139532293", "999424220139532293")</f>
        <v/>
      </c>
      <c r="B1679" s="2" t="n">
        <v>43243.95690972222</v>
      </c>
      <c r="C1679" t="n">
        <v>0</v>
      </c>
      <c r="D1679" t="n">
        <v>1</v>
      </c>
      <c r="E1679" t="s">
        <v>1687</v>
      </c>
      <c r="F1679" t="s"/>
      <c r="G1679" t="s"/>
      <c r="H1679" t="s"/>
      <c r="I1679" t="s"/>
      <c r="J1679" t="n">
        <v>-0.4031</v>
      </c>
      <c r="K1679" t="n">
        <v>0.426</v>
      </c>
      <c r="L1679" t="n">
        <v>0.574</v>
      </c>
      <c r="M1679" t="n">
        <v>0</v>
      </c>
    </row>
    <row r="1680" spans="1:13">
      <c r="A1680" s="1">
        <f>HYPERLINK("http://www.twitter.com/NathanBLawrence/status/999424194558472192", "999424194558472192")</f>
        <v/>
      </c>
      <c r="B1680" s="2" t="n">
        <v>43243.95684027778</v>
      </c>
      <c r="C1680" t="n">
        <v>0</v>
      </c>
      <c r="D1680" t="n">
        <v>5</v>
      </c>
      <c r="E1680" t="s">
        <v>1688</v>
      </c>
      <c r="F1680" t="s"/>
      <c r="G1680" t="s"/>
      <c r="H1680" t="s"/>
      <c r="I1680" t="s"/>
      <c r="J1680" t="n">
        <v>-0.0258</v>
      </c>
      <c r="K1680" t="n">
        <v>0.116</v>
      </c>
      <c r="L1680" t="n">
        <v>0.772</v>
      </c>
      <c r="M1680" t="n">
        <v>0.112</v>
      </c>
    </row>
    <row r="1681" spans="1:13">
      <c r="A1681" s="1">
        <f>HYPERLINK("http://www.twitter.com/NathanBLawrence/status/999424090070048770", "999424090070048770")</f>
        <v/>
      </c>
      <c r="B1681" s="2" t="n">
        <v>43243.95655092593</v>
      </c>
      <c r="C1681" t="n">
        <v>0</v>
      </c>
      <c r="D1681" t="n">
        <v>3</v>
      </c>
      <c r="E1681" t="s">
        <v>1689</v>
      </c>
      <c r="F1681" t="s"/>
      <c r="G1681" t="s"/>
      <c r="H1681" t="s"/>
      <c r="I1681" t="s"/>
      <c r="J1681" t="n">
        <v>-0.6597</v>
      </c>
      <c r="K1681" t="n">
        <v>0.252</v>
      </c>
      <c r="L1681" t="n">
        <v>0.748</v>
      </c>
      <c r="M1681" t="n">
        <v>0</v>
      </c>
    </row>
    <row r="1682" spans="1:13">
      <c r="A1682" s="1">
        <f>HYPERLINK("http://www.twitter.com/NathanBLawrence/status/999424064069472258", "999424064069472258")</f>
        <v/>
      </c>
      <c r="B1682" s="2" t="n">
        <v>43243.95646990741</v>
      </c>
      <c r="C1682" t="n">
        <v>0</v>
      </c>
      <c r="D1682" t="n">
        <v>1</v>
      </c>
      <c r="E1682" t="s">
        <v>1690</v>
      </c>
      <c r="F1682" t="s"/>
      <c r="G1682" t="s"/>
      <c r="H1682" t="s"/>
      <c r="I1682" t="s"/>
      <c r="J1682" t="n">
        <v>0.2732</v>
      </c>
      <c r="K1682" t="n">
        <v>0</v>
      </c>
      <c r="L1682" t="n">
        <v>0.792</v>
      </c>
      <c r="M1682" t="n">
        <v>0.208</v>
      </c>
    </row>
    <row r="1683" spans="1:13">
      <c r="A1683" s="1">
        <f>HYPERLINK("http://www.twitter.com/NathanBLawrence/status/999424043991420931", "999424043991420931")</f>
        <v/>
      </c>
      <c r="B1683" s="2" t="n">
        <v>43243.95642361111</v>
      </c>
      <c r="C1683" t="n">
        <v>0</v>
      </c>
      <c r="D1683" t="n">
        <v>2</v>
      </c>
      <c r="E1683" t="s">
        <v>1691</v>
      </c>
      <c r="F1683" t="s"/>
      <c r="G1683" t="s"/>
      <c r="H1683" t="s"/>
      <c r="I1683" t="s"/>
      <c r="J1683" t="n">
        <v>0</v>
      </c>
      <c r="K1683" t="n">
        <v>0</v>
      </c>
      <c r="L1683" t="n">
        <v>1</v>
      </c>
      <c r="M1683" t="n">
        <v>0</v>
      </c>
    </row>
    <row r="1684" spans="1:13">
      <c r="A1684" s="1">
        <f>HYPERLINK("http://www.twitter.com/NathanBLawrence/status/999424030246567937", "999424030246567937")</f>
        <v/>
      </c>
      <c r="B1684" s="2" t="n">
        <v>43243.95637731482</v>
      </c>
      <c r="C1684" t="n">
        <v>0</v>
      </c>
      <c r="D1684" t="n">
        <v>3</v>
      </c>
      <c r="E1684" t="s">
        <v>1692</v>
      </c>
      <c r="F1684" t="s"/>
      <c r="G1684" t="s"/>
      <c r="H1684" t="s"/>
      <c r="I1684" t="s"/>
      <c r="J1684" t="n">
        <v>-0.855</v>
      </c>
      <c r="K1684" t="n">
        <v>0.37</v>
      </c>
      <c r="L1684" t="n">
        <v>0.63</v>
      </c>
      <c r="M1684" t="n">
        <v>0</v>
      </c>
    </row>
    <row r="1685" spans="1:13">
      <c r="A1685" s="1">
        <f>HYPERLINK("http://www.twitter.com/NathanBLawrence/status/999424002094444545", "999424002094444545")</f>
        <v/>
      </c>
      <c r="B1685" s="2" t="n">
        <v>43243.95630787037</v>
      </c>
      <c r="C1685" t="n">
        <v>0</v>
      </c>
      <c r="D1685" t="n">
        <v>2</v>
      </c>
      <c r="E1685" t="s">
        <v>1693</v>
      </c>
      <c r="F1685" t="s"/>
      <c r="G1685" t="s"/>
      <c r="H1685" t="s"/>
      <c r="I1685" t="s"/>
      <c r="J1685" t="n">
        <v>0.5106000000000001</v>
      </c>
      <c r="K1685" t="n">
        <v>0</v>
      </c>
      <c r="L1685" t="n">
        <v>0.784</v>
      </c>
      <c r="M1685" t="n">
        <v>0.216</v>
      </c>
    </row>
    <row r="1686" spans="1:13">
      <c r="A1686" s="1">
        <f>HYPERLINK("http://www.twitter.com/NathanBLawrence/status/999423973900406785", "999423973900406785")</f>
        <v/>
      </c>
      <c r="B1686" s="2" t="n">
        <v>43243.95622685185</v>
      </c>
      <c r="C1686" t="n">
        <v>5</v>
      </c>
      <c r="D1686" t="n">
        <v>0</v>
      </c>
      <c r="E1686" t="s">
        <v>1694</v>
      </c>
      <c r="F1686" t="s"/>
      <c r="G1686" t="s"/>
      <c r="H1686" t="s"/>
      <c r="I1686" t="s"/>
      <c r="J1686" t="n">
        <v>-0.8122</v>
      </c>
      <c r="K1686" t="n">
        <v>0.425</v>
      </c>
      <c r="L1686" t="n">
        <v>0.575</v>
      </c>
      <c r="M1686" t="n">
        <v>0</v>
      </c>
    </row>
    <row r="1687" spans="1:13">
      <c r="A1687" s="1">
        <f>HYPERLINK("http://www.twitter.com/NathanBLawrence/status/999423738297896960", "999423738297896960")</f>
        <v/>
      </c>
      <c r="B1687" s="2" t="n">
        <v>43243.9555787037</v>
      </c>
      <c r="C1687" t="n">
        <v>0</v>
      </c>
      <c r="D1687" t="n">
        <v>179</v>
      </c>
      <c r="E1687" t="s">
        <v>1695</v>
      </c>
      <c r="F1687" t="s"/>
      <c r="G1687" t="s"/>
      <c r="H1687" t="s"/>
      <c r="I1687" t="s"/>
      <c r="J1687" t="n">
        <v>0.678</v>
      </c>
      <c r="K1687" t="n">
        <v>0</v>
      </c>
      <c r="L1687" t="n">
        <v>0.7</v>
      </c>
      <c r="M1687" t="n">
        <v>0.3</v>
      </c>
    </row>
    <row r="1688" spans="1:13">
      <c r="A1688" s="1">
        <f>HYPERLINK("http://www.twitter.com/NathanBLawrence/status/999423341609082888", "999423341609082888")</f>
        <v/>
      </c>
      <c r="B1688" s="2" t="n">
        <v>43243.95447916666</v>
      </c>
      <c r="C1688" t="n">
        <v>1</v>
      </c>
      <c r="D1688" t="n">
        <v>1</v>
      </c>
      <c r="E1688" t="s">
        <v>1696</v>
      </c>
      <c r="F1688" t="s"/>
      <c r="G1688" t="s"/>
      <c r="H1688" t="s"/>
      <c r="I1688" t="s"/>
      <c r="J1688" t="n">
        <v>-0.4215</v>
      </c>
      <c r="K1688" t="n">
        <v>0.056</v>
      </c>
      <c r="L1688" t="n">
        <v>0.944</v>
      </c>
      <c r="M1688" t="n">
        <v>0</v>
      </c>
    </row>
    <row r="1689" spans="1:13">
      <c r="A1689" s="1">
        <f>HYPERLINK("http://www.twitter.com/NathanBLawrence/status/999413866382667777", "999413866382667777")</f>
        <v/>
      </c>
      <c r="B1689" s="2" t="n">
        <v>43243.92833333334</v>
      </c>
      <c r="C1689" t="n">
        <v>0</v>
      </c>
      <c r="D1689" t="n">
        <v>7</v>
      </c>
      <c r="E1689" t="s">
        <v>1697</v>
      </c>
      <c r="F1689">
        <f>HYPERLINK("http://pbs.twimg.com/media/Dd13kLdV4AU3tfi.jpg", "http://pbs.twimg.com/media/Dd13kLdV4AU3tfi.jpg")</f>
        <v/>
      </c>
      <c r="G1689" t="s"/>
      <c r="H1689" t="s"/>
      <c r="I1689" t="s"/>
      <c r="J1689" t="n">
        <v>0.7776999999999999</v>
      </c>
      <c r="K1689" t="n">
        <v>0</v>
      </c>
      <c r="L1689" t="n">
        <v>0.726</v>
      </c>
      <c r="M1689" t="n">
        <v>0.274</v>
      </c>
    </row>
    <row r="1690" spans="1:13">
      <c r="A1690" s="1">
        <f>HYPERLINK("http://www.twitter.com/NathanBLawrence/status/999413834388566018", "999413834388566018")</f>
        <v/>
      </c>
      <c r="B1690" s="2" t="n">
        <v>43243.92824074074</v>
      </c>
      <c r="C1690" t="n">
        <v>0</v>
      </c>
      <c r="D1690" t="n">
        <v>18</v>
      </c>
      <c r="E1690" t="s">
        <v>1698</v>
      </c>
      <c r="F1690">
        <f>HYPERLINK("http://pbs.twimg.com/media/Dd6SFC2UQAEPz3P.jpg", "http://pbs.twimg.com/media/Dd6SFC2UQAEPz3P.jpg")</f>
        <v/>
      </c>
      <c r="G1690" t="s"/>
      <c r="H1690" t="s"/>
      <c r="I1690" t="s"/>
      <c r="J1690" t="n">
        <v>-0.443</v>
      </c>
      <c r="K1690" t="n">
        <v>0.171</v>
      </c>
      <c r="L1690" t="n">
        <v>0.829</v>
      </c>
      <c r="M1690" t="n">
        <v>0</v>
      </c>
    </row>
    <row r="1691" spans="1:13">
      <c r="A1691" s="1">
        <f>HYPERLINK("http://www.twitter.com/NathanBLawrence/status/999413808081891328", "999413808081891328")</f>
        <v/>
      </c>
      <c r="B1691" s="2" t="n">
        <v>43243.9281712963</v>
      </c>
      <c r="C1691" t="n">
        <v>0</v>
      </c>
      <c r="D1691" t="n">
        <v>11</v>
      </c>
      <c r="E1691" t="s">
        <v>1699</v>
      </c>
      <c r="F1691">
        <f>HYPERLINK("http://pbs.twimg.com/media/Dd6TORUV0AAYhQz.jpg", "http://pbs.twimg.com/media/Dd6TORUV0AAYhQz.jpg")</f>
        <v/>
      </c>
      <c r="G1691" t="s"/>
      <c r="H1691" t="s"/>
      <c r="I1691" t="s"/>
      <c r="J1691" t="n">
        <v>0.8748</v>
      </c>
      <c r="K1691" t="n">
        <v>0</v>
      </c>
      <c r="L1691" t="n">
        <v>0.643</v>
      </c>
      <c r="M1691" t="n">
        <v>0.357</v>
      </c>
    </row>
    <row r="1692" spans="1:13">
      <c r="A1692" s="1">
        <f>HYPERLINK("http://www.twitter.com/NathanBLawrence/status/999413371807158273", "999413371807158273")</f>
        <v/>
      </c>
      <c r="B1692" s="2" t="n">
        <v>43243.92696759259</v>
      </c>
      <c r="C1692" t="n">
        <v>0</v>
      </c>
      <c r="D1692" t="n">
        <v>481</v>
      </c>
      <c r="E1692" t="s">
        <v>1700</v>
      </c>
      <c r="F1692">
        <f>HYPERLINK("http://pbs.twimg.com/media/Dd6Pm0MVAAEKsBu.jpg", "http://pbs.twimg.com/media/Dd6Pm0MVAAEKsBu.jpg")</f>
        <v/>
      </c>
      <c r="G1692">
        <f>HYPERLINK("http://pbs.twimg.com/media/Dd6Pm0PU8AEoUVT.jpg", "http://pbs.twimg.com/media/Dd6Pm0PU8AEoUVT.jpg")</f>
        <v/>
      </c>
      <c r="H1692" t="s"/>
      <c r="I1692" t="s"/>
      <c r="J1692" t="n">
        <v>0</v>
      </c>
      <c r="K1692" t="n">
        <v>0</v>
      </c>
      <c r="L1692" t="n">
        <v>1</v>
      </c>
      <c r="M1692" t="n">
        <v>0</v>
      </c>
    </row>
    <row r="1693" spans="1:13">
      <c r="A1693" s="1">
        <f>HYPERLINK("http://www.twitter.com/NathanBLawrence/status/999413187215847424", "999413187215847424")</f>
        <v/>
      </c>
      <c r="B1693" s="2" t="n">
        <v>43243.92645833334</v>
      </c>
      <c r="C1693" t="n">
        <v>0</v>
      </c>
      <c r="D1693" t="n">
        <v>3402</v>
      </c>
      <c r="E1693" t="s">
        <v>1701</v>
      </c>
      <c r="F1693" t="s"/>
      <c r="G1693" t="s"/>
      <c r="H1693" t="s"/>
      <c r="I1693" t="s"/>
      <c r="J1693" t="n">
        <v>-0.5106000000000001</v>
      </c>
      <c r="K1693" t="n">
        <v>0.452</v>
      </c>
      <c r="L1693" t="n">
        <v>0.548</v>
      </c>
      <c r="M1693" t="n">
        <v>0</v>
      </c>
    </row>
    <row r="1694" spans="1:13">
      <c r="A1694" s="1">
        <f>HYPERLINK("http://www.twitter.com/NathanBLawrence/status/999413146648563712", "999413146648563712")</f>
        <v/>
      </c>
      <c r="B1694" s="2" t="n">
        <v>43243.92635416667</v>
      </c>
      <c r="C1694" t="n">
        <v>0</v>
      </c>
      <c r="D1694" t="n">
        <v>49</v>
      </c>
      <c r="E1694" t="s">
        <v>1702</v>
      </c>
      <c r="F1694" t="s"/>
      <c r="G1694" t="s"/>
      <c r="H1694" t="s"/>
      <c r="I1694" t="s"/>
      <c r="J1694" t="n">
        <v>0</v>
      </c>
      <c r="K1694" t="n">
        <v>0</v>
      </c>
      <c r="L1694" t="n">
        <v>1</v>
      </c>
      <c r="M1694" t="n">
        <v>0</v>
      </c>
    </row>
    <row r="1695" spans="1:13">
      <c r="A1695" s="1">
        <f>HYPERLINK("http://www.twitter.com/NathanBLawrence/status/999413117426782209", "999413117426782209")</f>
        <v/>
      </c>
      <c r="B1695" s="2" t="n">
        <v>43243.92627314815</v>
      </c>
      <c r="C1695" t="n">
        <v>0</v>
      </c>
      <c r="D1695" t="n">
        <v>57</v>
      </c>
      <c r="E1695" t="s">
        <v>1703</v>
      </c>
      <c r="F1695" t="s"/>
      <c r="G1695" t="s"/>
      <c r="H1695" t="s"/>
      <c r="I1695" t="s"/>
      <c r="J1695" t="n">
        <v>0.5859</v>
      </c>
      <c r="K1695" t="n">
        <v>0</v>
      </c>
      <c r="L1695" t="n">
        <v>0.441</v>
      </c>
      <c r="M1695" t="n">
        <v>0.5590000000000001</v>
      </c>
    </row>
    <row r="1696" spans="1:13">
      <c r="A1696" s="1">
        <f>HYPERLINK("http://www.twitter.com/NathanBLawrence/status/999413052645797888", "999413052645797888")</f>
        <v/>
      </c>
      <c r="B1696" s="2" t="n">
        <v>43243.92608796297</v>
      </c>
      <c r="C1696" t="n">
        <v>0</v>
      </c>
      <c r="D1696" t="n">
        <v>24</v>
      </c>
      <c r="E1696" t="s">
        <v>1704</v>
      </c>
      <c r="F1696" t="s"/>
      <c r="G1696" t="s"/>
      <c r="H1696" t="s"/>
      <c r="I1696" t="s"/>
      <c r="J1696" t="n">
        <v>0.5859</v>
      </c>
      <c r="K1696" t="n">
        <v>0</v>
      </c>
      <c r="L1696" t="n">
        <v>0.678</v>
      </c>
      <c r="M1696" t="n">
        <v>0.322</v>
      </c>
    </row>
    <row r="1697" spans="1:13">
      <c r="A1697" s="1">
        <f>HYPERLINK("http://www.twitter.com/NathanBLawrence/status/999412670804692993", "999412670804692993")</f>
        <v/>
      </c>
      <c r="B1697" s="2" t="n">
        <v>43243.92503472222</v>
      </c>
      <c r="C1697" t="n">
        <v>0</v>
      </c>
      <c r="D1697" t="n">
        <v>0</v>
      </c>
      <c r="E1697" t="s">
        <v>1705</v>
      </c>
      <c r="F1697" t="s"/>
      <c r="G1697" t="s"/>
      <c r="H1697" t="s"/>
      <c r="I1697" t="s"/>
      <c r="J1697" t="n">
        <v>-0.8126</v>
      </c>
      <c r="K1697" t="n">
        <v>0.245</v>
      </c>
      <c r="L1697" t="n">
        <v>0.755</v>
      </c>
      <c r="M1697" t="n">
        <v>0</v>
      </c>
    </row>
    <row r="1698" spans="1:13">
      <c r="A1698" s="1">
        <f>HYPERLINK("http://www.twitter.com/NathanBLawrence/status/999409464662003712", "999409464662003712")</f>
        <v/>
      </c>
      <c r="B1698" s="2" t="n">
        <v>43243.91619212963</v>
      </c>
      <c r="C1698" t="n">
        <v>0</v>
      </c>
      <c r="D1698" t="n">
        <v>0</v>
      </c>
      <c r="E1698" t="s">
        <v>1706</v>
      </c>
      <c r="F1698" t="s"/>
      <c r="G1698" t="s"/>
      <c r="H1698" t="s"/>
      <c r="I1698" t="s"/>
      <c r="J1698" t="n">
        <v>-0.6114000000000001</v>
      </c>
      <c r="K1698" t="n">
        <v>0.182</v>
      </c>
      <c r="L1698" t="n">
        <v>0.741</v>
      </c>
      <c r="M1698" t="n">
        <v>0.077</v>
      </c>
    </row>
    <row r="1699" spans="1:13">
      <c r="A1699" s="1">
        <f>HYPERLINK("http://www.twitter.com/NathanBLawrence/status/999409038294241281", "999409038294241281")</f>
        <v/>
      </c>
      <c r="B1699" s="2" t="n">
        <v>43243.91501157408</v>
      </c>
      <c r="C1699" t="n">
        <v>0</v>
      </c>
      <c r="D1699" t="n">
        <v>0</v>
      </c>
      <c r="E1699" t="s">
        <v>1707</v>
      </c>
      <c r="F1699" t="s"/>
      <c r="G1699" t="s"/>
      <c r="H1699" t="s"/>
      <c r="I1699" t="s"/>
      <c r="J1699" t="n">
        <v>-0.1779</v>
      </c>
      <c r="K1699" t="n">
        <v>0.08500000000000001</v>
      </c>
      <c r="L1699" t="n">
        <v>0.867</v>
      </c>
      <c r="M1699" t="n">
        <v>0.049</v>
      </c>
    </row>
    <row r="1700" spans="1:13">
      <c r="A1700" s="1">
        <f>HYPERLINK("http://www.twitter.com/NathanBLawrence/status/999408576115499008", "999408576115499008")</f>
        <v/>
      </c>
      <c r="B1700" s="2" t="n">
        <v>43243.91373842592</v>
      </c>
      <c r="C1700" t="n">
        <v>0</v>
      </c>
      <c r="D1700" t="n">
        <v>0</v>
      </c>
      <c r="E1700" t="s">
        <v>1708</v>
      </c>
      <c r="F1700" t="s"/>
      <c r="G1700" t="s"/>
      <c r="H1700" t="s"/>
      <c r="I1700" t="s"/>
      <c r="J1700" t="n">
        <v>-0.5837</v>
      </c>
      <c r="K1700" t="n">
        <v>0.193</v>
      </c>
      <c r="L1700" t="n">
        <v>0.8070000000000001</v>
      </c>
      <c r="M1700" t="n">
        <v>0</v>
      </c>
    </row>
    <row r="1701" spans="1:13">
      <c r="A1701" s="1">
        <f>HYPERLINK("http://www.twitter.com/NathanBLawrence/status/999406349904736256", "999406349904736256")</f>
        <v/>
      </c>
      <c r="B1701" s="2" t="n">
        <v>43243.90759259259</v>
      </c>
      <c r="C1701" t="n">
        <v>2</v>
      </c>
      <c r="D1701" t="n">
        <v>0</v>
      </c>
      <c r="E1701" t="s">
        <v>1709</v>
      </c>
      <c r="F1701" t="s"/>
      <c r="G1701" t="s"/>
      <c r="H1701" t="s"/>
      <c r="I1701" t="s"/>
      <c r="J1701" t="n">
        <v>-0.2737</v>
      </c>
      <c r="K1701" t="n">
        <v>0.049</v>
      </c>
      <c r="L1701" t="n">
        <v>0.924</v>
      </c>
      <c r="M1701" t="n">
        <v>0.027</v>
      </c>
    </row>
    <row r="1702" spans="1:13">
      <c r="A1702" s="1">
        <f>HYPERLINK("http://www.twitter.com/NathanBLawrence/status/999405458803830784", "999405458803830784")</f>
        <v/>
      </c>
      <c r="B1702" s="2" t="n">
        <v>43243.90513888889</v>
      </c>
      <c r="C1702" t="n">
        <v>0</v>
      </c>
      <c r="D1702" t="n">
        <v>2</v>
      </c>
      <c r="E1702" t="s">
        <v>1710</v>
      </c>
      <c r="F1702" t="s"/>
      <c r="G1702" t="s"/>
      <c r="H1702" t="s"/>
      <c r="I1702" t="s"/>
      <c r="J1702" t="n">
        <v>0</v>
      </c>
      <c r="K1702" t="n">
        <v>0.098</v>
      </c>
      <c r="L1702" t="n">
        <v>0.804</v>
      </c>
      <c r="M1702" t="n">
        <v>0.098</v>
      </c>
    </row>
    <row r="1703" spans="1:13">
      <c r="A1703" s="1">
        <f>HYPERLINK("http://www.twitter.com/NathanBLawrence/status/999405296782118912", "999405296782118912")</f>
        <v/>
      </c>
      <c r="B1703" s="2" t="n">
        <v>43243.9046875</v>
      </c>
      <c r="C1703" t="n">
        <v>0</v>
      </c>
      <c r="D1703" t="n">
        <v>2</v>
      </c>
      <c r="E1703" t="s">
        <v>1711</v>
      </c>
      <c r="F1703" t="s"/>
      <c r="G1703" t="s"/>
      <c r="H1703" t="s"/>
      <c r="I1703" t="s"/>
      <c r="J1703" t="n">
        <v>0.8008999999999999</v>
      </c>
      <c r="K1703" t="n">
        <v>0</v>
      </c>
      <c r="L1703" t="n">
        <v>0.6850000000000001</v>
      </c>
      <c r="M1703" t="n">
        <v>0.315</v>
      </c>
    </row>
    <row r="1704" spans="1:13">
      <c r="A1704" s="1">
        <f>HYPERLINK("http://www.twitter.com/NathanBLawrence/status/999405186992037889", "999405186992037889")</f>
        <v/>
      </c>
      <c r="B1704" s="2" t="n">
        <v>43243.90438657408</v>
      </c>
      <c r="C1704" t="n">
        <v>0</v>
      </c>
      <c r="D1704" t="n">
        <v>25</v>
      </c>
      <c r="E1704" t="s">
        <v>1712</v>
      </c>
      <c r="F1704" t="s"/>
      <c r="G1704" t="s"/>
      <c r="H1704" t="s"/>
      <c r="I1704" t="s"/>
      <c r="J1704" t="n">
        <v>0.0772</v>
      </c>
      <c r="K1704" t="n">
        <v>0.097</v>
      </c>
      <c r="L1704" t="n">
        <v>0.793</v>
      </c>
      <c r="M1704" t="n">
        <v>0.11</v>
      </c>
    </row>
    <row r="1705" spans="1:13">
      <c r="A1705" s="1">
        <f>HYPERLINK("http://www.twitter.com/NathanBLawrence/status/999405098928353281", "999405098928353281")</f>
        <v/>
      </c>
      <c r="B1705" s="2" t="n">
        <v>43243.90414351852</v>
      </c>
      <c r="C1705" t="n">
        <v>0</v>
      </c>
      <c r="D1705" t="n">
        <v>139</v>
      </c>
      <c r="E1705" t="s">
        <v>1713</v>
      </c>
      <c r="F1705" t="s"/>
      <c r="G1705" t="s"/>
      <c r="H1705" t="s"/>
      <c r="I1705" t="s"/>
      <c r="J1705" t="n">
        <v>0</v>
      </c>
      <c r="K1705" t="n">
        <v>0</v>
      </c>
      <c r="L1705" t="n">
        <v>1</v>
      </c>
      <c r="M1705" t="n">
        <v>0</v>
      </c>
    </row>
    <row r="1706" spans="1:13">
      <c r="A1706" s="1">
        <f>HYPERLINK("http://www.twitter.com/NathanBLawrence/status/999405024345296896", "999405024345296896")</f>
        <v/>
      </c>
      <c r="B1706" s="2" t="n">
        <v>43243.90393518518</v>
      </c>
      <c r="C1706" t="n">
        <v>0</v>
      </c>
      <c r="D1706" t="n">
        <v>132</v>
      </c>
      <c r="E1706" t="s">
        <v>1714</v>
      </c>
      <c r="F1706" t="s"/>
      <c r="G1706" t="s"/>
      <c r="H1706" t="s"/>
      <c r="I1706" t="s"/>
      <c r="J1706" t="n">
        <v>0</v>
      </c>
      <c r="K1706" t="n">
        <v>0</v>
      </c>
      <c r="L1706" t="n">
        <v>1</v>
      </c>
      <c r="M1706" t="n">
        <v>0</v>
      </c>
    </row>
    <row r="1707" spans="1:13">
      <c r="A1707" s="1">
        <f>HYPERLINK("http://www.twitter.com/NathanBLawrence/status/999404990811779072", "999404990811779072")</f>
        <v/>
      </c>
      <c r="B1707" s="2" t="n">
        <v>43243.90384259259</v>
      </c>
      <c r="C1707" t="n">
        <v>0</v>
      </c>
      <c r="D1707" t="n">
        <v>134</v>
      </c>
      <c r="E1707" t="s">
        <v>1715</v>
      </c>
      <c r="F1707" t="s"/>
      <c r="G1707" t="s"/>
      <c r="H1707" t="s"/>
      <c r="I1707" t="s"/>
      <c r="J1707" t="n">
        <v>0.8016</v>
      </c>
      <c r="K1707" t="n">
        <v>0</v>
      </c>
      <c r="L1707" t="n">
        <v>0.709</v>
      </c>
      <c r="M1707" t="n">
        <v>0.291</v>
      </c>
    </row>
    <row r="1708" spans="1:13">
      <c r="A1708" s="1">
        <f>HYPERLINK("http://www.twitter.com/NathanBLawrence/status/999404926081040384", "999404926081040384")</f>
        <v/>
      </c>
      <c r="B1708" s="2" t="n">
        <v>43243.90366898148</v>
      </c>
      <c r="C1708" t="n">
        <v>0</v>
      </c>
      <c r="D1708" t="n">
        <v>26</v>
      </c>
      <c r="E1708" t="s">
        <v>1716</v>
      </c>
      <c r="F1708" t="s"/>
      <c r="G1708" t="s"/>
      <c r="H1708" t="s"/>
      <c r="I1708" t="s"/>
      <c r="J1708" t="n">
        <v>0.5563</v>
      </c>
      <c r="K1708" t="n">
        <v>0</v>
      </c>
      <c r="L1708" t="n">
        <v>0.821</v>
      </c>
      <c r="M1708" t="n">
        <v>0.179</v>
      </c>
    </row>
    <row r="1709" spans="1:13">
      <c r="A1709" s="1">
        <f>HYPERLINK("http://www.twitter.com/NathanBLawrence/status/999404845730877441", "999404845730877441")</f>
        <v/>
      </c>
      <c r="B1709" s="2" t="n">
        <v>43243.9034375</v>
      </c>
      <c r="C1709" t="n">
        <v>0</v>
      </c>
      <c r="D1709" t="n">
        <v>32</v>
      </c>
      <c r="E1709" t="s">
        <v>1717</v>
      </c>
      <c r="F1709" t="s"/>
      <c r="G1709" t="s"/>
      <c r="H1709" t="s"/>
      <c r="I1709" t="s"/>
      <c r="J1709" t="n">
        <v>0</v>
      </c>
      <c r="K1709" t="n">
        <v>0.094</v>
      </c>
      <c r="L1709" t="n">
        <v>0.8120000000000001</v>
      </c>
      <c r="M1709" t="n">
        <v>0.094</v>
      </c>
    </row>
    <row r="1710" spans="1:13">
      <c r="A1710" s="1">
        <f>HYPERLINK("http://www.twitter.com/NathanBLawrence/status/999404801862635522", "999404801862635522")</f>
        <v/>
      </c>
      <c r="B1710" s="2" t="n">
        <v>43243.90332175926</v>
      </c>
      <c r="C1710" t="n">
        <v>0</v>
      </c>
      <c r="D1710" t="n">
        <v>88</v>
      </c>
      <c r="E1710" t="s">
        <v>1718</v>
      </c>
      <c r="F1710" t="s"/>
      <c r="G1710" t="s"/>
      <c r="H1710" t="s"/>
      <c r="I1710" t="s"/>
      <c r="J1710" t="n">
        <v>-0.2263</v>
      </c>
      <c r="K1710" t="n">
        <v>0.131</v>
      </c>
      <c r="L1710" t="n">
        <v>0.772</v>
      </c>
      <c r="M1710" t="n">
        <v>0.097</v>
      </c>
    </row>
    <row r="1711" spans="1:13">
      <c r="A1711" s="1">
        <f>HYPERLINK("http://www.twitter.com/NathanBLawrence/status/999404746371993601", "999404746371993601")</f>
        <v/>
      </c>
      <c r="B1711" s="2" t="n">
        <v>43243.9031712963</v>
      </c>
      <c r="C1711" t="n">
        <v>0</v>
      </c>
      <c r="D1711" t="n">
        <v>33</v>
      </c>
      <c r="E1711" t="s">
        <v>1719</v>
      </c>
      <c r="F1711" t="s"/>
      <c r="G1711" t="s"/>
      <c r="H1711" t="s"/>
      <c r="I1711" t="s"/>
      <c r="J1711" t="n">
        <v>0</v>
      </c>
      <c r="K1711" t="n">
        <v>0</v>
      </c>
      <c r="L1711" t="n">
        <v>1</v>
      </c>
      <c r="M1711" t="n">
        <v>0</v>
      </c>
    </row>
    <row r="1712" spans="1:13">
      <c r="A1712" s="1">
        <f>HYPERLINK("http://www.twitter.com/NathanBLawrence/status/999404702373687296", "999404702373687296")</f>
        <v/>
      </c>
      <c r="B1712" s="2" t="n">
        <v>43243.90304398148</v>
      </c>
      <c r="C1712" t="n">
        <v>0</v>
      </c>
      <c r="D1712" t="n">
        <v>54</v>
      </c>
      <c r="E1712" t="s">
        <v>1720</v>
      </c>
      <c r="F1712" t="s"/>
      <c r="G1712" t="s"/>
      <c r="H1712" t="s"/>
      <c r="I1712" t="s"/>
      <c r="J1712" t="n">
        <v>-0.7003</v>
      </c>
      <c r="K1712" t="n">
        <v>0.188</v>
      </c>
      <c r="L1712" t="n">
        <v>0.8120000000000001</v>
      </c>
      <c r="M1712" t="n">
        <v>0</v>
      </c>
    </row>
    <row r="1713" spans="1:13">
      <c r="A1713" s="1">
        <f>HYPERLINK("http://www.twitter.com/NathanBLawrence/status/999404602733858817", "999404602733858817")</f>
        <v/>
      </c>
      <c r="B1713" s="2" t="n">
        <v>43243.9027662037</v>
      </c>
      <c r="C1713" t="n">
        <v>0</v>
      </c>
      <c r="D1713" t="n">
        <v>40</v>
      </c>
      <c r="E1713" t="s">
        <v>1721</v>
      </c>
      <c r="F1713" t="s"/>
      <c r="G1713" t="s"/>
      <c r="H1713" t="s"/>
      <c r="I1713" t="s"/>
      <c r="J1713" t="n">
        <v>0</v>
      </c>
      <c r="K1713" t="n">
        <v>0</v>
      </c>
      <c r="L1713" t="n">
        <v>1</v>
      </c>
      <c r="M1713" t="n">
        <v>0</v>
      </c>
    </row>
    <row r="1714" spans="1:13">
      <c r="A1714" s="1">
        <f>HYPERLINK("http://www.twitter.com/NathanBLawrence/status/999404079033004033", "999404079033004033")</f>
        <v/>
      </c>
      <c r="B1714" s="2" t="n">
        <v>43243.90133101852</v>
      </c>
      <c r="C1714" t="n">
        <v>0</v>
      </c>
      <c r="D1714" t="n">
        <v>1993</v>
      </c>
      <c r="E1714" t="s">
        <v>1722</v>
      </c>
      <c r="F1714" t="s"/>
      <c r="G1714" t="s"/>
      <c r="H1714" t="s"/>
      <c r="I1714" t="s"/>
      <c r="J1714" t="n">
        <v>-0.296</v>
      </c>
      <c r="K1714" t="n">
        <v>0.109</v>
      </c>
      <c r="L1714" t="n">
        <v>0.891</v>
      </c>
      <c r="M1714" t="n">
        <v>0</v>
      </c>
    </row>
    <row r="1715" spans="1:13">
      <c r="A1715" s="1">
        <f>HYPERLINK("http://www.twitter.com/NathanBLawrence/status/999403972455694336", "999403972455694336")</f>
        <v/>
      </c>
      <c r="B1715" s="2" t="n">
        <v>43243.90103009259</v>
      </c>
      <c r="C1715" t="n">
        <v>0</v>
      </c>
      <c r="D1715" t="n">
        <v>40</v>
      </c>
      <c r="E1715" t="s">
        <v>1723</v>
      </c>
      <c r="F1715" t="s"/>
      <c r="G1715" t="s"/>
      <c r="H1715" t="s"/>
      <c r="I1715" t="s"/>
      <c r="J1715" t="n">
        <v>0.4404</v>
      </c>
      <c r="K1715" t="n">
        <v>0</v>
      </c>
      <c r="L1715" t="n">
        <v>0.873</v>
      </c>
      <c r="M1715" t="n">
        <v>0.127</v>
      </c>
    </row>
    <row r="1716" spans="1:13">
      <c r="A1716" s="1">
        <f>HYPERLINK("http://www.twitter.com/NathanBLawrence/status/999403849126465537", "999403849126465537")</f>
        <v/>
      </c>
      <c r="B1716" s="2" t="n">
        <v>43243.90069444444</v>
      </c>
      <c r="C1716" t="n">
        <v>0</v>
      </c>
      <c r="D1716" t="n">
        <v>100</v>
      </c>
      <c r="E1716" t="s">
        <v>1724</v>
      </c>
      <c r="F1716" t="s"/>
      <c r="G1716" t="s"/>
      <c r="H1716" t="s"/>
      <c r="I1716" t="s"/>
      <c r="J1716" t="n">
        <v>0.5473</v>
      </c>
      <c r="K1716" t="n">
        <v>0</v>
      </c>
      <c r="L1716" t="n">
        <v>0.872</v>
      </c>
      <c r="M1716" t="n">
        <v>0.128</v>
      </c>
    </row>
    <row r="1717" spans="1:13">
      <c r="A1717" s="1">
        <f>HYPERLINK("http://www.twitter.com/NathanBLawrence/status/999403733011304448", "999403733011304448")</f>
        <v/>
      </c>
      <c r="B1717" s="2" t="n">
        <v>43243.90037037037</v>
      </c>
      <c r="C1717" t="n">
        <v>0</v>
      </c>
      <c r="D1717" t="n">
        <v>14</v>
      </c>
      <c r="E1717" t="s">
        <v>1725</v>
      </c>
      <c r="F1717">
        <f>HYPERLINK("http://pbs.twimg.com/media/Dd6JPsQUQAAVuis.jpg", "http://pbs.twimg.com/media/Dd6JPsQUQAAVuis.jpg")</f>
        <v/>
      </c>
      <c r="G1717">
        <f>HYPERLINK("http://pbs.twimg.com/media/Dd6JPsQUwAArB6D.jpg", "http://pbs.twimg.com/media/Dd6JPsQUwAArB6D.jpg")</f>
        <v/>
      </c>
      <c r="H1717">
        <f>HYPERLINK("http://pbs.twimg.com/media/Dd6JPsSV4AA3Emy.jpg", "http://pbs.twimg.com/media/Dd6JPsSV4AA3Emy.jpg")</f>
        <v/>
      </c>
      <c r="I1717">
        <f>HYPERLINK("http://pbs.twimg.com/media/Dd6JPsQU8AAtngw.jpg", "http://pbs.twimg.com/media/Dd6JPsQU8AAtngw.jpg")</f>
        <v/>
      </c>
      <c r="J1717" t="n">
        <v>0</v>
      </c>
      <c r="K1717" t="n">
        <v>0</v>
      </c>
      <c r="L1717" t="n">
        <v>1</v>
      </c>
      <c r="M1717" t="n">
        <v>0</v>
      </c>
    </row>
    <row r="1718" spans="1:13">
      <c r="A1718" s="1">
        <f>HYPERLINK("http://www.twitter.com/NathanBLawrence/status/999403686228119552", "999403686228119552")</f>
        <v/>
      </c>
      <c r="B1718" s="2" t="n">
        <v>43243.90024305556</v>
      </c>
      <c r="C1718" t="n">
        <v>0</v>
      </c>
      <c r="D1718" t="n">
        <v>48</v>
      </c>
      <c r="E1718" t="s">
        <v>1726</v>
      </c>
      <c r="F1718" t="s"/>
      <c r="G1718" t="s"/>
      <c r="H1718" t="s"/>
      <c r="I1718" t="s"/>
      <c r="J1718" t="n">
        <v>0</v>
      </c>
      <c r="K1718" t="n">
        <v>0</v>
      </c>
      <c r="L1718" t="n">
        <v>1</v>
      </c>
      <c r="M1718" t="n">
        <v>0</v>
      </c>
    </row>
    <row r="1719" spans="1:13">
      <c r="A1719" s="1">
        <f>HYPERLINK("http://www.twitter.com/NathanBLawrence/status/999403616539693056", "999403616539693056")</f>
        <v/>
      </c>
      <c r="B1719" s="2" t="n">
        <v>43243.90004629629</v>
      </c>
      <c r="C1719" t="n">
        <v>0</v>
      </c>
      <c r="D1719" t="n">
        <v>683</v>
      </c>
      <c r="E1719" t="s">
        <v>1727</v>
      </c>
      <c r="F1719" t="s"/>
      <c r="G1719" t="s"/>
      <c r="H1719" t="s"/>
      <c r="I1719" t="s"/>
      <c r="J1719" t="n">
        <v>-0.3182</v>
      </c>
      <c r="K1719" t="n">
        <v>0.119</v>
      </c>
      <c r="L1719" t="n">
        <v>0.881</v>
      </c>
      <c r="M1719" t="n">
        <v>0</v>
      </c>
    </row>
    <row r="1720" spans="1:13">
      <c r="A1720" s="1">
        <f>HYPERLINK("http://www.twitter.com/NathanBLawrence/status/999403541071572992", "999403541071572992")</f>
        <v/>
      </c>
      <c r="B1720" s="2" t="n">
        <v>43243.89983796296</v>
      </c>
      <c r="C1720" t="n">
        <v>0</v>
      </c>
      <c r="D1720" t="n">
        <v>12</v>
      </c>
      <c r="E1720" t="s">
        <v>1728</v>
      </c>
      <c r="F1720" t="s"/>
      <c r="G1720" t="s"/>
      <c r="H1720" t="s"/>
      <c r="I1720" t="s"/>
      <c r="J1720" t="n">
        <v>-0.0516</v>
      </c>
      <c r="K1720" t="n">
        <v>0.119</v>
      </c>
      <c r="L1720" t="n">
        <v>0.769</v>
      </c>
      <c r="M1720" t="n">
        <v>0.112</v>
      </c>
    </row>
    <row r="1721" spans="1:13">
      <c r="A1721" s="1">
        <f>HYPERLINK("http://www.twitter.com/NathanBLawrence/status/999403489624281088", "999403489624281088")</f>
        <v/>
      </c>
      <c r="B1721" s="2" t="n">
        <v>43243.89969907407</v>
      </c>
      <c r="C1721" t="n">
        <v>0</v>
      </c>
      <c r="D1721" t="n">
        <v>173</v>
      </c>
      <c r="E1721" t="s">
        <v>1729</v>
      </c>
      <c r="F1721" t="s"/>
      <c r="G1721" t="s"/>
      <c r="H1721" t="s"/>
      <c r="I1721" t="s"/>
      <c r="J1721" t="n">
        <v>0.4019</v>
      </c>
      <c r="K1721" t="n">
        <v>0</v>
      </c>
      <c r="L1721" t="n">
        <v>0.895</v>
      </c>
      <c r="M1721" t="n">
        <v>0.105</v>
      </c>
    </row>
    <row r="1722" spans="1:13">
      <c r="A1722" s="1">
        <f>HYPERLINK("http://www.twitter.com/NathanBLawrence/status/999403449484750850", "999403449484750850")</f>
        <v/>
      </c>
      <c r="B1722" s="2" t="n">
        <v>43243.89959490741</v>
      </c>
      <c r="C1722" t="n">
        <v>2</v>
      </c>
      <c r="D1722" t="n">
        <v>0</v>
      </c>
      <c r="E1722" t="s">
        <v>1730</v>
      </c>
      <c r="F1722" t="s"/>
      <c r="G1722" t="s"/>
      <c r="H1722" t="s"/>
      <c r="I1722" t="s"/>
      <c r="J1722" t="n">
        <v>-0.5487</v>
      </c>
      <c r="K1722" t="n">
        <v>0.133</v>
      </c>
      <c r="L1722" t="n">
        <v>0.867</v>
      </c>
      <c r="M1722" t="n">
        <v>0</v>
      </c>
    </row>
    <row r="1723" spans="1:13">
      <c r="A1723" s="1">
        <f>HYPERLINK("http://www.twitter.com/NathanBLawrence/status/999403101848264705", "999403101848264705")</f>
        <v/>
      </c>
      <c r="B1723" s="2" t="n">
        <v>43243.89863425926</v>
      </c>
      <c r="C1723" t="n">
        <v>0</v>
      </c>
      <c r="D1723" t="n">
        <v>2</v>
      </c>
      <c r="E1723" t="s">
        <v>1731</v>
      </c>
      <c r="F1723" t="s"/>
      <c r="G1723" t="s"/>
      <c r="H1723" t="s"/>
      <c r="I1723" t="s"/>
      <c r="J1723" t="n">
        <v>0</v>
      </c>
      <c r="K1723" t="n">
        <v>0</v>
      </c>
      <c r="L1723" t="n">
        <v>1</v>
      </c>
      <c r="M1723" t="n">
        <v>0</v>
      </c>
    </row>
    <row r="1724" spans="1:13">
      <c r="A1724" s="1">
        <f>HYPERLINK("http://www.twitter.com/NathanBLawrence/status/999403017324646403", "999403017324646403")</f>
        <v/>
      </c>
      <c r="B1724" s="2" t="n">
        <v>43243.8983912037</v>
      </c>
      <c r="C1724" t="n">
        <v>0</v>
      </c>
      <c r="D1724" t="n">
        <v>75</v>
      </c>
      <c r="E1724" t="s">
        <v>1732</v>
      </c>
      <c r="F1724">
        <f>HYPERLINK("http://pbs.twimg.com/media/Dd51lW7VQAAXf8G.jpg", "http://pbs.twimg.com/media/Dd51lW7VQAAXf8G.jpg")</f>
        <v/>
      </c>
      <c r="G1724" t="s"/>
      <c r="H1724" t="s"/>
      <c r="I1724" t="s"/>
      <c r="J1724" t="n">
        <v>0.4927</v>
      </c>
      <c r="K1724" t="n">
        <v>0</v>
      </c>
      <c r="L1724" t="n">
        <v>0.738</v>
      </c>
      <c r="M1724" t="n">
        <v>0.262</v>
      </c>
    </row>
    <row r="1725" spans="1:13">
      <c r="A1725" s="1">
        <f>HYPERLINK("http://www.twitter.com/NathanBLawrence/status/999402229433069574", "999402229433069574")</f>
        <v/>
      </c>
      <c r="B1725" s="2" t="n">
        <v>43243.89622685185</v>
      </c>
      <c r="C1725" t="n">
        <v>0</v>
      </c>
      <c r="D1725" t="n">
        <v>321</v>
      </c>
      <c r="E1725" t="s">
        <v>1733</v>
      </c>
      <c r="F1725" t="s"/>
      <c r="G1725" t="s"/>
      <c r="H1725" t="s"/>
      <c r="I1725" t="s"/>
      <c r="J1725" t="n">
        <v>-0.9365</v>
      </c>
      <c r="K1725" t="n">
        <v>0.411</v>
      </c>
      <c r="L1725" t="n">
        <v>0.589</v>
      </c>
      <c r="M1725" t="n">
        <v>0</v>
      </c>
    </row>
    <row r="1726" spans="1:13">
      <c r="A1726" s="1">
        <f>HYPERLINK("http://www.twitter.com/NathanBLawrence/status/999402211418439680", "999402211418439680")</f>
        <v/>
      </c>
      <c r="B1726" s="2" t="n">
        <v>43243.89616898148</v>
      </c>
      <c r="C1726" t="n">
        <v>0</v>
      </c>
      <c r="D1726" t="n">
        <v>1</v>
      </c>
      <c r="E1726" t="s">
        <v>1734</v>
      </c>
      <c r="F1726" t="s"/>
      <c r="G1726" t="s"/>
      <c r="H1726" t="s"/>
      <c r="I1726" t="s"/>
      <c r="J1726" t="n">
        <v>-0.5266999999999999</v>
      </c>
      <c r="K1726" t="n">
        <v>0.129</v>
      </c>
      <c r="L1726" t="n">
        <v>0.871</v>
      </c>
      <c r="M1726" t="n">
        <v>0</v>
      </c>
    </row>
    <row r="1727" spans="1:13">
      <c r="A1727" s="1">
        <f>HYPERLINK("http://www.twitter.com/NathanBLawrence/status/999402180456132609", "999402180456132609")</f>
        <v/>
      </c>
      <c r="B1727" s="2" t="n">
        <v>43243.89608796296</v>
      </c>
      <c r="C1727" t="n">
        <v>0</v>
      </c>
      <c r="D1727" t="n">
        <v>638</v>
      </c>
      <c r="E1727" t="s">
        <v>1735</v>
      </c>
      <c r="F1727" t="s"/>
      <c r="G1727" t="s"/>
      <c r="H1727" t="s"/>
      <c r="I1727" t="s"/>
      <c r="J1727" t="n">
        <v>-0.0289</v>
      </c>
      <c r="K1727" t="n">
        <v>0.109</v>
      </c>
      <c r="L1727" t="n">
        <v>0.743</v>
      </c>
      <c r="M1727" t="n">
        <v>0.148</v>
      </c>
    </row>
    <row r="1728" spans="1:13">
      <c r="A1728" s="1">
        <f>HYPERLINK("http://www.twitter.com/NathanBLawrence/status/999402108695859200", "999402108695859200")</f>
        <v/>
      </c>
      <c r="B1728" s="2" t="n">
        <v>43243.89589120371</v>
      </c>
      <c r="C1728" t="n">
        <v>0</v>
      </c>
      <c r="D1728" t="n">
        <v>492</v>
      </c>
      <c r="E1728" t="s">
        <v>1736</v>
      </c>
      <c r="F1728" t="s"/>
      <c r="G1728" t="s"/>
      <c r="H1728" t="s"/>
      <c r="I1728" t="s"/>
      <c r="J1728" t="n">
        <v>-0.7481</v>
      </c>
      <c r="K1728" t="n">
        <v>0.244</v>
      </c>
      <c r="L1728" t="n">
        <v>0.6870000000000001</v>
      </c>
      <c r="M1728" t="n">
        <v>0.06900000000000001</v>
      </c>
    </row>
    <row r="1729" spans="1:13">
      <c r="A1729" s="1">
        <f>HYPERLINK("http://www.twitter.com/NathanBLawrence/status/999402074554105856", "999402074554105856")</f>
        <v/>
      </c>
      <c r="B1729" s="2" t="n">
        <v>43243.89579861111</v>
      </c>
      <c r="C1729" t="n">
        <v>0</v>
      </c>
      <c r="D1729" t="n">
        <v>834</v>
      </c>
      <c r="E1729" t="s">
        <v>1737</v>
      </c>
      <c r="F1729" t="s"/>
      <c r="G1729" t="s"/>
      <c r="H1729" t="s"/>
      <c r="I1729" t="s"/>
      <c r="J1729" t="n">
        <v>0</v>
      </c>
      <c r="K1729" t="n">
        <v>0</v>
      </c>
      <c r="L1729" t="n">
        <v>1</v>
      </c>
      <c r="M1729" t="n">
        <v>0</v>
      </c>
    </row>
    <row r="1730" spans="1:13">
      <c r="A1730" s="1">
        <f>HYPERLINK("http://www.twitter.com/NathanBLawrence/status/999402056963248129", "999402056963248129")</f>
        <v/>
      </c>
      <c r="B1730" s="2" t="n">
        <v>43243.89575231481</v>
      </c>
      <c r="C1730" t="n">
        <v>0</v>
      </c>
      <c r="D1730" t="n">
        <v>667</v>
      </c>
      <c r="E1730" t="s">
        <v>1738</v>
      </c>
      <c r="F1730" t="s"/>
      <c r="G1730" t="s"/>
      <c r="H1730" t="s"/>
      <c r="I1730" t="s"/>
      <c r="J1730" t="n">
        <v>0.1197</v>
      </c>
      <c r="K1730" t="n">
        <v>0.128</v>
      </c>
      <c r="L1730" t="n">
        <v>0.765</v>
      </c>
      <c r="M1730" t="n">
        <v>0.107</v>
      </c>
    </row>
    <row r="1731" spans="1:13">
      <c r="A1731" s="1">
        <f>HYPERLINK("http://www.twitter.com/NathanBLawrence/status/999402039359758336", "999402039359758336")</f>
        <v/>
      </c>
      <c r="B1731" s="2" t="n">
        <v>43243.89569444444</v>
      </c>
      <c r="C1731" t="n">
        <v>0</v>
      </c>
      <c r="D1731" t="n">
        <v>454</v>
      </c>
      <c r="E1731" t="s">
        <v>1739</v>
      </c>
      <c r="F1731" t="s"/>
      <c r="G1731" t="s"/>
      <c r="H1731" t="s"/>
      <c r="I1731" t="s"/>
      <c r="J1731" t="n">
        <v>0</v>
      </c>
      <c r="K1731" t="n">
        <v>0</v>
      </c>
      <c r="L1731" t="n">
        <v>1</v>
      </c>
      <c r="M1731" t="n">
        <v>0</v>
      </c>
    </row>
    <row r="1732" spans="1:13">
      <c r="A1732" s="1">
        <f>HYPERLINK("http://www.twitter.com/NathanBLawrence/status/999401843687149569", "999401843687149569")</f>
        <v/>
      </c>
      <c r="B1732" s="2" t="n">
        <v>43243.89516203704</v>
      </c>
      <c r="C1732" t="n">
        <v>0</v>
      </c>
      <c r="D1732" t="n">
        <v>890</v>
      </c>
      <c r="E1732" t="s">
        <v>1740</v>
      </c>
      <c r="F1732" t="s"/>
      <c r="G1732" t="s"/>
      <c r="H1732" t="s"/>
      <c r="I1732" t="s"/>
      <c r="J1732" t="n">
        <v>0.6007</v>
      </c>
      <c r="K1732" t="n">
        <v>0</v>
      </c>
      <c r="L1732" t="n">
        <v>0.8100000000000001</v>
      </c>
      <c r="M1732" t="n">
        <v>0.19</v>
      </c>
    </row>
    <row r="1733" spans="1:13">
      <c r="A1733" s="1">
        <f>HYPERLINK("http://www.twitter.com/NathanBLawrence/status/999401745200631810", "999401745200631810")</f>
        <v/>
      </c>
      <c r="B1733" s="2" t="n">
        <v>43243.89488425926</v>
      </c>
      <c r="C1733" t="n">
        <v>0</v>
      </c>
      <c r="D1733" t="n">
        <v>694</v>
      </c>
      <c r="E1733" t="s">
        <v>1741</v>
      </c>
      <c r="F1733" t="s"/>
      <c r="G1733" t="s"/>
      <c r="H1733" t="s"/>
      <c r="I1733" t="s"/>
      <c r="J1733" t="n">
        <v>0</v>
      </c>
      <c r="K1733" t="n">
        <v>0</v>
      </c>
      <c r="L1733" t="n">
        <v>1</v>
      </c>
      <c r="M1733" t="n">
        <v>0</v>
      </c>
    </row>
    <row r="1734" spans="1:13">
      <c r="A1734" s="1">
        <f>HYPERLINK("http://www.twitter.com/NathanBLawrence/status/999401718491250689", "999401718491250689")</f>
        <v/>
      </c>
      <c r="B1734" s="2" t="n">
        <v>43243.89481481481</v>
      </c>
      <c r="C1734" t="n">
        <v>0</v>
      </c>
      <c r="D1734" t="n">
        <v>887</v>
      </c>
      <c r="E1734" t="s">
        <v>1742</v>
      </c>
      <c r="F1734" t="s"/>
      <c r="G1734" t="s"/>
      <c r="H1734" t="s"/>
      <c r="I1734" t="s"/>
      <c r="J1734" t="n">
        <v>-0.5994</v>
      </c>
      <c r="K1734" t="n">
        <v>0.197</v>
      </c>
      <c r="L1734" t="n">
        <v>0.803</v>
      </c>
      <c r="M1734" t="n">
        <v>0</v>
      </c>
    </row>
    <row r="1735" spans="1:13">
      <c r="A1735" s="1">
        <f>HYPERLINK("http://www.twitter.com/NathanBLawrence/status/999401690456616961", "999401690456616961")</f>
        <v/>
      </c>
      <c r="B1735" s="2" t="n">
        <v>43243.8947337963</v>
      </c>
      <c r="C1735" t="n">
        <v>0</v>
      </c>
      <c r="D1735" t="n">
        <v>756</v>
      </c>
      <c r="E1735" t="s">
        <v>1743</v>
      </c>
      <c r="F1735" t="s"/>
      <c r="G1735" t="s"/>
      <c r="H1735" t="s"/>
      <c r="I1735" t="s"/>
      <c r="J1735" t="n">
        <v>0</v>
      </c>
      <c r="K1735" t="n">
        <v>0</v>
      </c>
      <c r="L1735" t="n">
        <v>1</v>
      </c>
      <c r="M1735" t="n">
        <v>0</v>
      </c>
    </row>
    <row r="1736" spans="1:13">
      <c r="A1736" s="1">
        <f>HYPERLINK("http://www.twitter.com/NathanBLawrence/status/999401667580841990", "999401667580841990")</f>
        <v/>
      </c>
      <c r="B1736" s="2" t="n">
        <v>43243.89467592593</v>
      </c>
      <c r="C1736" t="n">
        <v>0</v>
      </c>
      <c r="D1736" t="n">
        <v>1044</v>
      </c>
      <c r="E1736" t="s">
        <v>1744</v>
      </c>
      <c r="F1736" t="s"/>
      <c r="G1736" t="s"/>
      <c r="H1736" t="s"/>
      <c r="I1736" t="s"/>
      <c r="J1736" t="n">
        <v>0</v>
      </c>
      <c r="K1736" t="n">
        <v>0</v>
      </c>
      <c r="L1736" t="n">
        <v>1</v>
      </c>
      <c r="M1736" t="n">
        <v>0</v>
      </c>
    </row>
    <row r="1737" spans="1:13">
      <c r="A1737" s="1">
        <f>HYPERLINK("http://www.twitter.com/NathanBLawrence/status/999401620302630913", "999401620302630913")</f>
        <v/>
      </c>
      <c r="B1737" s="2" t="n">
        <v>43243.89453703703</v>
      </c>
      <c r="C1737" t="n">
        <v>0</v>
      </c>
      <c r="D1737" t="n">
        <v>422</v>
      </c>
      <c r="E1737" t="s">
        <v>1745</v>
      </c>
      <c r="F1737" t="s"/>
      <c r="G1737" t="s"/>
      <c r="H1737" t="s"/>
      <c r="I1737" t="s"/>
      <c r="J1737" t="n">
        <v>0.1406</v>
      </c>
      <c r="K1737" t="n">
        <v>0.065</v>
      </c>
      <c r="L1737" t="n">
        <v>0.848</v>
      </c>
      <c r="M1737" t="n">
        <v>0.08699999999999999</v>
      </c>
    </row>
    <row r="1738" spans="1:13">
      <c r="A1738" s="1">
        <f>HYPERLINK("http://www.twitter.com/NathanBLawrence/status/999401588887343109", "999401588887343109")</f>
        <v/>
      </c>
      <c r="B1738" s="2" t="n">
        <v>43243.89445601852</v>
      </c>
      <c r="C1738" t="n">
        <v>0</v>
      </c>
      <c r="D1738" t="n">
        <v>897</v>
      </c>
      <c r="E1738" t="s">
        <v>1746</v>
      </c>
      <c r="F1738" t="s"/>
      <c r="G1738" t="s"/>
      <c r="H1738" t="s"/>
      <c r="I1738" t="s"/>
      <c r="J1738" t="n">
        <v>-0.2263</v>
      </c>
      <c r="K1738" t="n">
        <v>0.091</v>
      </c>
      <c r="L1738" t="n">
        <v>0.909</v>
      </c>
      <c r="M1738" t="n">
        <v>0</v>
      </c>
    </row>
    <row r="1739" spans="1:13">
      <c r="A1739" s="1">
        <f>HYPERLINK("http://www.twitter.com/NathanBLawrence/status/999401557648183302", "999401557648183302")</f>
        <v/>
      </c>
      <c r="B1739" s="2" t="n">
        <v>43243.89436342593</v>
      </c>
      <c r="C1739" t="n">
        <v>0</v>
      </c>
      <c r="D1739" t="n">
        <v>458</v>
      </c>
      <c r="E1739" t="s">
        <v>1747</v>
      </c>
      <c r="F1739" t="s"/>
      <c r="G1739" t="s"/>
      <c r="H1739" t="s"/>
      <c r="I1739" t="s"/>
      <c r="J1739" t="n">
        <v>0.5216</v>
      </c>
      <c r="K1739" t="n">
        <v>0</v>
      </c>
      <c r="L1739" t="n">
        <v>0.881</v>
      </c>
      <c r="M1739" t="n">
        <v>0.119</v>
      </c>
    </row>
    <row r="1740" spans="1:13">
      <c r="A1740" s="1">
        <f>HYPERLINK("http://www.twitter.com/NathanBLawrence/status/999401529160425472", "999401529160425472")</f>
        <v/>
      </c>
      <c r="B1740" s="2" t="n">
        <v>43243.89429398148</v>
      </c>
      <c r="C1740" t="n">
        <v>0</v>
      </c>
      <c r="D1740" t="n">
        <v>717</v>
      </c>
      <c r="E1740" t="s">
        <v>1748</v>
      </c>
      <c r="F1740" t="s"/>
      <c r="G1740" t="s"/>
      <c r="H1740" t="s"/>
      <c r="I1740" t="s"/>
      <c r="J1740" t="n">
        <v>0</v>
      </c>
      <c r="K1740" t="n">
        <v>0</v>
      </c>
      <c r="L1740" t="n">
        <v>1</v>
      </c>
      <c r="M1740" t="n">
        <v>0</v>
      </c>
    </row>
    <row r="1741" spans="1:13">
      <c r="A1741" s="1">
        <f>HYPERLINK("http://www.twitter.com/NathanBLawrence/status/999401487070629888", "999401487070629888")</f>
        <v/>
      </c>
      <c r="B1741" s="2" t="n">
        <v>43243.89417824074</v>
      </c>
      <c r="C1741" t="n">
        <v>0</v>
      </c>
      <c r="D1741" t="n">
        <v>1003</v>
      </c>
      <c r="E1741" t="s">
        <v>1749</v>
      </c>
      <c r="F1741" t="s"/>
      <c r="G1741" t="s"/>
      <c r="H1741" t="s"/>
      <c r="I1741" t="s"/>
      <c r="J1741" t="n">
        <v>-0.7804</v>
      </c>
      <c r="K1741" t="n">
        <v>0.303</v>
      </c>
      <c r="L1741" t="n">
        <v>0.697</v>
      </c>
      <c r="M1741" t="n">
        <v>0</v>
      </c>
    </row>
    <row r="1742" spans="1:13">
      <c r="A1742" s="1">
        <f>HYPERLINK("http://www.twitter.com/NathanBLawrence/status/999401331369660416", "999401331369660416")</f>
        <v/>
      </c>
      <c r="B1742" s="2" t="n">
        <v>43243.89375</v>
      </c>
      <c r="C1742" t="n">
        <v>0</v>
      </c>
      <c r="D1742" t="n">
        <v>396</v>
      </c>
      <c r="E1742" t="s">
        <v>1750</v>
      </c>
      <c r="F1742">
        <f>HYPERLINK("http://pbs.twimg.com/media/Dd5TSG6VwAA7-aG.jpg", "http://pbs.twimg.com/media/Dd5TSG6VwAA7-aG.jpg")</f>
        <v/>
      </c>
      <c r="G1742" t="s"/>
      <c r="H1742" t="s"/>
      <c r="I1742" t="s"/>
      <c r="J1742" t="n">
        <v>0</v>
      </c>
      <c r="K1742" t="n">
        <v>0</v>
      </c>
      <c r="L1742" t="n">
        <v>1</v>
      </c>
      <c r="M1742" t="n">
        <v>0</v>
      </c>
    </row>
    <row r="1743" spans="1:13">
      <c r="A1743" s="1">
        <f>HYPERLINK("http://www.twitter.com/NathanBLawrence/status/999399388177993728", "999399388177993728")</f>
        <v/>
      </c>
      <c r="B1743" s="2" t="n">
        <v>43243.88837962963</v>
      </c>
      <c r="C1743" t="n">
        <v>0</v>
      </c>
      <c r="D1743" t="n">
        <v>191</v>
      </c>
      <c r="E1743" t="s">
        <v>1751</v>
      </c>
      <c r="F1743" t="s"/>
      <c r="G1743" t="s"/>
      <c r="H1743" t="s"/>
      <c r="I1743" t="s"/>
      <c r="J1743" t="n">
        <v>0</v>
      </c>
      <c r="K1743" t="n">
        <v>0</v>
      </c>
      <c r="L1743" t="n">
        <v>1</v>
      </c>
      <c r="M1743" t="n">
        <v>0</v>
      </c>
    </row>
    <row r="1744" spans="1:13">
      <c r="A1744" s="1">
        <f>HYPERLINK("http://www.twitter.com/NathanBLawrence/status/999399312588201985", "999399312588201985")</f>
        <v/>
      </c>
      <c r="B1744" s="2" t="n">
        <v>43243.8881712963</v>
      </c>
      <c r="C1744" t="n">
        <v>0</v>
      </c>
      <c r="D1744" t="n">
        <v>125</v>
      </c>
      <c r="E1744" t="s">
        <v>1752</v>
      </c>
      <c r="F1744" t="s"/>
      <c r="G1744" t="s"/>
      <c r="H1744" t="s"/>
      <c r="I1744" t="s"/>
      <c r="J1744" t="n">
        <v>0.6705</v>
      </c>
      <c r="K1744" t="n">
        <v>0</v>
      </c>
      <c r="L1744" t="n">
        <v>0.776</v>
      </c>
      <c r="M1744" t="n">
        <v>0.224</v>
      </c>
    </row>
    <row r="1745" spans="1:13">
      <c r="A1745" s="1">
        <f>HYPERLINK("http://www.twitter.com/NathanBLawrence/status/999399277024727041", "999399277024727041")</f>
        <v/>
      </c>
      <c r="B1745" s="2" t="n">
        <v>43243.88807870371</v>
      </c>
      <c r="C1745" t="n">
        <v>0</v>
      </c>
      <c r="D1745" t="n">
        <v>100</v>
      </c>
      <c r="E1745" t="s">
        <v>1753</v>
      </c>
      <c r="F1745" t="s"/>
      <c r="G1745" t="s"/>
      <c r="H1745" t="s"/>
      <c r="I1745" t="s"/>
      <c r="J1745" t="n">
        <v>0</v>
      </c>
      <c r="K1745" t="n">
        <v>0</v>
      </c>
      <c r="L1745" t="n">
        <v>1</v>
      </c>
      <c r="M1745" t="n">
        <v>0</v>
      </c>
    </row>
    <row r="1746" spans="1:13">
      <c r="A1746" s="1">
        <f>HYPERLINK("http://www.twitter.com/NathanBLawrence/status/999399235828281350", "999399235828281350")</f>
        <v/>
      </c>
      <c r="B1746" s="2" t="n">
        <v>43243.88796296297</v>
      </c>
      <c r="C1746" t="n">
        <v>0</v>
      </c>
      <c r="D1746" t="n">
        <v>250</v>
      </c>
      <c r="E1746" t="s">
        <v>1754</v>
      </c>
      <c r="F1746" t="s"/>
      <c r="G1746" t="s"/>
      <c r="H1746" t="s"/>
      <c r="I1746" t="s"/>
      <c r="J1746" t="n">
        <v>0.2732</v>
      </c>
      <c r="K1746" t="n">
        <v>0</v>
      </c>
      <c r="L1746" t="n">
        <v>0.909</v>
      </c>
      <c r="M1746" t="n">
        <v>0.091</v>
      </c>
    </row>
    <row r="1747" spans="1:13">
      <c r="A1747" s="1">
        <f>HYPERLINK("http://www.twitter.com/NathanBLawrence/status/999399211077701632", "999399211077701632")</f>
        <v/>
      </c>
      <c r="B1747" s="2" t="n">
        <v>43243.88789351852</v>
      </c>
      <c r="C1747" t="n">
        <v>0</v>
      </c>
      <c r="D1747" t="n">
        <v>61</v>
      </c>
      <c r="E1747" t="s">
        <v>1755</v>
      </c>
      <c r="F1747" t="s"/>
      <c r="G1747" t="s"/>
      <c r="H1747" t="s"/>
      <c r="I1747" t="s"/>
      <c r="J1747" t="n">
        <v>0</v>
      </c>
      <c r="K1747" t="n">
        <v>0</v>
      </c>
      <c r="L1747" t="n">
        <v>1</v>
      </c>
      <c r="M1747" t="n">
        <v>0</v>
      </c>
    </row>
    <row r="1748" spans="1:13">
      <c r="A1748" s="1">
        <f>HYPERLINK("http://www.twitter.com/NathanBLawrence/status/999398546691493889", "999398546691493889")</f>
        <v/>
      </c>
      <c r="B1748" s="2" t="n">
        <v>43243.88606481482</v>
      </c>
      <c r="C1748" t="n">
        <v>0</v>
      </c>
      <c r="D1748" t="n">
        <v>84</v>
      </c>
      <c r="E1748" t="s">
        <v>1756</v>
      </c>
      <c r="F1748" t="s"/>
      <c r="G1748" t="s"/>
      <c r="H1748" t="s"/>
      <c r="I1748" t="s"/>
      <c r="J1748" t="n">
        <v>0.2103</v>
      </c>
      <c r="K1748" t="n">
        <v>0</v>
      </c>
      <c r="L1748" t="n">
        <v>0.9320000000000001</v>
      </c>
      <c r="M1748" t="n">
        <v>0.068</v>
      </c>
    </row>
    <row r="1749" spans="1:13">
      <c r="A1749" s="1">
        <f>HYPERLINK("http://www.twitter.com/NathanBLawrence/status/999398511304159232", "999398511304159232")</f>
        <v/>
      </c>
      <c r="B1749" s="2" t="n">
        <v>43243.88596064815</v>
      </c>
      <c r="C1749" t="n">
        <v>0</v>
      </c>
      <c r="D1749" t="n">
        <v>105</v>
      </c>
      <c r="E1749" t="s">
        <v>1757</v>
      </c>
      <c r="F1749" t="s"/>
      <c r="G1749" t="s"/>
      <c r="H1749" t="s"/>
      <c r="I1749" t="s"/>
      <c r="J1749" t="n">
        <v>0</v>
      </c>
      <c r="K1749" t="n">
        <v>0</v>
      </c>
      <c r="L1749" t="n">
        <v>1</v>
      </c>
      <c r="M1749" t="n">
        <v>0</v>
      </c>
    </row>
    <row r="1750" spans="1:13">
      <c r="A1750" s="1">
        <f>HYPERLINK("http://www.twitter.com/NathanBLawrence/status/999398387253415941", "999398387253415941")</f>
        <v/>
      </c>
      <c r="B1750" s="2" t="n">
        <v>43243.885625</v>
      </c>
      <c r="C1750" t="n">
        <v>0</v>
      </c>
      <c r="D1750" t="n">
        <v>735</v>
      </c>
      <c r="E1750" t="s">
        <v>1758</v>
      </c>
      <c r="F1750" t="s"/>
      <c r="G1750" t="s"/>
      <c r="H1750" t="s"/>
      <c r="I1750" t="s"/>
      <c r="J1750" t="n">
        <v>0</v>
      </c>
      <c r="K1750" t="n">
        <v>0</v>
      </c>
      <c r="L1750" t="n">
        <v>1</v>
      </c>
      <c r="M1750" t="n">
        <v>0</v>
      </c>
    </row>
    <row r="1751" spans="1:13">
      <c r="A1751" s="1">
        <f>HYPERLINK("http://www.twitter.com/NathanBLawrence/status/999398292105678856", "999398292105678856")</f>
        <v/>
      </c>
      <c r="B1751" s="2" t="n">
        <v>43243.88535879629</v>
      </c>
      <c r="C1751" t="n">
        <v>0</v>
      </c>
      <c r="D1751" t="n">
        <v>24</v>
      </c>
      <c r="E1751" t="s">
        <v>1759</v>
      </c>
      <c r="F1751" t="s"/>
      <c r="G1751" t="s"/>
      <c r="H1751" t="s"/>
      <c r="I1751" t="s"/>
      <c r="J1751" t="n">
        <v>-0.34</v>
      </c>
      <c r="K1751" t="n">
        <v>0.098</v>
      </c>
      <c r="L1751" t="n">
        <v>0.902</v>
      </c>
      <c r="M1751" t="n">
        <v>0</v>
      </c>
    </row>
    <row r="1752" spans="1:13">
      <c r="A1752" s="1">
        <f>HYPERLINK("http://www.twitter.com/NathanBLawrence/status/999398278201511936", "999398278201511936")</f>
        <v/>
      </c>
      <c r="B1752" s="2" t="n">
        <v>43243.88532407407</v>
      </c>
      <c r="C1752" t="n">
        <v>0</v>
      </c>
      <c r="D1752" t="n">
        <v>17</v>
      </c>
      <c r="E1752" t="s">
        <v>1760</v>
      </c>
      <c r="F1752" t="s"/>
      <c r="G1752" t="s"/>
      <c r="H1752" t="s"/>
      <c r="I1752" t="s"/>
      <c r="J1752" t="n">
        <v>-0.7351</v>
      </c>
      <c r="K1752" t="n">
        <v>0.255</v>
      </c>
      <c r="L1752" t="n">
        <v>0.745</v>
      </c>
      <c r="M1752" t="n">
        <v>0</v>
      </c>
    </row>
    <row r="1753" spans="1:13">
      <c r="A1753" s="1">
        <f>HYPERLINK("http://www.twitter.com/NathanBLawrence/status/999398208546668545", "999398208546668545")</f>
        <v/>
      </c>
      <c r="B1753" s="2" t="n">
        <v>43243.88512731482</v>
      </c>
      <c r="C1753" t="n">
        <v>0</v>
      </c>
      <c r="D1753" t="n">
        <v>22</v>
      </c>
      <c r="E1753" t="s">
        <v>1761</v>
      </c>
      <c r="F1753" t="s"/>
      <c r="G1753" t="s"/>
      <c r="H1753" t="s"/>
      <c r="I1753" t="s"/>
      <c r="J1753" t="n">
        <v>-0.5266999999999999</v>
      </c>
      <c r="K1753" t="n">
        <v>0.199</v>
      </c>
      <c r="L1753" t="n">
        <v>0.6850000000000001</v>
      </c>
      <c r="M1753" t="n">
        <v>0.116</v>
      </c>
    </row>
    <row r="1754" spans="1:13">
      <c r="A1754" s="1">
        <f>HYPERLINK("http://www.twitter.com/NathanBLawrence/status/999398160496840704", "999398160496840704")</f>
        <v/>
      </c>
      <c r="B1754" s="2" t="n">
        <v>43243.885</v>
      </c>
      <c r="C1754" t="n">
        <v>0</v>
      </c>
      <c r="D1754" t="n">
        <v>18</v>
      </c>
      <c r="E1754" t="s">
        <v>1762</v>
      </c>
      <c r="F1754" t="s"/>
      <c r="G1754" t="s"/>
      <c r="H1754" t="s"/>
      <c r="I1754" t="s"/>
      <c r="J1754" t="n">
        <v>0.4215</v>
      </c>
      <c r="K1754" t="n">
        <v>0</v>
      </c>
      <c r="L1754" t="n">
        <v>0.8169999999999999</v>
      </c>
      <c r="M1754" t="n">
        <v>0.183</v>
      </c>
    </row>
    <row r="1755" spans="1:13">
      <c r="A1755" s="1">
        <f>HYPERLINK("http://www.twitter.com/NathanBLawrence/status/999398109598879744", "999398109598879744")</f>
        <v/>
      </c>
      <c r="B1755" s="2" t="n">
        <v>43243.88484953704</v>
      </c>
      <c r="C1755" t="n">
        <v>0</v>
      </c>
      <c r="D1755" t="n">
        <v>20</v>
      </c>
      <c r="E1755" t="s">
        <v>1763</v>
      </c>
      <c r="F1755" t="s"/>
      <c r="G1755" t="s"/>
      <c r="H1755" t="s"/>
      <c r="I1755" t="s"/>
      <c r="J1755" t="n">
        <v>-0.296</v>
      </c>
      <c r="K1755" t="n">
        <v>0.132</v>
      </c>
      <c r="L1755" t="n">
        <v>0.777</v>
      </c>
      <c r="M1755" t="n">
        <v>0.091</v>
      </c>
    </row>
    <row r="1756" spans="1:13">
      <c r="A1756" s="1">
        <f>HYPERLINK("http://www.twitter.com/NathanBLawrence/status/999398024785874944", "999398024785874944")</f>
        <v/>
      </c>
      <c r="B1756" s="2" t="n">
        <v>43243.88461805556</v>
      </c>
      <c r="C1756" t="n">
        <v>0</v>
      </c>
      <c r="D1756" t="n">
        <v>17</v>
      </c>
      <c r="E1756" t="s">
        <v>1764</v>
      </c>
      <c r="F1756" t="s"/>
      <c r="G1756" t="s"/>
      <c r="H1756" t="s"/>
      <c r="I1756" t="s"/>
      <c r="J1756" t="n">
        <v>0</v>
      </c>
      <c r="K1756" t="n">
        <v>0</v>
      </c>
      <c r="L1756" t="n">
        <v>1</v>
      </c>
      <c r="M1756" t="n">
        <v>0</v>
      </c>
    </row>
    <row r="1757" spans="1:13">
      <c r="A1757" s="1">
        <f>HYPERLINK("http://www.twitter.com/NathanBLawrence/status/999397954954891264", "999397954954891264")</f>
        <v/>
      </c>
      <c r="B1757" s="2" t="n">
        <v>43243.88443287037</v>
      </c>
      <c r="C1757" t="n">
        <v>0</v>
      </c>
      <c r="D1757" t="n">
        <v>23</v>
      </c>
      <c r="E1757" t="s">
        <v>1765</v>
      </c>
      <c r="F1757" t="s"/>
      <c r="G1757" t="s"/>
      <c r="H1757" t="s"/>
      <c r="I1757" t="s"/>
      <c r="J1757" t="n">
        <v>0</v>
      </c>
      <c r="K1757" t="n">
        <v>0</v>
      </c>
      <c r="L1757" t="n">
        <v>1</v>
      </c>
      <c r="M1757" t="n">
        <v>0</v>
      </c>
    </row>
    <row r="1758" spans="1:13">
      <c r="A1758" s="1">
        <f>HYPERLINK("http://www.twitter.com/NathanBLawrence/status/999397878182432769", "999397878182432769")</f>
        <v/>
      </c>
      <c r="B1758" s="2" t="n">
        <v>43243.88421296296</v>
      </c>
      <c r="C1758" t="n">
        <v>0</v>
      </c>
      <c r="D1758" t="n">
        <v>27</v>
      </c>
      <c r="E1758" t="s">
        <v>1766</v>
      </c>
      <c r="F1758" t="s"/>
      <c r="G1758" t="s"/>
      <c r="H1758" t="s"/>
      <c r="I1758" t="s"/>
      <c r="J1758" t="n">
        <v>0.1082</v>
      </c>
      <c r="K1758" t="n">
        <v>0.08699999999999999</v>
      </c>
      <c r="L1758" t="n">
        <v>0.8100000000000001</v>
      </c>
      <c r="M1758" t="n">
        <v>0.102</v>
      </c>
    </row>
    <row r="1759" spans="1:13">
      <c r="A1759" s="1">
        <f>HYPERLINK("http://www.twitter.com/NathanBLawrence/status/999397819873185792", "999397819873185792")</f>
        <v/>
      </c>
      <c r="B1759" s="2" t="n">
        <v>43243.88405092592</v>
      </c>
      <c r="C1759" t="n">
        <v>0</v>
      </c>
      <c r="D1759" t="n">
        <v>30</v>
      </c>
      <c r="E1759" t="s">
        <v>1767</v>
      </c>
      <c r="F1759" t="s"/>
      <c r="G1759" t="s"/>
      <c r="H1759" t="s"/>
      <c r="I1759" t="s"/>
      <c r="J1759" t="n">
        <v>0.2617</v>
      </c>
      <c r="K1759" t="n">
        <v>0.104</v>
      </c>
      <c r="L1759" t="n">
        <v>0.748</v>
      </c>
      <c r="M1759" t="n">
        <v>0.148</v>
      </c>
    </row>
    <row r="1760" spans="1:13">
      <c r="A1760" s="1">
        <f>HYPERLINK("http://www.twitter.com/NathanBLawrence/status/999397746082795520", "999397746082795520")</f>
        <v/>
      </c>
      <c r="B1760" s="2" t="n">
        <v>43243.88385416667</v>
      </c>
      <c r="C1760" t="n">
        <v>0</v>
      </c>
      <c r="D1760" t="n">
        <v>26</v>
      </c>
      <c r="E1760" t="s">
        <v>1768</v>
      </c>
      <c r="F1760" t="s"/>
      <c r="G1760" t="s"/>
      <c r="H1760" t="s"/>
      <c r="I1760" t="s"/>
      <c r="J1760" t="n">
        <v>-0.7231</v>
      </c>
      <c r="K1760" t="n">
        <v>0.242</v>
      </c>
      <c r="L1760" t="n">
        <v>0.758</v>
      </c>
      <c r="M1760" t="n">
        <v>0</v>
      </c>
    </row>
    <row r="1761" spans="1:13">
      <c r="A1761" s="1">
        <f>HYPERLINK("http://www.twitter.com/NathanBLawrence/status/999397680689418242", "999397680689418242")</f>
        <v/>
      </c>
      <c r="B1761" s="2" t="n">
        <v>43243.88366898148</v>
      </c>
      <c r="C1761" t="n">
        <v>0</v>
      </c>
      <c r="D1761" t="n">
        <v>38</v>
      </c>
      <c r="E1761" t="s">
        <v>1769</v>
      </c>
      <c r="F1761" t="s"/>
      <c r="G1761" t="s"/>
      <c r="H1761" t="s"/>
      <c r="I1761" t="s"/>
      <c r="J1761" t="n">
        <v>-0.3384</v>
      </c>
      <c r="K1761" t="n">
        <v>0.112</v>
      </c>
      <c r="L1761" t="n">
        <v>0.888</v>
      </c>
      <c r="M1761" t="n">
        <v>0</v>
      </c>
    </row>
    <row r="1762" spans="1:13">
      <c r="A1762" s="1">
        <f>HYPERLINK("http://www.twitter.com/NathanBLawrence/status/999397659902464000", "999397659902464000")</f>
        <v/>
      </c>
      <c r="B1762" s="2" t="n">
        <v>43243.88361111111</v>
      </c>
      <c r="C1762" t="n">
        <v>0</v>
      </c>
      <c r="D1762" t="n">
        <v>26</v>
      </c>
      <c r="E1762" t="s">
        <v>1770</v>
      </c>
      <c r="F1762" t="s"/>
      <c r="G1762" t="s"/>
      <c r="H1762" t="s"/>
      <c r="I1762" t="s"/>
      <c r="J1762" t="n">
        <v>0.7413999999999999</v>
      </c>
      <c r="K1762" t="n">
        <v>0</v>
      </c>
      <c r="L1762" t="n">
        <v>0.717</v>
      </c>
      <c r="M1762" t="n">
        <v>0.283</v>
      </c>
    </row>
    <row r="1763" spans="1:13">
      <c r="A1763" s="1">
        <f>HYPERLINK("http://www.twitter.com/NathanBLawrence/status/999397603229011968", "999397603229011968")</f>
        <v/>
      </c>
      <c r="B1763" s="2" t="n">
        <v>43243.88346064815</v>
      </c>
      <c r="C1763" t="n">
        <v>0</v>
      </c>
      <c r="D1763" t="n">
        <v>46</v>
      </c>
      <c r="E1763" t="s">
        <v>1771</v>
      </c>
      <c r="F1763" t="s"/>
      <c r="G1763" t="s"/>
      <c r="H1763" t="s"/>
      <c r="I1763" t="s"/>
      <c r="J1763" t="n">
        <v>-0.2732</v>
      </c>
      <c r="K1763" t="n">
        <v>0.075</v>
      </c>
      <c r="L1763" t="n">
        <v>0.925</v>
      </c>
      <c r="M1763" t="n">
        <v>0</v>
      </c>
    </row>
    <row r="1764" spans="1:13">
      <c r="A1764" s="1">
        <f>HYPERLINK("http://www.twitter.com/NathanBLawrence/status/999397561499766784", "999397561499766784")</f>
        <v/>
      </c>
      <c r="B1764" s="2" t="n">
        <v>43243.88334490741</v>
      </c>
      <c r="C1764" t="n">
        <v>0</v>
      </c>
      <c r="D1764" t="n">
        <v>99</v>
      </c>
      <c r="E1764" t="s">
        <v>1772</v>
      </c>
      <c r="F1764" t="s"/>
      <c r="G1764" t="s"/>
      <c r="H1764" t="s"/>
      <c r="I1764" t="s"/>
      <c r="J1764" t="n">
        <v>0.2023</v>
      </c>
      <c r="K1764" t="n">
        <v>0.111</v>
      </c>
      <c r="L1764" t="n">
        <v>0.714</v>
      </c>
      <c r="M1764" t="n">
        <v>0.175</v>
      </c>
    </row>
    <row r="1765" spans="1:13">
      <c r="A1765" s="1">
        <f>HYPERLINK("http://www.twitter.com/NathanBLawrence/status/999397478293270529", "999397478293270529")</f>
        <v/>
      </c>
      <c r="B1765" s="2" t="n">
        <v>43243.88311342592</v>
      </c>
      <c r="C1765" t="n">
        <v>0</v>
      </c>
      <c r="D1765" t="n">
        <v>61</v>
      </c>
      <c r="E1765" t="s">
        <v>1773</v>
      </c>
      <c r="F1765" t="s"/>
      <c r="G1765" t="s"/>
      <c r="H1765" t="s"/>
      <c r="I1765" t="s"/>
      <c r="J1765" t="n">
        <v>0.347</v>
      </c>
      <c r="K1765" t="n">
        <v>0.182</v>
      </c>
      <c r="L1765" t="n">
        <v>0.539</v>
      </c>
      <c r="M1765" t="n">
        <v>0.279</v>
      </c>
    </row>
    <row r="1766" spans="1:13">
      <c r="A1766" s="1">
        <f>HYPERLINK("http://www.twitter.com/NathanBLawrence/status/999397447075094528", "999397447075094528")</f>
        <v/>
      </c>
      <c r="B1766" s="2" t="n">
        <v>43243.88302083333</v>
      </c>
      <c r="C1766" t="n">
        <v>0</v>
      </c>
      <c r="D1766" t="n">
        <v>36</v>
      </c>
      <c r="E1766" t="s">
        <v>1774</v>
      </c>
      <c r="F1766" t="s"/>
      <c r="G1766" t="s"/>
      <c r="H1766" t="s"/>
      <c r="I1766" t="s"/>
      <c r="J1766" t="n">
        <v>0.6289</v>
      </c>
      <c r="K1766" t="n">
        <v>0</v>
      </c>
      <c r="L1766" t="n">
        <v>0.421</v>
      </c>
      <c r="M1766" t="n">
        <v>0.579</v>
      </c>
    </row>
    <row r="1767" spans="1:13">
      <c r="A1767" s="1">
        <f>HYPERLINK("http://www.twitter.com/NathanBLawrence/status/999397408369979403", "999397408369979403")</f>
        <v/>
      </c>
      <c r="B1767" s="2" t="n">
        <v>43243.88291666667</v>
      </c>
      <c r="C1767" t="n">
        <v>0</v>
      </c>
      <c r="D1767" t="n">
        <v>846</v>
      </c>
      <c r="E1767" t="s">
        <v>1775</v>
      </c>
      <c r="F1767" t="s"/>
      <c r="G1767" t="s"/>
      <c r="H1767" t="s"/>
      <c r="I1767" t="s"/>
      <c r="J1767" t="n">
        <v>0.8932</v>
      </c>
      <c r="K1767" t="n">
        <v>0</v>
      </c>
      <c r="L1767" t="n">
        <v>0.359</v>
      </c>
      <c r="M1767" t="n">
        <v>0.641</v>
      </c>
    </row>
    <row r="1768" spans="1:13">
      <c r="A1768" s="1">
        <f>HYPERLINK("http://www.twitter.com/NathanBLawrence/status/999394665978789888", "999394665978789888")</f>
        <v/>
      </c>
      <c r="B1768" s="2" t="n">
        <v>43243.87534722222</v>
      </c>
      <c r="C1768" t="n">
        <v>0</v>
      </c>
      <c r="D1768" t="n">
        <v>83</v>
      </c>
      <c r="E1768" t="s">
        <v>1776</v>
      </c>
      <c r="F1768" t="s"/>
      <c r="G1768" t="s"/>
      <c r="H1768" t="s"/>
      <c r="I1768" t="s"/>
      <c r="J1768" t="n">
        <v>0.2107</v>
      </c>
      <c r="K1768" t="n">
        <v>0</v>
      </c>
      <c r="L1768" t="n">
        <v>0.916</v>
      </c>
      <c r="M1768" t="n">
        <v>0.08400000000000001</v>
      </c>
    </row>
    <row r="1769" spans="1:13">
      <c r="A1769" s="1">
        <f>HYPERLINK("http://www.twitter.com/NathanBLawrence/status/999394306166329345", "999394306166329345")</f>
        <v/>
      </c>
      <c r="B1769" s="2" t="n">
        <v>43243.87436342592</v>
      </c>
      <c r="C1769" t="n">
        <v>0</v>
      </c>
      <c r="D1769" t="n">
        <v>201</v>
      </c>
      <c r="E1769" t="s">
        <v>1777</v>
      </c>
      <c r="F1769" t="s"/>
      <c r="G1769" t="s"/>
      <c r="H1769" t="s"/>
      <c r="I1769" t="s"/>
      <c r="J1769" t="n">
        <v>0.5719</v>
      </c>
      <c r="K1769" t="n">
        <v>0</v>
      </c>
      <c r="L1769" t="n">
        <v>0.844</v>
      </c>
      <c r="M1769" t="n">
        <v>0.156</v>
      </c>
    </row>
    <row r="1770" spans="1:13">
      <c r="A1770" s="1">
        <f>HYPERLINK("http://www.twitter.com/NathanBLawrence/status/999394004646219776", "999394004646219776")</f>
        <v/>
      </c>
      <c r="B1770" s="2" t="n">
        <v>43243.87353009259</v>
      </c>
      <c r="C1770" t="n">
        <v>0</v>
      </c>
      <c r="D1770" t="n">
        <v>728</v>
      </c>
      <c r="E1770" t="s">
        <v>1778</v>
      </c>
      <c r="F1770" t="s"/>
      <c r="G1770" t="s"/>
      <c r="H1770" t="s"/>
      <c r="I1770" t="s"/>
      <c r="J1770" t="n">
        <v>0.296</v>
      </c>
      <c r="K1770" t="n">
        <v>0</v>
      </c>
      <c r="L1770" t="n">
        <v>0.891</v>
      </c>
      <c r="M1770" t="n">
        <v>0.109</v>
      </c>
    </row>
    <row r="1771" spans="1:13">
      <c r="A1771" s="1">
        <f>HYPERLINK("http://www.twitter.com/NathanBLawrence/status/999393689276428289", "999393689276428289")</f>
        <v/>
      </c>
      <c r="B1771" s="2" t="n">
        <v>43243.87266203704</v>
      </c>
      <c r="C1771" t="n">
        <v>0</v>
      </c>
      <c r="D1771" t="n">
        <v>393</v>
      </c>
      <c r="E1771" t="s">
        <v>1779</v>
      </c>
      <c r="F1771" t="s"/>
      <c r="G1771" t="s"/>
      <c r="H1771" t="s"/>
      <c r="I1771" t="s"/>
      <c r="J1771" t="n">
        <v>-0.1053</v>
      </c>
      <c r="K1771" t="n">
        <v>0.125</v>
      </c>
      <c r="L1771" t="n">
        <v>0.766</v>
      </c>
      <c r="M1771" t="n">
        <v>0.109</v>
      </c>
    </row>
    <row r="1772" spans="1:13">
      <c r="A1772" s="1">
        <f>HYPERLINK("http://www.twitter.com/NathanBLawrence/status/999393508883599360", "999393508883599360")</f>
        <v/>
      </c>
      <c r="B1772" s="2" t="n">
        <v>43243.87216435185</v>
      </c>
      <c r="C1772" t="n">
        <v>0</v>
      </c>
      <c r="D1772" t="n">
        <v>892</v>
      </c>
      <c r="E1772" t="s">
        <v>1780</v>
      </c>
      <c r="F1772" t="s"/>
      <c r="G1772" t="s"/>
      <c r="H1772" t="s"/>
      <c r="I1772" t="s"/>
      <c r="J1772" t="n">
        <v>-0.7351</v>
      </c>
      <c r="K1772" t="n">
        <v>0.279</v>
      </c>
      <c r="L1772" t="n">
        <v>0.721</v>
      </c>
      <c r="M1772" t="n">
        <v>0</v>
      </c>
    </row>
    <row r="1773" spans="1:13">
      <c r="A1773" s="1">
        <f>HYPERLINK("http://www.twitter.com/NathanBLawrence/status/999393451358801923", "999393451358801923")</f>
        <v/>
      </c>
      <c r="B1773" s="2" t="n">
        <v>43243.87200231481</v>
      </c>
      <c r="C1773" t="n">
        <v>0</v>
      </c>
      <c r="D1773" t="n">
        <v>2779</v>
      </c>
      <c r="E1773" t="s">
        <v>1781</v>
      </c>
      <c r="F1773" t="s"/>
      <c r="G1773" t="s"/>
      <c r="H1773" t="s"/>
      <c r="I1773" t="s"/>
      <c r="J1773" t="n">
        <v>-0.7096</v>
      </c>
      <c r="K1773" t="n">
        <v>0.228</v>
      </c>
      <c r="L1773" t="n">
        <v>0.772</v>
      </c>
      <c r="M1773" t="n">
        <v>0</v>
      </c>
    </row>
    <row r="1774" spans="1:13">
      <c r="A1774" s="1">
        <f>HYPERLINK("http://www.twitter.com/NathanBLawrence/status/999393400095899648", "999393400095899648")</f>
        <v/>
      </c>
      <c r="B1774" s="2" t="n">
        <v>43243.87186342593</v>
      </c>
      <c r="C1774" t="n">
        <v>0</v>
      </c>
      <c r="D1774" t="n">
        <v>12914</v>
      </c>
      <c r="E1774" t="s">
        <v>1782</v>
      </c>
      <c r="F1774">
        <f>HYPERLINK("https://video.twimg.com/ext_tw_video/956214786198507522/pu/vid/1280x720/ZbAGNn-AC7yaMCEv.mp4", "https://video.twimg.com/ext_tw_video/956214786198507522/pu/vid/1280x720/ZbAGNn-AC7yaMCEv.mp4")</f>
        <v/>
      </c>
      <c r="G1774" t="s"/>
      <c r="H1774" t="s"/>
      <c r="I1774" t="s"/>
      <c r="J1774" t="n">
        <v>-0.2008</v>
      </c>
      <c r="K1774" t="n">
        <v>0.13</v>
      </c>
      <c r="L1774" t="n">
        <v>0.772</v>
      </c>
      <c r="M1774" t="n">
        <v>0.098</v>
      </c>
    </row>
    <row r="1775" spans="1:13">
      <c r="A1775" s="1">
        <f>HYPERLINK("http://www.twitter.com/NathanBLawrence/status/999383418071932929", "999383418071932929")</f>
        <v/>
      </c>
      <c r="B1775" s="2" t="n">
        <v>43243.84431712963</v>
      </c>
      <c r="C1775" t="n">
        <v>1</v>
      </c>
      <c r="D1775" t="n">
        <v>0</v>
      </c>
      <c r="E1775" t="s">
        <v>1783</v>
      </c>
      <c r="F1775" t="s"/>
      <c r="G1775" t="s"/>
      <c r="H1775" t="s"/>
      <c r="I1775" t="s"/>
      <c r="J1775" t="n">
        <v>-0.3129</v>
      </c>
      <c r="K1775" t="n">
        <v>0.063</v>
      </c>
      <c r="L1775" t="n">
        <v>0.847</v>
      </c>
      <c r="M1775" t="n">
        <v>0.09</v>
      </c>
    </row>
    <row r="1776" spans="1:13">
      <c r="A1776" s="1">
        <f>HYPERLINK("http://www.twitter.com/NathanBLawrence/status/999382544511590400", "999382544511590400")</f>
        <v/>
      </c>
      <c r="B1776" s="2" t="n">
        <v>43243.84189814814</v>
      </c>
      <c r="C1776" t="n">
        <v>0</v>
      </c>
      <c r="D1776" t="n">
        <v>204</v>
      </c>
      <c r="E1776" t="s">
        <v>1784</v>
      </c>
      <c r="F1776">
        <f>HYPERLINK("http://pbs.twimg.com/media/Dd3_iELUQAEKth6.jpg", "http://pbs.twimg.com/media/Dd3_iELUQAEKth6.jpg")</f>
        <v/>
      </c>
      <c r="G1776" t="s"/>
      <c r="H1776" t="s"/>
      <c r="I1776" t="s"/>
      <c r="J1776" t="n">
        <v>0.4939</v>
      </c>
      <c r="K1776" t="n">
        <v>0</v>
      </c>
      <c r="L1776" t="n">
        <v>0.8110000000000001</v>
      </c>
      <c r="M1776" t="n">
        <v>0.189</v>
      </c>
    </row>
    <row r="1777" spans="1:13">
      <c r="A1777" s="1">
        <f>HYPERLINK("http://www.twitter.com/NathanBLawrence/status/999373996389994496", "999373996389994496")</f>
        <v/>
      </c>
      <c r="B1777" s="2" t="n">
        <v>43243.81831018518</v>
      </c>
      <c r="C1777" t="n">
        <v>0</v>
      </c>
      <c r="D1777" t="n">
        <v>0</v>
      </c>
      <c r="E1777" t="s">
        <v>1785</v>
      </c>
      <c r="F1777" t="s"/>
      <c r="G1777" t="s"/>
      <c r="H1777" t="s"/>
      <c r="I1777" t="s"/>
      <c r="J1777" t="n">
        <v>-0.8561</v>
      </c>
      <c r="K1777" t="n">
        <v>0.296</v>
      </c>
      <c r="L1777" t="n">
        <v>0.704</v>
      </c>
      <c r="M1777" t="n">
        <v>0</v>
      </c>
    </row>
    <row r="1778" spans="1:13">
      <c r="A1778" s="1">
        <f>HYPERLINK("http://www.twitter.com/NathanBLawrence/status/999373066886090752", "999373066886090752")</f>
        <v/>
      </c>
      <c r="B1778" s="2" t="n">
        <v>43243.81575231482</v>
      </c>
      <c r="C1778" t="n">
        <v>0</v>
      </c>
      <c r="D1778" t="n">
        <v>0</v>
      </c>
      <c r="E1778" t="s">
        <v>1786</v>
      </c>
      <c r="F1778" t="s"/>
      <c r="G1778" t="s"/>
      <c r="H1778" t="s"/>
      <c r="I1778" t="s"/>
      <c r="J1778" t="n">
        <v>0</v>
      </c>
      <c r="K1778" t="n">
        <v>0</v>
      </c>
      <c r="L1778" t="n">
        <v>1</v>
      </c>
      <c r="M1778" t="n">
        <v>0</v>
      </c>
    </row>
    <row r="1779" spans="1:13">
      <c r="A1779" s="1">
        <f>HYPERLINK("http://www.twitter.com/NathanBLawrence/status/999315580200062976", "999315580200062976")</f>
        <v/>
      </c>
      <c r="B1779" s="2" t="n">
        <v>43243.65711805555</v>
      </c>
      <c r="C1779" t="n">
        <v>0</v>
      </c>
      <c r="D1779" t="n">
        <v>131</v>
      </c>
      <c r="E1779" t="s">
        <v>1787</v>
      </c>
      <c r="F1779">
        <f>HYPERLINK("http://pbs.twimg.com/media/Dd4wILVVQAEX6TE.jpg", "http://pbs.twimg.com/media/Dd4wILVVQAEX6TE.jpg")</f>
        <v/>
      </c>
      <c r="G1779" t="s"/>
      <c r="H1779" t="s"/>
      <c r="I1779" t="s"/>
      <c r="J1779" t="n">
        <v>0</v>
      </c>
      <c r="K1779" t="n">
        <v>0</v>
      </c>
      <c r="L1779" t="n">
        <v>1</v>
      </c>
      <c r="M1779" t="n">
        <v>0</v>
      </c>
    </row>
    <row r="1780" spans="1:13">
      <c r="A1780" s="1">
        <f>HYPERLINK("http://www.twitter.com/NathanBLawrence/status/999315438013222912", "999315438013222912")</f>
        <v/>
      </c>
      <c r="B1780" s="2" t="n">
        <v>43243.65672453704</v>
      </c>
      <c r="C1780" t="n">
        <v>0</v>
      </c>
      <c r="D1780" t="n">
        <v>272</v>
      </c>
      <c r="E1780" t="s">
        <v>1788</v>
      </c>
      <c r="F1780" t="s"/>
      <c r="G1780" t="s"/>
      <c r="H1780" t="s"/>
      <c r="I1780" t="s"/>
      <c r="J1780" t="n">
        <v>0.25</v>
      </c>
      <c r="K1780" t="n">
        <v>0.07000000000000001</v>
      </c>
      <c r="L1780" t="n">
        <v>0.806</v>
      </c>
      <c r="M1780" t="n">
        <v>0.124</v>
      </c>
    </row>
    <row r="1781" spans="1:13">
      <c r="A1781" s="1">
        <f>HYPERLINK("http://www.twitter.com/NathanBLawrence/status/999315259788873728", "999315259788873728")</f>
        <v/>
      </c>
      <c r="B1781" s="2" t="n">
        <v>43243.65622685185</v>
      </c>
      <c r="C1781" t="n">
        <v>0</v>
      </c>
      <c r="D1781" t="n">
        <v>11</v>
      </c>
      <c r="E1781" t="s">
        <v>1789</v>
      </c>
      <c r="F1781" t="s"/>
      <c r="G1781" t="s"/>
      <c r="H1781" t="s"/>
      <c r="I1781" t="s"/>
      <c r="J1781" t="n">
        <v>0.0516</v>
      </c>
      <c r="K1781" t="n">
        <v>0.116</v>
      </c>
      <c r="L1781" t="n">
        <v>0.76</v>
      </c>
      <c r="M1781" t="n">
        <v>0.124</v>
      </c>
    </row>
    <row r="1782" spans="1:13">
      <c r="A1782" s="1">
        <f>HYPERLINK("http://www.twitter.com/NathanBLawrence/status/999314886638342144", "999314886638342144")</f>
        <v/>
      </c>
      <c r="B1782" s="2" t="n">
        <v>43243.65520833333</v>
      </c>
      <c r="C1782" t="n">
        <v>0</v>
      </c>
      <c r="D1782" t="n">
        <v>4</v>
      </c>
      <c r="E1782" t="s">
        <v>1790</v>
      </c>
      <c r="F1782" t="s"/>
      <c r="G1782" t="s"/>
      <c r="H1782" t="s"/>
      <c r="I1782" t="s"/>
      <c r="J1782" t="n">
        <v>0</v>
      </c>
      <c r="K1782" t="n">
        <v>0</v>
      </c>
      <c r="L1782" t="n">
        <v>1</v>
      </c>
      <c r="M1782" t="n">
        <v>0</v>
      </c>
    </row>
    <row r="1783" spans="1:13">
      <c r="A1783" s="1">
        <f>HYPERLINK("http://www.twitter.com/NathanBLawrence/status/999314735156867072", "999314735156867072")</f>
        <v/>
      </c>
      <c r="B1783" s="2" t="n">
        <v>43243.65478009259</v>
      </c>
      <c r="C1783" t="n">
        <v>0</v>
      </c>
      <c r="D1783" t="n">
        <v>1</v>
      </c>
      <c r="E1783" t="s">
        <v>1791</v>
      </c>
      <c r="F1783" t="s"/>
      <c r="G1783" t="s"/>
      <c r="H1783" t="s"/>
      <c r="I1783" t="s"/>
      <c r="J1783" t="n">
        <v>-0.4215</v>
      </c>
      <c r="K1783" t="n">
        <v>0.135</v>
      </c>
      <c r="L1783" t="n">
        <v>0.865</v>
      </c>
      <c r="M1783" t="n">
        <v>0</v>
      </c>
    </row>
    <row r="1784" spans="1:13">
      <c r="A1784" s="1">
        <f>HYPERLINK("http://www.twitter.com/NathanBLawrence/status/999314580672335872", "999314580672335872")</f>
        <v/>
      </c>
      <c r="B1784" s="2" t="n">
        <v>43243.65436342593</v>
      </c>
      <c r="C1784" t="n">
        <v>0</v>
      </c>
      <c r="D1784" t="n">
        <v>5068</v>
      </c>
      <c r="E1784" t="s">
        <v>1792</v>
      </c>
      <c r="F1784" t="s"/>
      <c r="G1784" t="s"/>
      <c r="H1784" t="s"/>
      <c r="I1784" t="s"/>
      <c r="J1784" t="n">
        <v>0.8622</v>
      </c>
      <c r="K1784" t="n">
        <v>0</v>
      </c>
      <c r="L1784" t="n">
        <v>0.449</v>
      </c>
      <c r="M1784" t="n">
        <v>0.551</v>
      </c>
    </row>
    <row r="1785" spans="1:13">
      <c r="A1785" s="1">
        <f>HYPERLINK("http://www.twitter.com/NathanBLawrence/status/999310504546983937", "999310504546983937")</f>
        <v/>
      </c>
      <c r="B1785" s="2" t="n">
        <v>43243.64311342593</v>
      </c>
      <c r="C1785" t="n">
        <v>1</v>
      </c>
      <c r="D1785" t="n">
        <v>0</v>
      </c>
      <c r="E1785" t="s">
        <v>1793</v>
      </c>
      <c r="F1785" t="s"/>
      <c r="G1785" t="s"/>
      <c r="H1785" t="s"/>
      <c r="I1785" t="s"/>
      <c r="J1785" t="n">
        <v>-0.4091</v>
      </c>
      <c r="K1785" t="n">
        <v>0.133</v>
      </c>
      <c r="L1785" t="n">
        <v>0.79</v>
      </c>
      <c r="M1785" t="n">
        <v>0.078</v>
      </c>
    </row>
    <row r="1786" spans="1:13">
      <c r="A1786" s="1">
        <f>HYPERLINK("http://www.twitter.com/NathanBLawrence/status/999308990021586945", "999308990021586945")</f>
        <v/>
      </c>
      <c r="B1786" s="2" t="n">
        <v>43243.63893518518</v>
      </c>
      <c r="C1786" t="n">
        <v>0</v>
      </c>
      <c r="D1786" t="n">
        <v>8</v>
      </c>
      <c r="E1786" t="s">
        <v>1794</v>
      </c>
      <c r="F1786" t="s"/>
      <c r="G1786" t="s"/>
      <c r="H1786" t="s"/>
      <c r="I1786" t="s"/>
      <c r="J1786" t="n">
        <v>0</v>
      </c>
      <c r="K1786" t="n">
        <v>0</v>
      </c>
      <c r="L1786" t="n">
        <v>1</v>
      </c>
      <c r="M1786" t="n">
        <v>0</v>
      </c>
    </row>
    <row r="1787" spans="1:13">
      <c r="A1787" s="1">
        <f>HYPERLINK("http://www.twitter.com/NathanBLawrence/status/999295173648633856", "999295173648633856")</f>
        <v/>
      </c>
      <c r="B1787" s="2" t="n">
        <v>43243.60081018518</v>
      </c>
      <c r="C1787" t="n">
        <v>0</v>
      </c>
      <c r="D1787" t="n">
        <v>11942</v>
      </c>
      <c r="E1787" t="s">
        <v>786</v>
      </c>
      <c r="F1787" t="s"/>
      <c r="G1787" t="s"/>
      <c r="H1787" t="s"/>
      <c r="I1787" t="s"/>
      <c r="J1787" t="n">
        <v>0</v>
      </c>
      <c r="K1787" t="n">
        <v>0</v>
      </c>
      <c r="L1787" t="n">
        <v>1</v>
      </c>
      <c r="M1787" t="n">
        <v>0</v>
      </c>
    </row>
    <row r="1788" spans="1:13">
      <c r="A1788" s="1">
        <f>HYPERLINK("http://www.twitter.com/NathanBLawrence/status/999295125284114432", "999295125284114432")</f>
        <v/>
      </c>
      <c r="B1788" s="2" t="n">
        <v>43243.6006712963</v>
      </c>
      <c r="C1788" t="n">
        <v>0</v>
      </c>
      <c r="D1788" t="n">
        <v>2</v>
      </c>
      <c r="E1788" t="s">
        <v>1795</v>
      </c>
      <c r="F1788" t="s"/>
      <c r="G1788" t="s"/>
      <c r="H1788" t="s"/>
      <c r="I1788" t="s"/>
      <c r="J1788" t="n">
        <v>-0.5106000000000001</v>
      </c>
      <c r="K1788" t="n">
        <v>0.163</v>
      </c>
      <c r="L1788" t="n">
        <v>0.837</v>
      </c>
      <c r="M1788" t="n">
        <v>0</v>
      </c>
    </row>
    <row r="1789" spans="1:13">
      <c r="A1789" s="1">
        <f>HYPERLINK("http://www.twitter.com/NathanBLawrence/status/999294962817740800", "999294962817740800")</f>
        <v/>
      </c>
      <c r="B1789" s="2" t="n">
        <v>43243.60021990741</v>
      </c>
      <c r="C1789" t="n">
        <v>0</v>
      </c>
      <c r="D1789" t="n">
        <v>2169</v>
      </c>
      <c r="E1789" t="s">
        <v>1796</v>
      </c>
      <c r="F1789" t="s"/>
      <c r="G1789" t="s"/>
      <c r="H1789" t="s"/>
      <c r="I1789" t="s"/>
      <c r="J1789" t="n">
        <v>-0.6249</v>
      </c>
      <c r="K1789" t="n">
        <v>0.157</v>
      </c>
      <c r="L1789" t="n">
        <v>0.843</v>
      </c>
      <c r="M1789" t="n">
        <v>0</v>
      </c>
    </row>
    <row r="1790" spans="1:13">
      <c r="A1790" s="1">
        <f>HYPERLINK("http://www.twitter.com/NathanBLawrence/status/999289420628070400", "999289420628070400")</f>
        <v/>
      </c>
      <c r="B1790" s="2" t="n">
        <v>43243.58493055555</v>
      </c>
      <c r="C1790" t="n">
        <v>0</v>
      </c>
      <c r="D1790" t="n">
        <v>0</v>
      </c>
      <c r="E1790" t="s">
        <v>1797</v>
      </c>
      <c r="F1790" t="s"/>
      <c r="G1790" t="s"/>
      <c r="H1790" t="s"/>
      <c r="I1790" t="s"/>
      <c r="J1790" t="n">
        <v>0.5994</v>
      </c>
      <c r="K1790" t="n">
        <v>0.102</v>
      </c>
      <c r="L1790" t="n">
        <v>0.728</v>
      </c>
      <c r="M1790" t="n">
        <v>0.17</v>
      </c>
    </row>
    <row r="1791" spans="1:13">
      <c r="A1791" s="1">
        <f>HYPERLINK("http://www.twitter.com/NathanBLawrence/status/999288773459443713", "999288773459443713")</f>
        <v/>
      </c>
      <c r="B1791" s="2" t="n">
        <v>43243.58314814815</v>
      </c>
      <c r="C1791" t="n">
        <v>0</v>
      </c>
      <c r="D1791" t="n">
        <v>44</v>
      </c>
      <c r="E1791" t="s">
        <v>1798</v>
      </c>
      <c r="F1791" t="s"/>
      <c r="G1791" t="s"/>
      <c r="H1791" t="s"/>
      <c r="I1791" t="s"/>
      <c r="J1791" t="n">
        <v>0.5266999999999999</v>
      </c>
      <c r="K1791" t="n">
        <v>0</v>
      </c>
      <c r="L1791" t="n">
        <v>0.595</v>
      </c>
      <c r="M1791" t="n">
        <v>0.405</v>
      </c>
    </row>
    <row r="1792" spans="1:13">
      <c r="A1792" s="1">
        <f>HYPERLINK("http://www.twitter.com/NathanBLawrence/status/999288596904534023", "999288596904534023")</f>
        <v/>
      </c>
      <c r="B1792" s="2" t="n">
        <v>43243.58266203704</v>
      </c>
      <c r="C1792" t="n">
        <v>0</v>
      </c>
      <c r="D1792" t="n">
        <v>85</v>
      </c>
      <c r="E1792" t="s">
        <v>1799</v>
      </c>
      <c r="F1792" t="s"/>
      <c r="G1792" t="s"/>
      <c r="H1792" t="s"/>
      <c r="I1792" t="s"/>
      <c r="J1792" t="n">
        <v>0.5574</v>
      </c>
      <c r="K1792" t="n">
        <v>0</v>
      </c>
      <c r="L1792" t="n">
        <v>0.8159999999999999</v>
      </c>
      <c r="M1792" t="n">
        <v>0.184</v>
      </c>
    </row>
    <row r="1793" spans="1:13">
      <c r="A1793" s="1">
        <f>HYPERLINK("http://www.twitter.com/NathanBLawrence/status/999287940848275457", "999287940848275457")</f>
        <v/>
      </c>
      <c r="B1793" s="2" t="n">
        <v>43243.58084490741</v>
      </c>
      <c r="C1793" t="n">
        <v>0</v>
      </c>
      <c r="D1793" t="n">
        <v>76</v>
      </c>
      <c r="E1793" t="s">
        <v>1800</v>
      </c>
      <c r="F1793" t="s"/>
      <c r="G1793" t="s"/>
      <c r="H1793" t="s"/>
      <c r="I1793" t="s"/>
      <c r="J1793" t="n">
        <v>0.3818</v>
      </c>
      <c r="K1793" t="n">
        <v>0</v>
      </c>
      <c r="L1793" t="n">
        <v>0.89</v>
      </c>
      <c r="M1793" t="n">
        <v>0.11</v>
      </c>
    </row>
    <row r="1794" spans="1:13">
      <c r="A1794" s="1">
        <f>HYPERLINK("http://www.twitter.com/NathanBLawrence/status/999287574974943237", "999287574974943237")</f>
        <v/>
      </c>
      <c r="B1794" s="2" t="n">
        <v>43243.57983796296</v>
      </c>
      <c r="C1794" t="n">
        <v>0</v>
      </c>
      <c r="D1794" t="n">
        <v>0</v>
      </c>
      <c r="E1794" t="s">
        <v>1801</v>
      </c>
      <c r="F1794" t="s"/>
      <c r="G1794" t="s"/>
      <c r="H1794" t="s"/>
      <c r="I1794" t="s"/>
      <c r="J1794" t="n">
        <v>0</v>
      </c>
      <c r="K1794" t="n">
        <v>0</v>
      </c>
      <c r="L1794" t="n">
        <v>1</v>
      </c>
      <c r="M1794" t="n">
        <v>0</v>
      </c>
    </row>
    <row r="1795" spans="1:13">
      <c r="A1795" s="1">
        <f>HYPERLINK("http://www.twitter.com/NathanBLawrence/status/999287510630051840", "999287510630051840")</f>
        <v/>
      </c>
      <c r="B1795" s="2" t="n">
        <v>43243.57966435186</v>
      </c>
      <c r="C1795" t="n">
        <v>0</v>
      </c>
      <c r="D1795" t="n">
        <v>68</v>
      </c>
      <c r="E1795" t="s">
        <v>1802</v>
      </c>
      <c r="F1795" t="s"/>
      <c r="G1795" t="s"/>
      <c r="H1795" t="s"/>
      <c r="I1795" t="s"/>
      <c r="J1795" t="n">
        <v>0.8038</v>
      </c>
      <c r="K1795" t="n">
        <v>0</v>
      </c>
      <c r="L1795" t="n">
        <v>0.493</v>
      </c>
      <c r="M1795" t="n">
        <v>0.507</v>
      </c>
    </row>
    <row r="1796" spans="1:13">
      <c r="A1796" s="1">
        <f>HYPERLINK("http://www.twitter.com/NathanBLawrence/status/999287432251084801", "999287432251084801")</f>
        <v/>
      </c>
      <c r="B1796" s="2" t="n">
        <v>43243.57944444445</v>
      </c>
      <c r="C1796" t="n">
        <v>0</v>
      </c>
      <c r="D1796" t="n">
        <v>216</v>
      </c>
      <c r="E1796" t="s">
        <v>1803</v>
      </c>
      <c r="F1796" t="s"/>
      <c r="G1796" t="s"/>
      <c r="H1796" t="s"/>
      <c r="I1796" t="s"/>
      <c r="J1796" t="n">
        <v>0</v>
      </c>
      <c r="K1796" t="n">
        <v>0</v>
      </c>
      <c r="L1796" t="n">
        <v>1</v>
      </c>
      <c r="M1796" t="n">
        <v>0</v>
      </c>
    </row>
    <row r="1797" spans="1:13">
      <c r="A1797" s="1">
        <f>HYPERLINK("http://www.twitter.com/NathanBLawrence/status/999287368338362369", "999287368338362369")</f>
        <v/>
      </c>
      <c r="B1797" s="2" t="n">
        <v>43243.57927083333</v>
      </c>
      <c r="C1797" t="n">
        <v>0</v>
      </c>
      <c r="D1797" t="n">
        <v>59</v>
      </c>
      <c r="E1797" t="s">
        <v>1804</v>
      </c>
      <c r="F1797" t="s"/>
      <c r="G1797" t="s"/>
      <c r="H1797" t="s"/>
      <c r="I1797" t="s"/>
      <c r="J1797" t="n">
        <v>0</v>
      </c>
      <c r="K1797" t="n">
        <v>0</v>
      </c>
      <c r="L1797" t="n">
        <v>1</v>
      </c>
      <c r="M1797" t="n">
        <v>0</v>
      </c>
    </row>
    <row r="1798" spans="1:13">
      <c r="A1798" s="1">
        <f>HYPERLINK("http://www.twitter.com/NathanBLawrence/status/999287328924491779", "999287328924491779")</f>
        <v/>
      </c>
      <c r="B1798" s="2" t="n">
        <v>43243.57915509259</v>
      </c>
      <c r="C1798" t="n">
        <v>0</v>
      </c>
      <c r="D1798" t="n">
        <v>51</v>
      </c>
      <c r="E1798" t="s">
        <v>1805</v>
      </c>
      <c r="F1798" t="s"/>
      <c r="G1798" t="s"/>
      <c r="H1798" t="s"/>
      <c r="I1798" t="s"/>
      <c r="J1798" t="n">
        <v>-0.3182</v>
      </c>
      <c r="K1798" t="n">
        <v>0.141</v>
      </c>
      <c r="L1798" t="n">
        <v>0.859</v>
      </c>
      <c r="M1798" t="n">
        <v>0</v>
      </c>
    </row>
    <row r="1799" spans="1:13">
      <c r="A1799" s="1">
        <f>HYPERLINK("http://www.twitter.com/NathanBLawrence/status/999287175974965249", "999287175974965249")</f>
        <v/>
      </c>
      <c r="B1799" s="2" t="n">
        <v>43243.57873842592</v>
      </c>
      <c r="C1799" t="n">
        <v>0</v>
      </c>
      <c r="D1799" t="n">
        <v>1</v>
      </c>
      <c r="E1799" t="s">
        <v>1806</v>
      </c>
      <c r="F1799" t="s"/>
      <c r="G1799" t="s"/>
      <c r="H1799" t="s"/>
      <c r="I1799" t="s"/>
      <c r="J1799" t="n">
        <v>0.5649999999999999</v>
      </c>
      <c r="K1799" t="n">
        <v>0</v>
      </c>
      <c r="L1799" t="n">
        <v>0.8139999999999999</v>
      </c>
      <c r="M1799" t="n">
        <v>0.186</v>
      </c>
    </row>
    <row r="1800" spans="1:13">
      <c r="A1800" s="1">
        <f>HYPERLINK("http://www.twitter.com/NathanBLawrence/status/999277438076182528", "999277438076182528")</f>
        <v/>
      </c>
      <c r="B1800" s="2" t="n">
        <v>43243.55186342593</v>
      </c>
      <c r="C1800" t="n">
        <v>0</v>
      </c>
      <c r="D1800" t="n">
        <v>238</v>
      </c>
      <c r="E1800" t="s">
        <v>1807</v>
      </c>
      <c r="F1800" t="s"/>
      <c r="G1800" t="s"/>
      <c r="H1800" t="s"/>
      <c r="I1800" t="s"/>
      <c r="J1800" t="n">
        <v>0.1376</v>
      </c>
      <c r="K1800" t="n">
        <v>0.091</v>
      </c>
      <c r="L1800" t="n">
        <v>0.792</v>
      </c>
      <c r="M1800" t="n">
        <v>0.116</v>
      </c>
    </row>
    <row r="1801" spans="1:13">
      <c r="A1801" s="1">
        <f>HYPERLINK("http://www.twitter.com/NathanBLawrence/status/999277301706706945", "999277301706706945")</f>
        <v/>
      </c>
      <c r="B1801" s="2" t="n">
        <v>43243.55149305556</v>
      </c>
      <c r="C1801" t="n">
        <v>0</v>
      </c>
      <c r="D1801" t="n">
        <v>407</v>
      </c>
      <c r="E1801" t="s">
        <v>1808</v>
      </c>
      <c r="F1801" t="s"/>
      <c r="G1801" t="s"/>
      <c r="H1801" t="s"/>
      <c r="I1801" t="s"/>
      <c r="J1801" t="n">
        <v>-0.7003</v>
      </c>
      <c r="K1801" t="n">
        <v>0.318</v>
      </c>
      <c r="L1801" t="n">
        <v>0.571</v>
      </c>
      <c r="M1801" t="n">
        <v>0.111</v>
      </c>
    </row>
    <row r="1802" spans="1:13">
      <c r="A1802" s="1">
        <f>HYPERLINK("http://www.twitter.com/NathanBLawrence/status/999277238490161153", "999277238490161153")</f>
        <v/>
      </c>
      <c r="B1802" s="2" t="n">
        <v>43243.55130787037</v>
      </c>
      <c r="C1802" t="n">
        <v>0</v>
      </c>
      <c r="D1802" t="n">
        <v>285</v>
      </c>
      <c r="E1802" t="s">
        <v>1809</v>
      </c>
      <c r="F1802" t="s"/>
      <c r="G1802" t="s"/>
      <c r="H1802" t="s"/>
      <c r="I1802" t="s"/>
      <c r="J1802" t="n">
        <v>-0.4389</v>
      </c>
      <c r="K1802" t="n">
        <v>0.151</v>
      </c>
      <c r="L1802" t="n">
        <v>0.776</v>
      </c>
      <c r="M1802" t="n">
        <v>0.073</v>
      </c>
    </row>
    <row r="1803" spans="1:13">
      <c r="A1803" s="1">
        <f>HYPERLINK("http://www.twitter.com/NathanBLawrence/status/999277043878678529", "999277043878678529")</f>
        <v/>
      </c>
      <c r="B1803" s="2" t="n">
        <v>43243.55077546297</v>
      </c>
      <c r="C1803" t="n">
        <v>0</v>
      </c>
      <c r="D1803" t="n">
        <v>14</v>
      </c>
      <c r="E1803" t="s">
        <v>1810</v>
      </c>
      <c r="F1803" t="s"/>
      <c r="G1803" t="s"/>
      <c r="H1803" t="s"/>
      <c r="I1803" t="s"/>
      <c r="J1803" t="n">
        <v>0.296</v>
      </c>
      <c r="K1803" t="n">
        <v>0.074</v>
      </c>
      <c r="L1803" t="n">
        <v>0.792</v>
      </c>
      <c r="M1803" t="n">
        <v>0.134</v>
      </c>
    </row>
    <row r="1804" spans="1:13">
      <c r="A1804" s="1">
        <f>HYPERLINK("http://www.twitter.com/NathanBLawrence/status/999276980712431616", "999276980712431616")</f>
        <v/>
      </c>
      <c r="B1804" s="2" t="n">
        <v>43243.55060185185</v>
      </c>
      <c r="C1804" t="n">
        <v>0</v>
      </c>
      <c r="D1804" t="n">
        <v>4</v>
      </c>
      <c r="E1804" t="s">
        <v>1811</v>
      </c>
      <c r="F1804" t="s"/>
      <c r="G1804" t="s"/>
      <c r="H1804" t="s"/>
      <c r="I1804" t="s"/>
      <c r="J1804" t="n">
        <v>0</v>
      </c>
      <c r="K1804" t="n">
        <v>0</v>
      </c>
      <c r="L1804" t="n">
        <v>1</v>
      </c>
      <c r="M1804" t="n">
        <v>0</v>
      </c>
    </row>
    <row r="1805" spans="1:13">
      <c r="A1805" s="1">
        <f>HYPERLINK("http://www.twitter.com/NathanBLawrence/status/999273238743175168", "999273238743175168")</f>
        <v/>
      </c>
      <c r="B1805" s="2" t="n">
        <v>43243.54027777778</v>
      </c>
      <c r="C1805" t="n">
        <v>5</v>
      </c>
      <c r="D1805" t="n">
        <v>1</v>
      </c>
      <c r="E1805" t="s">
        <v>1812</v>
      </c>
      <c r="F1805" t="s"/>
      <c r="G1805" t="s"/>
      <c r="H1805" t="s"/>
      <c r="I1805" t="s"/>
      <c r="J1805" t="n">
        <v>0.7569</v>
      </c>
      <c r="K1805" t="n">
        <v>0</v>
      </c>
      <c r="L1805" t="n">
        <v>0.86</v>
      </c>
      <c r="M1805" t="n">
        <v>0.14</v>
      </c>
    </row>
    <row r="1806" spans="1:13">
      <c r="A1806" s="1">
        <f>HYPERLINK("http://www.twitter.com/NathanBLawrence/status/999272233062236161", "999272233062236161")</f>
        <v/>
      </c>
      <c r="B1806" s="2" t="n">
        <v>43243.5375</v>
      </c>
      <c r="C1806" t="n">
        <v>0</v>
      </c>
      <c r="D1806" t="n">
        <v>2</v>
      </c>
      <c r="E1806" t="s">
        <v>1813</v>
      </c>
      <c r="F1806" t="s"/>
      <c r="G1806" t="s"/>
      <c r="H1806" t="s"/>
      <c r="I1806" t="s"/>
      <c r="J1806" t="n">
        <v>0.34</v>
      </c>
      <c r="K1806" t="n">
        <v>0</v>
      </c>
      <c r="L1806" t="n">
        <v>0.897</v>
      </c>
      <c r="M1806" t="n">
        <v>0.103</v>
      </c>
    </row>
    <row r="1807" spans="1:13">
      <c r="A1807" s="1">
        <f>HYPERLINK("http://www.twitter.com/NathanBLawrence/status/999272148228296705", "999272148228296705")</f>
        <v/>
      </c>
      <c r="B1807" s="2" t="n">
        <v>43243.53726851852</v>
      </c>
      <c r="C1807" t="n">
        <v>0</v>
      </c>
      <c r="D1807" t="n">
        <v>3</v>
      </c>
      <c r="E1807" t="s">
        <v>1814</v>
      </c>
      <c r="F1807" t="s"/>
      <c r="G1807" t="s"/>
      <c r="H1807" t="s"/>
      <c r="I1807" t="s"/>
      <c r="J1807" t="n">
        <v>-0.3182</v>
      </c>
      <c r="K1807" t="n">
        <v>0.161</v>
      </c>
      <c r="L1807" t="n">
        <v>0.839</v>
      </c>
      <c r="M1807" t="n">
        <v>0</v>
      </c>
    </row>
    <row r="1808" spans="1:13">
      <c r="A1808" s="1">
        <f>HYPERLINK("http://www.twitter.com/NathanBLawrence/status/999272122995433472", "999272122995433472")</f>
        <v/>
      </c>
      <c r="B1808" s="2" t="n">
        <v>43243.53719907408</v>
      </c>
      <c r="C1808" t="n">
        <v>0</v>
      </c>
      <c r="D1808" t="n">
        <v>3</v>
      </c>
      <c r="E1808" t="s">
        <v>1815</v>
      </c>
      <c r="F1808" t="s"/>
      <c r="G1808" t="s"/>
      <c r="H1808" t="s"/>
      <c r="I1808" t="s"/>
      <c r="J1808" t="n">
        <v>0</v>
      </c>
      <c r="K1808" t="n">
        <v>0</v>
      </c>
      <c r="L1808" t="n">
        <v>1</v>
      </c>
      <c r="M1808" t="n">
        <v>0</v>
      </c>
    </row>
    <row r="1809" spans="1:13">
      <c r="A1809" s="1">
        <f>HYPERLINK("http://www.twitter.com/NathanBLawrence/status/999272034818560001", "999272034818560001")</f>
        <v/>
      </c>
      <c r="B1809" s="2" t="n">
        <v>43243.53695601852</v>
      </c>
      <c r="C1809" t="n">
        <v>0</v>
      </c>
      <c r="D1809" t="n">
        <v>2</v>
      </c>
      <c r="E1809" t="s">
        <v>1816</v>
      </c>
      <c r="F1809" t="s"/>
      <c r="G1809" t="s"/>
      <c r="H1809" t="s"/>
      <c r="I1809" t="s"/>
      <c r="J1809" t="n">
        <v>0.4019</v>
      </c>
      <c r="K1809" t="n">
        <v>0</v>
      </c>
      <c r="L1809" t="n">
        <v>0.895</v>
      </c>
      <c r="M1809" t="n">
        <v>0.105</v>
      </c>
    </row>
    <row r="1810" spans="1:13">
      <c r="A1810" s="1">
        <f>HYPERLINK("http://www.twitter.com/NathanBLawrence/status/999271476686675968", "999271476686675968")</f>
        <v/>
      </c>
      <c r="B1810" s="2" t="n">
        <v>43243.53541666667</v>
      </c>
      <c r="C1810" t="n">
        <v>3</v>
      </c>
      <c r="D1810" t="n">
        <v>0</v>
      </c>
      <c r="E1810" t="s">
        <v>1817</v>
      </c>
      <c r="F1810">
        <f>HYPERLINK("http://pbs.twimg.com/media/Dd4gG_fVAAAWojy.jpg", "http://pbs.twimg.com/media/Dd4gG_fVAAAWojy.jpg")</f>
        <v/>
      </c>
      <c r="G1810" t="s"/>
      <c r="H1810" t="s"/>
      <c r="I1810" t="s"/>
      <c r="J1810" t="n">
        <v>0</v>
      </c>
      <c r="K1810" t="n">
        <v>0</v>
      </c>
      <c r="L1810" t="n">
        <v>1</v>
      </c>
      <c r="M1810" t="n">
        <v>0</v>
      </c>
    </row>
    <row r="1811" spans="1:13">
      <c r="A1811" s="1">
        <f>HYPERLINK("http://www.twitter.com/NathanBLawrence/status/999263671229566976", "999263671229566976")</f>
        <v/>
      </c>
      <c r="B1811" s="2" t="n">
        <v>43243.51387731481</v>
      </c>
      <c r="C1811" t="n">
        <v>0</v>
      </c>
      <c r="D1811" t="n">
        <v>5</v>
      </c>
      <c r="E1811" t="s">
        <v>1818</v>
      </c>
      <c r="F1811" t="s"/>
      <c r="G1811" t="s"/>
      <c r="H1811" t="s"/>
      <c r="I1811" t="s"/>
      <c r="J1811" t="n">
        <v>-0.5423</v>
      </c>
      <c r="K1811" t="n">
        <v>0.179</v>
      </c>
      <c r="L1811" t="n">
        <v>0.821</v>
      </c>
      <c r="M1811" t="n">
        <v>0</v>
      </c>
    </row>
    <row r="1812" spans="1:13">
      <c r="A1812" s="1">
        <f>HYPERLINK("http://www.twitter.com/NathanBLawrence/status/999263628615389184", "999263628615389184")</f>
        <v/>
      </c>
      <c r="B1812" s="2" t="n">
        <v>43243.51376157408</v>
      </c>
      <c r="C1812" t="n">
        <v>0</v>
      </c>
      <c r="D1812" t="n">
        <v>4</v>
      </c>
      <c r="E1812" t="s">
        <v>1819</v>
      </c>
      <c r="F1812" t="s"/>
      <c r="G1812" t="s"/>
      <c r="H1812" t="s"/>
      <c r="I1812" t="s"/>
      <c r="J1812" t="n">
        <v>0</v>
      </c>
      <c r="K1812" t="n">
        <v>0</v>
      </c>
      <c r="L1812" t="n">
        <v>1</v>
      </c>
      <c r="M1812" t="n">
        <v>0</v>
      </c>
    </row>
    <row r="1813" spans="1:13">
      <c r="A1813" s="1">
        <f>HYPERLINK("http://www.twitter.com/NathanBLawrence/status/999263452781842432", "999263452781842432")</f>
        <v/>
      </c>
      <c r="B1813" s="2" t="n">
        <v>43243.51327546296</v>
      </c>
      <c r="C1813" t="n">
        <v>0</v>
      </c>
      <c r="D1813" t="n">
        <v>1</v>
      </c>
      <c r="E1813" t="s">
        <v>1820</v>
      </c>
      <c r="F1813" t="s"/>
      <c r="G1813" t="s"/>
      <c r="H1813" t="s"/>
      <c r="I1813" t="s"/>
      <c r="J1813" t="n">
        <v>-0.1531</v>
      </c>
      <c r="K1813" t="n">
        <v>0.21</v>
      </c>
      <c r="L1813" t="n">
        <v>0.605</v>
      </c>
      <c r="M1813" t="n">
        <v>0.185</v>
      </c>
    </row>
    <row r="1814" spans="1:13">
      <c r="A1814" s="1">
        <f>HYPERLINK("http://www.twitter.com/NathanBLawrence/status/999263340798140416", "999263340798140416")</f>
        <v/>
      </c>
      <c r="B1814" s="2" t="n">
        <v>43243.51296296297</v>
      </c>
      <c r="C1814" t="n">
        <v>0</v>
      </c>
      <c r="D1814" t="n">
        <v>1</v>
      </c>
      <c r="E1814" t="s">
        <v>1821</v>
      </c>
      <c r="F1814" t="s"/>
      <c r="G1814" t="s"/>
      <c r="H1814" t="s"/>
      <c r="I1814" t="s"/>
      <c r="J1814" t="n">
        <v>0</v>
      </c>
      <c r="K1814" t="n">
        <v>0</v>
      </c>
      <c r="L1814" t="n">
        <v>1</v>
      </c>
      <c r="M1814" t="n">
        <v>0</v>
      </c>
    </row>
    <row r="1815" spans="1:13">
      <c r="A1815" s="1">
        <f>HYPERLINK("http://www.twitter.com/NathanBLawrence/status/999263299916193792", "999263299916193792")</f>
        <v/>
      </c>
      <c r="B1815" s="2" t="n">
        <v>43243.51284722222</v>
      </c>
      <c r="C1815" t="n">
        <v>0</v>
      </c>
      <c r="D1815" t="n">
        <v>1</v>
      </c>
      <c r="E1815" t="s">
        <v>1822</v>
      </c>
      <c r="F1815" t="s"/>
      <c r="G1815" t="s"/>
      <c r="H1815" t="s"/>
      <c r="I1815" t="s"/>
      <c r="J1815" t="n">
        <v>0.4576</v>
      </c>
      <c r="K1815" t="n">
        <v>0</v>
      </c>
      <c r="L1815" t="n">
        <v>0.85</v>
      </c>
      <c r="M1815" t="n">
        <v>0.15</v>
      </c>
    </row>
    <row r="1816" spans="1:13">
      <c r="A1816" s="1">
        <f>HYPERLINK("http://www.twitter.com/NathanBLawrence/status/999261323400744960", "999261323400744960")</f>
        <v/>
      </c>
      <c r="B1816" s="2" t="n">
        <v>43243.50739583333</v>
      </c>
      <c r="C1816" t="n">
        <v>0</v>
      </c>
      <c r="D1816" t="n">
        <v>6</v>
      </c>
      <c r="E1816" t="s">
        <v>1823</v>
      </c>
      <c r="F1816" t="s"/>
      <c r="G1816" t="s"/>
      <c r="H1816" t="s"/>
      <c r="I1816" t="s"/>
      <c r="J1816" t="n">
        <v>0</v>
      </c>
      <c r="K1816" t="n">
        <v>0</v>
      </c>
      <c r="L1816" t="n">
        <v>1</v>
      </c>
      <c r="M1816" t="n">
        <v>0</v>
      </c>
    </row>
    <row r="1817" spans="1:13">
      <c r="A1817" s="1">
        <f>HYPERLINK("http://www.twitter.com/NathanBLawrence/status/999255674210185216", "999255674210185216")</f>
        <v/>
      </c>
      <c r="B1817" s="2" t="n">
        <v>43243.49180555555</v>
      </c>
      <c r="C1817" t="n">
        <v>0</v>
      </c>
      <c r="D1817" t="n">
        <v>1</v>
      </c>
      <c r="E1817" t="s">
        <v>1824</v>
      </c>
      <c r="F1817" t="s"/>
      <c r="G1817" t="s"/>
      <c r="H1817" t="s"/>
      <c r="I1817" t="s"/>
      <c r="J1817" t="n">
        <v>0.7786999999999999</v>
      </c>
      <c r="K1817" t="n">
        <v>0</v>
      </c>
      <c r="L1817" t="n">
        <v>0.747</v>
      </c>
      <c r="M1817" t="n">
        <v>0.253</v>
      </c>
    </row>
    <row r="1818" spans="1:13">
      <c r="A1818" s="1">
        <f>HYPERLINK("http://www.twitter.com/NathanBLawrence/status/999255496795328512", "999255496795328512")</f>
        <v/>
      </c>
      <c r="B1818" s="2" t="n">
        <v>43243.49131944445</v>
      </c>
      <c r="C1818" t="n">
        <v>0</v>
      </c>
      <c r="D1818" t="n">
        <v>1</v>
      </c>
      <c r="E1818" t="s">
        <v>1825</v>
      </c>
      <c r="F1818" t="s"/>
      <c r="G1818" t="s"/>
      <c r="H1818" t="s"/>
      <c r="I1818" t="s"/>
      <c r="J1818" t="n">
        <v>0.7574</v>
      </c>
      <c r="K1818" t="n">
        <v>0</v>
      </c>
      <c r="L1818" t="n">
        <v>0.735</v>
      </c>
      <c r="M1818" t="n">
        <v>0.265</v>
      </c>
    </row>
    <row r="1819" spans="1:13">
      <c r="A1819" s="1">
        <f>HYPERLINK("http://www.twitter.com/NathanBLawrence/status/999253006465028097", "999253006465028097")</f>
        <v/>
      </c>
      <c r="B1819" s="2" t="n">
        <v>43243.48444444445</v>
      </c>
      <c r="C1819" t="n">
        <v>0</v>
      </c>
      <c r="D1819" t="n">
        <v>275</v>
      </c>
      <c r="E1819" t="s">
        <v>1826</v>
      </c>
      <c r="F1819" t="s"/>
      <c r="G1819" t="s"/>
      <c r="H1819" t="s"/>
      <c r="I1819" t="s"/>
      <c r="J1819" t="n">
        <v>0.3067</v>
      </c>
      <c r="K1819" t="n">
        <v>0</v>
      </c>
      <c r="L1819" t="n">
        <v>0.86</v>
      </c>
      <c r="M1819" t="n">
        <v>0.14</v>
      </c>
    </row>
    <row r="1820" spans="1:13">
      <c r="A1820" s="1">
        <f>HYPERLINK("http://www.twitter.com/NathanBLawrence/status/999252191453110272", "999252191453110272")</f>
        <v/>
      </c>
      <c r="B1820" s="2" t="n">
        <v>43243.48219907407</v>
      </c>
      <c r="C1820" t="n">
        <v>0</v>
      </c>
      <c r="D1820" t="n">
        <v>0</v>
      </c>
      <c r="E1820" t="s">
        <v>1827</v>
      </c>
      <c r="F1820" t="s"/>
      <c r="G1820" t="s"/>
      <c r="H1820" t="s"/>
      <c r="I1820" t="s"/>
      <c r="J1820" t="n">
        <v>0</v>
      </c>
      <c r="K1820" t="n">
        <v>0</v>
      </c>
      <c r="L1820" t="n">
        <v>1</v>
      </c>
      <c r="M1820" t="n">
        <v>0</v>
      </c>
    </row>
    <row r="1821" spans="1:13">
      <c r="A1821" s="1">
        <f>HYPERLINK("http://www.twitter.com/NathanBLawrence/status/999251481256742913", "999251481256742913")</f>
        <v/>
      </c>
      <c r="B1821" s="2" t="n">
        <v>43243.48023148148</v>
      </c>
      <c r="C1821" t="n">
        <v>0</v>
      </c>
      <c r="D1821" t="n">
        <v>0</v>
      </c>
      <c r="E1821" t="s">
        <v>1828</v>
      </c>
      <c r="F1821" t="s"/>
      <c r="G1821" t="s"/>
      <c r="H1821" t="s"/>
      <c r="I1821" t="s"/>
      <c r="J1821" t="n">
        <v>-0.3182</v>
      </c>
      <c r="K1821" t="n">
        <v>0.141</v>
      </c>
      <c r="L1821" t="n">
        <v>0.859</v>
      </c>
      <c r="M1821" t="n">
        <v>0</v>
      </c>
    </row>
    <row r="1822" spans="1:13">
      <c r="A1822" s="1">
        <f>HYPERLINK("http://www.twitter.com/NathanBLawrence/status/999250501886672897", "999250501886672897")</f>
        <v/>
      </c>
      <c r="B1822" s="2" t="n">
        <v>43243.47753472222</v>
      </c>
      <c r="C1822" t="n">
        <v>0</v>
      </c>
      <c r="D1822" t="n">
        <v>106</v>
      </c>
      <c r="E1822" t="s">
        <v>1829</v>
      </c>
      <c r="F1822" t="s"/>
      <c r="G1822" t="s"/>
      <c r="H1822" t="s"/>
      <c r="I1822" t="s"/>
      <c r="J1822" t="n">
        <v>0</v>
      </c>
      <c r="K1822" t="n">
        <v>0</v>
      </c>
      <c r="L1822" t="n">
        <v>1</v>
      </c>
      <c r="M1822" t="n">
        <v>0</v>
      </c>
    </row>
    <row r="1823" spans="1:13">
      <c r="A1823" s="1">
        <f>HYPERLINK("http://www.twitter.com/NathanBLawrence/status/999250463378886656", "999250463378886656")</f>
        <v/>
      </c>
      <c r="B1823" s="2" t="n">
        <v>43243.47743055555</v>
      </c>
      <c r="C1823" t="n">
        <v>0</v>
      </c>
      <c r="D1823" t="n">
        <v>350</v>
      </c>
      <c r="E1823" t="s">
        <v>1830</v>
      </c>
      <c r="F1823" t="s"/>
      <c r="G1823" t="s"/>
      <c r="H1823" t="s"/>
      <c r="I1823" t="s"/>
      <c r="J1823" t="n">
        <v>0.5719</v>
      </c>
      <c r="K1823" t="n">
        <v>0</v>
      </c>
      <c r="L1823" t="n">
        <v>0.748</v>
      </c>
      <c r="M1823" t="n">
        <v>0.252</v>
      </c>
    </row>
    <row r="1824" spans="1:13">
      <c r="A1824" s="1">
        <f>HYPERLINK("http://www.twitter.com/NathanBLawrence/status/999250327701540864", "999250327701540864")</f>
        <v/>
      </c>
      <c r="B1824" s="2" t="n">
        <v>43243.47704861111</v>
      </c>
      <c r="C1824" t="n">
        <v>0</v>
      </c>
      <c r="D1824" t="n">
        <v>460</v>
      </c>
      <c r="E1824" t="s">
        <v>1831</v>
      </c>
      <c r="F1824" t="s"/>
      <c r="G1824" t="s"/>
      <c r="H1824" t="s"/>
      <c r="I1824" t="s"/>
      <c r="J1824" t="n">
        <v>0</v>
      </c>
      <c r="K1824" t="n">
        <v>0</v>
      </c>
      <c r="L1824" t="n">
        <v>1</v>
      </c>
      <c r="M1824" t="n">
        <v>0</v>
      </c>
    </row>
    <row r="1825" spans="1:13">
      <c r="A1825" s="1">
        <f>HYPERLINK("http://www.twitter.com/NathanBLawrence/status/999250261771214849", "999250261771214849")</f>
        <v/>
      </c>
      <c r="B1825" s="2" t="n">
        <v>43243.476875</v>
      </c>
      <c r="C1825" t="n">
        <v>0</v>
      </c>
      <c r="D1825" t="n">
        <v>257</v>
      </c>
      <c r="E1825" t="s">
        <v>1832</v>
      </c>
      <c r="F1825" t="s"/>
      <c r="G1825" t="s"/>
      <c r="H1825" t="s"/>
      <c r="I1825" t="s"/>
      <c r="J1825" t="n">
        <v>0</v>
      </c>
      <c r="K1825" t="n">
        <v>0</v>
      </c>
      <c r="L1825" t="n">
        <v>1</v>
      </c>
      <c r="M1825" t="n">
        <v>0</v>
      </c>
    </row>
    <row r="1826" spans="1:13">
      <c r="A1826" s="1">
        <f>HYPERLINK("http://www.twitter.com/NathanBLawrence/status/999250185350975489", "999250185350975489")</f>
        <v/>
      </c>
      <c r="B1826" s="2" t="n">
        <v>43243.47666666667</v>
      </c>
      <c r="C1826" t="n">
        <v>0</v>
      </c>
      <c r="D1826" t="n">
        <v>7</v>
      </c>
      <c r="E1826" t="s">
        <v>1833</v>
      </c>
      <c r="F1826" t="s"/>
      <c r="G1826" t="s"/>
      <c r="H1826" t="s"/>
      <c r="I1826" t="s"/>
      <c r="J1826" t="n">
        <v>0</v>
      </c>
      <c r="K1826" t="n">
        <v>0</v>
      </c>
      <c r="L1826" t="n">
        <v>1</v>
      </c>
      <c r="M1826" t="n">
        <v>0</v>
      </c>
    </row>
    <row r="1827" spans="1:13">
      <c r="A1827" s="1">
        <f>HYPERLINK("http://www.twitter.com/NathanBLawrence/status/999250164513636354", "999250164513636354")</f>
        <v/>
      </c>
      <c r="B1827" s="2" t="n">
        <v>43243.4766087963</v>
      </c>
      <c r="C1827" t="n">
        <v>0</v>
      </c>
      <c r="D1827" t="n">
        <v>4</v>
      </c>
      <c r="E1827" t="s">
        <v>1834</v>
      </c>
      <c r="F1827" t="s"/>
      <c r="G1827" t="s"/>
      <c r="H1827" t="s"/>
      <c r="I1827" t="s"/>
      <c r="J1827" t="n">
        <v>0.4588</v>
      </c>
      <c r="K1827" t="n">
        <v>0</v>
      </c>
      <c r="L1827" t="n">
        <v>0.864</v>
      </c>
      <c r="M1827" t="n">
        <v>0.136</v>
      </c>
    </row>
    <row r="1828" spans="1:13">
      <c r="A1828" s="1">
        <f>HYPERLINK("http://www.twitter.com/NathanBLawrence/status/999250035798929408", "999250035798929408")</f>
        <v/>
      </c>
      <c r="B1828" s="2" t="n">
        <v>43243.47625</v>
      </c>
      <c r="C1828" t="n">
        <v>0</v>
      </c>
      <c r="D1828" t="n">
        <v>1018</v>
      </c>
      <c r="E1828" t="s">
        <v>1835</v>
      </c>
      <c r="F1828" t="s"/>
      <c r="G1828" t="s"/>
      <c r="H1828" t="s"/>
      <c r="I1828" t="s"/>
      <c r="J1828" t="n">
        <v>-0.3818</v>
      </c>
      <c r="K1828" t="n">
        <v>0.115</v>
      </c>
      <c r="L1828" t="n">
        <v>0.885</v>
      </c>
      <c r="M1828" t="n">
        <v>0</v>
      </c>
    </row>
    <row r="1829" spans="1:13">
      <c r="A1829" s="1">
        <f>HYPERLINK("http://www.twitter.com/NathanBLawrence/status/999249927694929920", "999249927694929920")</f>
        <v/>
      </c>
      <c r="B1829" s="2" t="n">
        <v>43243.47594907408</v>
      </c>
      <c r="C1829" t="n">
        <v>0</v>
      </c>
      <c r="D1829" t="n">
        <v>651</v>
      </c>
      <c r="E1829" t="s">
        <v>1836</v>
      </c>
      <c r="F1829" t="s"/>
      <c r="G1829" t="s"/>
      <c r="H1829" t="s"/>
      <c r="I1829" t="s"/>
      <c r="J1829" t="n">
        <v>0.2732</v>
      </c>
      <c r="K1829" t="n">
        <v>0</v>
      </c>
      <c r="L1829" t="n">
        <v>0.909</v>
      </c>
      <c r="M1829" t="n">
        <v>0.091</v>
      </c>
    </row>
    <row r="1830" spans="1:13">
      <c r="A1830" s="1">
        <f>HYPERLINK("http://www.twitter.com/NathanBLawrence/status/999249009695973377", "999249009695973377")</f>
        <v/>
      </c>
      <c r="B1830" s="2" t="n">
        <v>43243.47341435185</v>
      </c>
      <c r="C1830" t="n">
        <v>0</v>
      </c>
      <c r="D1830" t="n">
        <v>2</v>
      </c>
      <c r="E1830" t="s">
        <v>1837</v>
      </c>
      <c r="F1830" t="s"/>
      <c r="G1830" t="s"/>
      <c r="H1830" t="s"/>
      <c r="I1830" t="s"/>
      <c r="J1830" t="n">
        <v>-0.3182</v>
      </c>
      <c r="K1830" t="n">
        <v>0.103</v>
      </c>
      <c r="L1830" t="n">
        <v>0.897</v>
      </c>
      <c r="M1830" t="n">
        <v>0</v>
      </c>
    </row>
    <row r="1831" spans="1:13">
      <c r="A1831" s="1">
        <f>HYPERLINK("http://www.twitter.com/NathanBLawrence/status/999248967362850816", "999248967362850816")</f>
        <v/>
      </c>
      <c r="B1831" s="2" t="n">
        <v>43243.47329861111</v>
      </c>
      <c r="C1831" t="n">
        <v>0</v>
      </c>
      <c r="D1831" t="n">
        <v>6</v>
      </c>
      <c r="E1831" t="s">
        <v>1838</v>
      </c>
      <c r="F1831" t="s"/>
      <c r="G1831" t="s"/>
      <c r="H1831" t="s"/>
      <c r="I1831" t="s"/>
      <c r="J1831" t="n">
        <v>0</v>
      </c>
      <c r="K1831" t="n">
        <v>0</v>
      </c>
      <c r="L1831" t="n">
        <v>1</v>
      </c>
      <c r="M1831" t="n">
        <v>0</v>
      </c>
    </row>
    <row r="1832" spans="1:13">
      <c r="A1832" s="1">
        <f>HYPERLINK("http://www.twitter.com/NathanBLawrence/status/999248939328180226", "999248939328180226")</f>
        <v/>
      </c>
      <c r="B1832" s="2" t="n">
        <v>43243.47321759259</v>
      </c>
      <c r="C1832" t="n">
        <v>0</v>
      </c>
      <c r="D1832" t="n">
        <v>2</v>
      </c>
      <c r="E1832" t="s">
        <v>1839</v>
      </c>
      <c r="F1832" t="s"/>
      <c r="G1832" t="s"/>
      <c r="H1832" t="s"/>
      <c r="I1832" t="s"/>
      <c r="J1832" t="n">
        <v>0</v>
      </c>
      <c r="K1832" t="n">
        <v>0</v>
      </c>
      <c r="L1832" t="n">
        <v>1</v>
      </c>
      <c r="M1832" t="n">
        <v>0</v>
      </c>
    </row>
    <row r="1833" spans="1:13">
      <c r="A1833" s="1">
        <f>HYPERLINK("http://www.twitter.com/NathanBLawrence/status/999248891009798145", "999248891009798145")</f>
        <v/>
      </c>
      <c r="B1833" s="2" t="n">
        <v>43243.47309027778</v>
      </c>
      <c r="C1833" t="n">
        <v>0</v>
      </c>
      <c r="D1833" t="n">
        <v>5</v>
      </c>
      <c r="E1833" t="s">
        <v>1840</v>
      </c>
      <c r="F1833">
        <f>HYPERLINK("https://video.twimg.com/ext_tw_video/998639275510972417/pu/vid/1280x720/JKwrLKwE6ze2fLtV.mp4?tag=3", "https://video.twimg.com/ext_tw_video/998639275510972417/pu/vid/1280x720/JKwrLKwE6ze2fLtV.mp4?tag=3")</f>
        <v/>
      </c>
      <c r="G1833" t="s"/>
      <c r="H1833" t="s"/>
      <c r="I1833" t="s"/>
      <c r="J1833" t="n">
        <v>0</v>
      </c>
      <c r="K1833" t="n">
        <v>0</v>
      </c>
      <c r="L1833" t="n">
        <v>1</v>
      </c>
      <c r="M1833" t="n">
        <v>0</v>
      </c>
    </row>
    <row r="1834" spans="1:13">
      <c r="A1834" s="1">
        <f>HYPERLINK("http://www.twitter.com/NathanBLawrence/status/999248875172098048", "999248875172098048")</f>
        <v/>
      </c>
      <c r="B1834" s="2" t="n">
        <v>43243.47304398148</v>
      </c>
      <c r="C1834" t="n">
        <v>0</v>
      </c>
      <c r="D1834" t="n">
        <v>6</v>
      </c>
      <c r="E1834" t="s">
        <v>1841</v>
      </c>
      <c r="F1834">
        <f>HYPERLINK("https://video.twimg.com/ext_tw_video/998216786485985280/pu/vid/720x720/jBVJJZsXpUakAMac.mp4?tag=3", "https://video.twimg.com/ext_tw_video/998216786485985280/pu/vid/720x720/jBVJJZsXpUakAMac.mp4?tag=3")</f>
        <v/>
      </c>
      <c r="G1834" t="s"/>
      <c r="H1834" t="s"/>
      <c r="I1834" t="s"/>
      <c r="J1834" t="n">
        <v>0</v>
      </c>
      <c r="K1834" t="n">
        <v>0</v>
      </c>
      <c r="L1834" t="n">
        <v>1</v>
      </c>
      <c r="M1834" t="n">
        <v>0</v>
      </c>
    </row>
    <row r="1835" spans="1:13">
      <c r="A1835" s="1">
        <f>HYPERLINK("http://www.twitter.com/NathanBLawrence/status/999248852338298880", "999248852338298880")</f>
        <v/>
      </c>
      <c r="B1835" s="2" t="n">
        <v>43243.47298611111</v>
      </c>
      <c r="C1835" t="n">
        <v>0</v>
      </c>
      <c r="D1835" t="n">
        <v>11</v>
      </c>
      <c r="E1835" t="s">
        <v>1842</v>
      </c>
      <c r="F1835">
        <f>HYPERLINK("https://video.twimg.com/ext_tw_video/998065786127138817/pu/vid/720x720/swbIgGXFYawkVM4e.mp4?tag=3", "https://video.twimg.com/ext_tw_video/998065786127138817/pu/vid/720x720/swbIgGXFYawkVM4e.mp4?tag=3")</f>
        <v/>
      </c>
      <c r="G1835" t="s"/>
      <c r="H1835" t="s"/>
      <c r="I1835" t="s"/>
      <c r="J1835" t="n">
        <v>-0.3182</v>
      </c>
      <c r="K1835" t="n">
        <v>0.108</v>
      </c>
      <c r="L1835" t="n">
        <v>0.892</v>
      </c>
      <c r="M1835" t="n">
        <v>0</v>
      </c>
    </row>
    <row r="1836" spans="1:13">
      <c r="A1836" s="1">
        <f>HYPERLINK("http://www.twitter.com/NathanBLawrence/status/999247383564255233", "999247383564255233")</f>
        <v/>
      </c>
      <c r="B1836" s="2" t="n">
        <v>43243.46893518518</v>
      </c>
      <c r="C1836" t="n">
        <v>0</v>
      </c>
      <c r="D1836" t="n">
        <v>86</v>
      </c>
      <c r="E1836" t="s">
        <v>1843</v>
      </c>
      <c r="F1836" t="s"/>
      <c r="G1836" t="s"/>
      <c r="H1836" t="s"/>
      <c r="I1836" t="s"/>
      <c r="J1836" t="n">
        <v>0.908</v>
      </c>
      <c r="K1836" t="n">
        <v>0</v>
      </c>
      <c r="L1836" t="n">
        <v>0.584</v>
      </c>
      <c r="M1836" t="n">
        <v>0.416</v>
      </c>
    </row>
    <row r="1837" spans="1:13">
      <c r="A1837" s="1">
        <f>HYPERLINK("http://www.twitter.com/NathanBLawrence/status/999247298768068608", "999247298768068608")</f>
        <v/>
      </c>
      <c r="B1837" s="2" t="n">
        <v>43243.46869212963</v>
      </c>
      <c r="C1837" t="n">
        <v>0</v>
      </c>
      <c r="D1837" t="n">
        <v>0</v>
      </c>
      <c r="E1837" t="s">
        <v>1844</v>
      </c>
      <c r="F1837" t="s"/>
      <c r="G1837" t="s"/>
      <c r="H1837" t="s"/>
      <c r="I1837" t="s"/>
      <c r="J1837" t="n">
        <v>0.8398</v>
      </c>
      <c r="K1837" t="n">
        <v>0</v>
      </c>
      <c r="L1837" t="n">
        <v>0.6</v>
      </c>
      <c r="M1837" t="n">
        <v>0.4</v>
      </c>
    </row>
    <row r="1838" spans="1:13">
      <c r="A1838" s="1">
        <f>HYPERLINK("http://www.twitter.com/NathanBLawrence/status/999246276410728448", "999246276410728448")</f>
        <v/>
      </c>
      <c r="B1838" s="2" t="n">
        <v>43243.46587962963</v>
      </c>
      <c r="C1838" t="n">
        <v>0</v>
      </c>
      <c r="D1838" t="n">
        <v>0</v>
      </c>
      <c r="E1838" t="s">
        <v>1845</v>
      </c>
      <c r="F1838" t="s"/>
      <c r="G1838" t="s"/>
      <c r="H1838" t="s"/>
      <c r="I1838" t="s"/>
      <c r="J1838" t="n">
        <v>-0.1759</v>
      </c>
      <c r="K1838" t="n">
        <v>0.144</v>
      </c>
      <c r="L1838" t="n">
        <v>0.752</v>
      </c>
      <c r="M1838" t="n">
        <v>0.104</v>
      </c>
    </row>
    <row r="1839" spans="1:13">
      <c r="A1839" s="1">
        <f>HYPERLINK("http://www.twitter.com/NathanBLawrence/status/999245499944325120", "999245499944325120")</f>
        <v/>
      </c>
      <c r="B1839" s="2" t="n">
        <v>43243.46372685185</v>
      </c>
      <c r="C1839" t="n">
        <v>0</v>
      </c>
      <c r="D1839" t="n">
        <v>6</v>
      </c>
      <c r="E1839" t="s">
        <v>1846</v>
      </c>
      <c r="F1839">
        <f>HYPERLINK("http://pbs.twimg.com/media/DdxTuPkVQAAUVwE.jpg", "http://pbs.twimg.com/media/DdxTuPkVQAAUVwE.jpg")</f>
        <v/>
      </c>
      <c r="G1839" t="s"/>
      <c r="H1839" t="s"/>
      <c r="I1839" t="s"/>
      <c r="J1839" t="n">
        <v>-0.6876</v>
      </c>
      <c r="K1839" t="n">
        <v>0.205</v>
      </c>
      <c r="L1839" t="n">
        <v>0.795</v>
      </c>
      <c r="M1839" t="n">
        <v>0</v>
      </c>
    </row>
    <row r="1840" spans="1:13">
      <c r="A1840" s="1">
        <f>HYPERLINK("http://www.twitter.com/NathanBLawrence/status/999155574976729088", "999155574976729088")</f>
        <v/>
      </c>
      <c r="B1840" s="2" t="n">
        <v>43243.21559027778</v>
      </c>
      <c r="C1840" t="n">
        <v>0</v>
      </c>
      <c r="D1840" t="n">
        <v>0</v>
      </c>
      <c r="E1840" t="s">
        <v>1847</v>
      </c>
      <c r="F1840" t="s"/>
      <c r="G1840" t="s"/>
      <c r="H1840" t="s"/>
      <c r="I1840" t="s"/>
      <c r="J1840" t="n">
        <v>0</v>
      </c>
      <c r="K1840" t="n">
        <v>0</v>
      </c>
      <c r="L1840" t="n">
        <v>1</v>
      </c>
      <c r="M1840" t="n">
        <v>0</v>
      </c>
    </row>
    <row r="1841" spans="1:13">
      <c r="A1841" s="1">
        <f>HYPERLINK("http://www.twitter.com/NathanBLawrence/status/999155109241253888", "999155109241253888")</f>
        <v/>
      </c>
      <c r="B1841" s="2" t="n">
        <v>43243.21430555556</v>
      </c>
      <c r="C1841" t="n">
        <v>0</v>
      </c>
      <c r="D1841" t="n">
        <v>0</v>
      </c>
      <c r="E1841" t="s">
        <v>1848</v>
      </c>
      <c r="F1841" t="s"/>
      <c r="G1841" t="s"/>
      <c r="H1841" t="s"/>
      <c r="I1841" t="s"/>
      <c r="J1841" t="n">
        <v>-0.4588</v>
      </c>
      <c r="K1841" t="n">
        <v>0.2</v>
      </c>
      <c r="L1841" t="n">
        <v>0.8</v>
      </c>
      <c r="M1841" t="n">
        <v>0</v>
      </c>
    </row>
    <row r="1842" spans="1:13">
      <c r="A1842" s="1">
        <f>HYPERLINK("http://www.twitter.com/NathanBLawrence/status/999154839316762624", "999154839316762624")</f>
        <v/>
      </c>
      <c r="B1842" s="2" t="n">
        <v>43243.21355324074</v>
      </c>
      <c r="C1842" t="n">
        <v>1</v>
      </c>
      <c r="D1842" t="n">
        <v>1</v>
      </c>
      <c r="E1842" t="s">
        <v>1849</v>
      </c>
      <c r="F1842" t="s"/>
      <c r="G1842" t="s"/>
      <c r="H1842" t="s"/>
      <c r="I1842" t="s"/>
      <c r="J1842" t="n">
        <v>0.8353</v>
      </c>
      <c r="K1842" t="n">
        <v>0</v>
      </c>
      <c r="L1842" t="n">
        <v>0.736</v>
      </c>
      <c r="M1842" t="n">
        <v>0.264</v>
      </c>
    </row>
    <row r="1843" spans="1:13">
      <c r="A1843" s="1">
        <f>HYPERLINK("http://www.twitter.com/NathanBLawrence/status/999153931006685184", "999153931006685184")</f>
        <v/>
      </c>
      <c r="B1843" s="2" t="n">
        <v>43243.21105324074</v>
      </c>
      <c r="C1843" t="n">
        <v>0</v>
      </c>
      <c r="D1843" t="n">
        <v>1</v>
      </c>
      <c r="E1843" t="s">
        <v>1850</v>
      </c>
      <c r="F1843" t="s"/>
      <c r="G1843" t="s"/>
      <c r="H1843" t="s"/>
      <c r="I1843" t="s"/>
      <c r="J1843" t="n">
        <v>-0.2263</v>
      </c>
      <c r="K1843" t="n">
        <v>0.192</v>
      </c>
      <c r="L1843" t="n">
        <v>0.8080000000000001</v>
      </c>
      <c r="M1843" t="n">
        <v>0</v>
      </c>
    </row>
    <row r="1844" spans="1:13">
      <c r="A1844" s="1">
        <f>HYPERLINK("http://www.twitter.com/NathanBLawrence/status/999153763477794816", "999153763477794816")</f>
        <v/>
      </c>
      <c r="B1844" s="2" t="n">
        <v>43243.21059027778</v>
      </c>
      <c r="C1844" t="n">
        <v>0</v>
      </c>
      <c r="D1844" t="n">
        <v>0</v>
      </c>
      <c r="E1844" t="s">
        <v>1851</v>
      </c>
      <c r="F1844" t="s"/>
      <c r="G1844" t="s"/>
      <c r="H1844" t="s"/>
      <c r="I1844" t="s"/>
      <c r="J1844" t="n">
        <v>-0.3612</v>
      </c>
      <c r="K1844" t="n">
        <v>0.093</v>
      </c>
      <c r="L1844" t="n">
        <v>0.853</v>
      </c>
      <c r="M1844" t="n">
        <v>0.054</v>
      </c>
    </row>
    <row r="1845" spans="1:13">
      <c r="A1845" s="1">
        <f>HYPERLINK("http://www.twitter.com/NathanBLawrence/status/999144461551665153", "999144461551665153")</f>
        <v/>
      </c>
      <c r="B1845" s="2" t="n">
        <v>43243.18491898148</v>
      </c>
      <c r="C1845" t="n">
        <v>0</v>
      </c>
      <c r="D1845" t="n">
        <v>25</v>
      </c>
      <c r="E1845" t="s">
        <v>1852</v>
      </c>
      <c r="F1845" t="s"/>
      <c r="G1845" t="s"/>
      <c r="H1845" t="s"/>
      <c r="I1845" t="s"/>
      <c r="J1845" t="n">
        <v>0.0258</v>
      </c>
      <c r="K1845" t="n">
        <v>0.114</v>
      </c>
      <c r="L1845" t="n">
        <v>0.769</v>
      </c>
      <c r="M1845" t="n">
        <v>0.117</v>
      </c>
    </row>
    <row r="1846" spans="1:13">
      <c r="A1846" s="1">
        <f>HYPERLINK("http://www.twitter.com/NathanBLawrence/status/999144338717335552", "999144338717335552")</f>
        <v/>
      </c>
      <c r="B1846" s="2" t="n">
        <v>43243.18458333334</v>
      </c>
      <c r="C1846" t="n">
        <v>0</v>
      </c>
      <c r="D1846" t="n">
        <v>20</v>
      </c>
      <c r="E1846" t="s">
        <v>1853</v>
      </c>
      <c r="F1846" t="s"/>
      <c r="G1846" t="s"/>
      <c r="H1846" t="s"/>
      <c r="I1846" t="s"/>
      <c r="J1846" t="n">
        <v>-0.3818</v>
      </c>
      <c r="K1846" t="n">
        <v>0.106</v>
      </c>
      <c r="L1846" t="n">
        <v>0.894</v>
      </c>
      <c r="M1846" t="n">
        <v>0</v>
      </c>
    </row>
    <row r="1847" spans="1:13">
      <c r="A1847" s="1">
        <f>HYPERLINK("http://www.twitter.com/NathanBLawrence/status/999144036391903233", "999144036391903233")</f>
        <v/>
      </c>
      <c r="B1847" s="2" t="n">
        <v>43243.18375</v>
      </c>
      <c r="C1847" t="n">
        <v>0</v>
      </c>
      <c r="D1847" t="n">
        <v>0</v>
      </c>
      <c r="E1847" t="s">
        <v>1854</v>
      </c>
      <c r="F1847" t="s"/>
      <c r="G1847" t="s"/>
      <c r="H1847" t="s"/>
      <c r="I1847" t="s"/>
      <c r="J1847" t="n">
        <v>0.6239</v>
      </c>
      <c r="K1847" t="n">
        <v>0</v>
      </c>
      <c r="L1847" t="n">
        <v>0.328</v>
      </c>
      <c r="M1847" t="n">
        <v>0.672</v>
      </c>
    </row>
    <row r="1848" spans="1:13">
      <c r="A1848" s="1">
        <f>HYPERLINK("http://www.twitter.com/NathanBLawrence/status/999143907870085120", "999143907870085120")</f>
        <v/>
      </c>
      <c r="B1848" s="2" t="n">
        <v>43243.1833912037</v>
      </c>
      <c r="C1848" t="n">
        <v>0</v>
      </c>
      <c r="D1848" t="n">
        <v>10</v>
      </c>
      <c r="E1848" t="s">
        <v>1855</v>
      </c>
      <c r="F1848" t="s"/>
      <c r="G1848" t="s"/>
      <c r="H1848" t="s"/>
      <c r="I1848" t="s"/>
      <c r="J1848" t="n">
        <v>-0.6808</v>
      </c>
      <c r="K1848" t="n">
        <v>0.18</v>
      </c>
      <c r="L1848" t="n">
        <v>0.82</v>
      </c>
      <c r="M1848" t="n">
        <v>0</v>
      </c>
    </row>
    <row r="1849" spans="1:13">
      <c r="A1849" s="1">
        <f>HYPERLINK("http://www.twitter.com/NathanBLawrence/status/999143868355530752", "999143868355530752")</f>
        <v/>
      </c>
      <c r="B1849" s="2" t="n">
        <v>43243.18328703703</v>
      </c>
      <c r="C1849" t="n">
        <v>0</v>
      </c>
      <c r="D1849" t="n">
        <v>38</v>
      </c>
      <c r="E1849" t="s">
        <v>1856</v>
      </c>
      <c r="F1849" t="s"/>
      <c r="G1849" t="s"/>
      <c r="H1849" t="s"/>
      <c r="I1849" t="s"/>
      <c r="J1849" t="n">
        <v>0.2732</v>
      </c>
      <c r="K1849" t="n">
        <v>0</v>
      </c>
      <c r="L1849" t="n">
        <v>0.877</v>
      </c>
      <c r="M1849" t="n">
        <v>0.123</v>
      </c>
    </row>
    <row r="1850" spans="1:13">
      <c r="A1850" s="1">
        <f>HYPERLINK("http://www.twitter.com/NathanBLawrence/status/999143619058720774", "999143619058720774")</f>
        <v/>
      </c>
      <c r="B1850" s="2" t="n">
        <v>43243.1825925926</v>
      </c>
      <c r="C1850" t="n">
        <v>0</v>
      </c>
      <c r="D1850" t="n">
        <v>6</v>
      </c>
      <c r="E1850" t="s">
        <v>1857</v>
      </c>
      <c r="F1850" t="s"/>
      <c r="G1850" t="s"/>
      <c r="H1850" t="s"/>
      <c r="I1850" t="s"/>
      <c r="J1850" t="n">
        <v>0.4019</v>
      </c>
      <c r="K1850" t="n">
        <v>0</v>
      </c>
      <c r="L1850" t="n">
        <v>0.748</v>
      </c>
      <c r="M1850" t="n">
        <v>0.252</v>
      </c>
    </row>
    <row r="1851" spans="1:13">
      <c r="A1851" s="1">
        <f>HYPERLINK("http://www.twitter.com/NathanBLawrence/status/999142790696226816", "999142790696226816")</f>
        <v/>
      </c>
      <c r="B1851" s="2" t="n">
        <v>43243.1803125</v>
      </c>
      <c r="C1851" t="n">
        <v>0</v>
      </c>
      <c r="D1851" t="n">
        <v>1</v>
      </c>
      <c r="E1851" t="s">
        <v>1858</v>
      </c>
      <c r="F1851" t="s"/>
      <c r="G1851" t="s"/>
      <c r="H1851" t="s"/>
      <c r="I1851" t="s"/>
      <c r="J1851" t="n">
        <v>0.128</v>
      </c>
      <c r="K1851" t="n">
        <v>0.202</v>
      </c>
      <c r="L1851" t="n">
        <v>0.55</v>
      </c>
      <c r="M1851" t="n">
        <v>0.248</v>
      </c>
    </row>
    <row r="1852" spans="1:13">
      <c r="A1852" s="1">
        <f>HYPERLINK("http://www.twitter.com/NathanBLawrence/status/999142697578455040", "999142697578455040")</f>
        <v/>
      </c>
      <c r="B1852" s="2" t="n">
        <v>43243.18004629629</v>
      </c>
      <c r="C1852" t="n">
        <v>0</v>
      </c>
      <c r="D1852" t="n">
        <v>6</v>
      </c>
      <c r="E1852" t="s">
        <v>1859</v>
      </c>
      <c r="F1852" t="s"/>
      <c r="G1852" t="s"/>
      <c r="H1852" t="s"/>
      <c r="I1852" t="s"/>
      <c r="J1852" t="n">
        <v>0</v>
      </c>
      <c r="K1852" t="n">
        <v>0</v>
      </c>
      <c r="L1852" t="n">
        <v>1</v>
      </c>
      <c r="M1852" t="n">
        <v>0</v>
      </c>
    </row>
    <row r="1853" spans="1:13">
      <c r="A1853" s="1">
        <f>HYPERLINK("http://www.twitter.com/NathanBLawrence/status/999142642515697664", "999142642515697664")</f>
        <v/>
      </c>
      <c r="B1853" s="2" t="n">
        <v>43243.17989583333</v>
      </c>
      <c r="C1853" t="n">
        <v>0</v>
      </c>
      <c r="D1853" t="n">
        <v>25</v>
      </c>
      <c r="E1853" t="s">
        <v>1860</v>
      </c>
      <c r="F1853" t="s"/>
      <c r="G1853" t="s"/>
      <c r="H1853" t="s"/>
      <c r="I1853" t="s"/>
      <c r="J1853" t="n">
        <v>0.5719</v>
      </c>
      <c r="K1853" t="n">
        <v>0</v>
      </c>
      <c r="L1853" t="n">
        <v>0.824</v>
      </c>
      <c r="M1853" t="n">
        <v>0.176</v>
      </c>
    </row>
    <row r="1854" spans="1:13">
      <c r="A1854" s="1">
        <f>HYPERLINK("http://www.twitter.com/NathanBLawrence/status/999142622424858624", "999142622424858624")</f>
        <v/>
      </c>
      <c r="B1854" s="2" t="n">
        <v>43243.17984953704</v>
      </c>
      <c r="C1854" t="n">
        <v>0</v>
      </c>
      <c r="D1854" t="n">
        <v>21</v>
      </c>
      <c r="E1854" t="s">
        <v>1861</v>
      </c>
      <c r="F1854" t="s"/>
      <c r="G1854" t="s"/>
      <c r="H1854" t="s"/>
      <c r="I1854" t="s"/>
      <c r="J1854" t="n">
        <v>0.34</v>
      </c>
      <c r="K1854" t="n">
        <v>0</v>
      </c>
      <c r="L1854" t="n">
        <v>0.897</v>
      </c>
      <c r="M1854" t="n">
        <v>0.103</v>
      </c>
    </row>
    <row r="1855" spans="1:13">
      <c r="A1855" s="1">
        <f>HYPERLINK("http://www.twitter.com/NathanBLawrence/status/999142561116762112", "999142561116762112")</f>
        <v/>
      </c>
      <c r="B1855" s="2" t="n">
        <v>43243.17967592592</v>
      </c>
      <c r="C1855" t="n">
        <v>0</v>
      </c>
      <c r="D1855" t="n">
        <v>2</v>
      </c>
      <c r="E1855" t="s">
        <v>1862</v>
      </c>
      <c r="F1855" t="s"/>
      <c r="G1855" t="s"/>
      <c r="H1855" t="s"/>
      <c r="I1855" t="s"/>
      <c r="J1855" t="n">
        <v>0</v>
      </c>
      <c r="K1855" t="n">
        <v>0</v>
      </c>
      <c r="L1855" t="n">
        <v>1</v>
      </c>
      <c r="M1855" t="n">
        <v>0</v>
      </c>
    </row>
    <row r="1856" spans="1:13">
      <c r="A1856" s="1">
        <f>HYPERLINK("http://www.twitter.com/NathanBLawrence/status/999142522013315073", "999142522013315073")</f>
        <v/>
      </c>
      <c r="B1856" s="2" t="n">
        <v>43243.17957175926</v>
      </c>
      <c r="C1856" t="n">
        <v>0</v>
      </c>
      <c r="D1856" t="n">
        <v>15</v>
      </c>
      <c r="E1856" t="s">
        <v>1863</v>
      </c>
      <c r="F1856" t="s"/>
      <c r="G1856" t="s"/>
      <c r="H1856" t="s"/>
      <c r="I1856" t="s"/>
      <c r="J1856" t="n">
        <v>0.0516</v>
      </c>
      <c r="K1856" t="n">
        <v>0.097</v>
      </c>
      <c r="L1856" t="n">
        <v>0.798</v>
      </c>
      <c r="M1856" t="n">
        <v>0.105</v>
      </c>
    </row>
    <row r="1857" spans="1:13">
      <c r="A1857" s="1">
        <f>HYPERLINK("http://www.twitter.com/NathanBLawrence/status/999142428610367489", "999142428610367489")</f>
        <v/>
      </c>
      <c r="B1857" s="2" t="n">
        <v>43243.17930555555</v>
      </c>
      <c r="C1857" t="n">
        <v>0</v>
      </c>
      <c r="D1857" t="n">
        <v>2</v>
      </c>
      <c r="E1857" t="s">
        <v>1864</v>
      </c>
      <c r="F1857" t="s"/>
      <c r="G1857" t="s"/>
      <c r="H1857" t="s"/>
      <c r="I1857" t="s"/>
      <c r="J1857" t="n">
        <v>0.6705</v>
      </c>
      <c r="K1857" t="n">
        <v>0</v>
      </c>
      <c r="L1857" t="n">
        <v>0.766</v>
      </c>
      <c r="M1857" t="n">
        <v>0.234</v>
      </c>
    </row>
    <row r="1858" spans="1:13">
      <c r="A1858" s="1">
        <f>HYPERLINK("http://www.twitter.com/NathanBLawrence/status/999142240667742208", "999142240667742208")</f>
        <v/>
      </c>
      <c r="B1858" s="2" t="n">
        <v>43243.17878472222</v>
      </c>
      <c r="C1858" t="n">
        <v>0</v>
      </c>
      <c r="D1858" t="n">
        <v>20</v>
      </c>
      <c r="E1858" t="s">
        <v>1865</v>
      </c>
      <c r="F1858" t="s"/>
      <c r="G1858" t="s"/>
      <c r="H1858" t="s"/>
      <c r="I1858" t="s"/>
      <c r="J1858" t="n">
        <v>0</v>
      </c>
      <c r="K1858" t="n">
        <v>0</v>
      </c>
      <c r="L1858" t="n">
        <v>1</v>
      </c>
      <c r="M1858" t="n">
        <v>0</v>
      </c>
    </row>
    <row r="1859" spans="1:13">
      <c r="A1859" s="1">
        <f>HYPERLINK("http://www.twitter.com/NathanBLawrence/status/999142057569669120", "999142057569669120")</f>
        <v/>
      </c>
      <c r="B1859" s="2" t="n">
        <v>43243.17828703704</v>
      </c>
      <c r="C1859" t="n">
        <v>0</v>
      </c>
      <c r="D1859" t="n">
        <v>24</v>
      </c>
      <c r="E1859" t="s">
        <v>1866</v>
      </c>
      <c r="F1859" t="s"/>
      <c r="G1859" t="s"/>
      <c r="H1859" t="s"/>
      <c r="I1859" t="s"/>
      <c r="J1859" t="n">
        <v>0.4926</v>
      </c>
      <c r="K1859" t="n">
        <v>0.054</v>
      </c>
      <c r="L1859" t="n">
        <v>0.8080000000000001</v>
      </c>
      <c r="M1859" t="n">
        <v>0.138</v>
      </c>
    </row>
    <row r="1860" spans="1:13">
      <c r="A1860" s="1">
        <f>HYPERLINK("http://www.twitter.com/NathanBLawrence/status/999141984412618753", "999141984412618753")</f>
        <v/>
      </c>
      <c r="B1860" s="2" t="n">
        <v>43243.17807870371</v>
      </c>
      <c r="C1860" t="n">
        <v>0</v>
      </c>
      <c r="D1860" t="n">
        <v>21</v>
      </c>
      <c r="E1860" t="s">
        <v>1867</v>
      </c>
      <c r="F1860">
        <f>HYPERLINK("http://pbs.twimg.com/media/DdRS4JJWsAAuP3O.jpg", "http://pbs.twimg.com/media/DdRS4JJWsAAuP3O.jpg")</f>
        <v/>
      </c>
      <c r="G1860" t="s"/>
      <c r="H1860" t="s"/>
      <c r="I1860" t="s"/>
      <c r="J1860" t="n">
        <v>0.6249</v>
      </c>
      <c r="K1860" t="n">
        <v>0</v>
      </c>
      <c r="L1860" t="n">
        <v>0.854</v>
      </c>
      <c r="M1860" t="n">
        <v>0.146</v>
      </c>
    </row>
    <row r="1861" spans="1:13">
      <c r="A1861" s="1">
        <f>HYPERLINK("http://www.twitter.com/NathanBLawrence/status/999141935326597120", "999141935326597120")</f>
        <v/>
      </c>
      <c r="B1861" s="2" t="n">
        <v>43243.17795138889</v>
      </c>
      <c r="C1861" t="n">
        <v>0</v>
      </c>
      <c r="D1861" t="n">
        <v>62</v>
      </c>
      <c r="E1861" t="s">
        <v>1868</v>
      </c>
      <c r="F1861">
        <f>HYPERLINK("https://video.twimg.com/ext_tw_video/998986915066998785/pu/vid/318x180/H36riKbuR6ROudNs.mp4?tag=3", "https://video.twimg.com/ext_tw_video/998986915066998785/pu/vid/318x180/H36riKbuR6ROudNs.mp4?tag=3")</f>
        <v/>
      </c>
      <c r="G1861" t="s"/>
      <c r="H1861" t="s"/>
      <c r="I1861" t="s"/>
      <c r="J1861" t="n">
        <v>0.6597</v>
      </c>
      <c r="K1861" t="n">
        <v>0.092</v>
      </c>
      <c r="L1861" t="n">
        <v>0.63</v>
      </c>
      <c r="M1861" t="n">
        <v>0.277</v>
      </c>
    </row>
    <row r="1862" spans="1:13">
      <c r="A1862" s="1">
        <f>HYPERLINK("http://www.twitter.com/NathanBLawrence/status/999141267077509121", "999141267077509121")</f>
        <v/>
      </c>
      <c r="B1862" s="2" t="n">
        <v>43243.17609953704</v>
      </c>
      <c r="C1862" t="n">
        <v>0</v>
      </c>
      <c r="D1862" t="n">
        <v>25</v>
      </c>
      <c r="E1862" t="s">
        <v>1869</v>
      </c>
      <c r="F1862" t="s"/>
      <c r="G1862" t="s"/>
      <c r="H1862" t="s"/>
      <c r="I1862" t="s"/>
      <c r="J1862" t="n">
        <v>0.4648</v>
      </c>
      <c r="K1862" t="n">
        <v>0</v>
      </c>
      <c r="L1862" t="n">
        <v>0.856</v>
      </c>
      <c r="M1862" t="n">
        <v>0.144</v>
      </c>
    </row>
    <row r="1863" spans="1:13">
      <c r="A1863" s="1">
        <f>HYPERLINK("http://www.twitter.com/NathanBLawrence/status/999141129558855680", "999141129558855680")</f>
        <v/>
      </c>
      <c r="B1863" s="2" t="n">
        <v>43243.17572916667</v>
      </c>
      <c r="C1863" t="n">
        <v>0</v>
      </c>
      <c r="D1863" t="n">
        <v>734</v>
      </c>
      <c r="E1863" t="s">
        <v>1870</v>
      </c>
      <c r="F1863" t="s"/>
      <c r="G1863" t="s"/>
      <c r="H1863" t="s"/>
      <c r="I1863" t="s"/>
      <c r="J1863" t="n">
        <v>-0.3182</v>
      </c>
      <c r="K1863" t="n">
        <v>0.08699999999999999</v>
      </c>
      <c r="L1863" t="n">
        <v>0.913</v>
      </c>
      <c r="M1863" t="n">
        <v>0</v>
      </c>
    </row>
    <row r="1864" spans="1:13">
      <c r="A1864" s="1">
        <f>HYPERLINK("http://www.twitter.com/NathanBLawrence/status/999140962910769152", "999140962910769152")</f>
        <v/>
      </c>
      <c r="B1864" s="2" t="n">
        <v>43243.1752662037</v>
      </c>
      <c r="C1864" t="n">
        <v>0</v>
      </c>
      <c r="D1864" t="n">
        <v>219</v>
      </c>
      <c r="E1864" t="s">
        <v>1871</v>
      </c>
      <c r="F1864" t="s"/>
      <c r="G1864" t="s"/>
      <c r="H1864" t="s"/>
      <c r="I1864" t="s"/>
      <c r="J1864" t="n">
        <v>0</v>
      </c>
      <c r="K1864" t="n">
        <v>0</v>
      </c>
      <c r="L1864" t="n">
        <v>1</v>
      </c>
      <c r="M1864" t="n">
        <v>0</v>
      </c>
    </row>
    <row r="1865" spans="1:13">
      <c r="A1865" s="1">
        <f>HYPERLINK("http://www.twitter.com/NathanBLawrence/status/999140892924575746", "999140892924575746")</f>
        <v/>
      </c>
      <c r="B1865" s="2" t="n">
        <v>43243.17506944444</v>
      </c>
      <c r="C1865" t="n">
        <v>0</v>
      </c>
      <c r="D1865" t="n">
        <v>1228</v>
      </c>
      <c r="E1865" t="s">
        <v>1872</v>
      </c>
      <c r="F1865" t="s"/>
      <c r="G1865" t="s"/>
      <c r="H1865" t="s"/>
      <c r="I1865" t="s"/>
      <c r="J1865" t="n">
        <v>0</v>
      </c>
      <c r="K1865" t="n">
        <v>0</v>
      </c>
      <c r="L1865" t="n">
        <v>1</v>
      </c>
      <c r="M1865" t="n">
        <v>0</v>
      </c>
    </row>
    <row r="1866" spans="1:13">
      <c r="A1866" s="1">
        <f>HYPERLINK("http://www.twitter.com/NathanBLawrence/status/999140859085033473", "999140859085033473")</f>
        <v/>
      </c>
      <c r="B1866" s="2" t="n">
        <v>43243.17497685185</v>
      </c>
      <c r="C1866" t="n">
        <v>0</v>
      </c>
      <c r="D1866" t="n">
        <v>158</v>
      </c>
      <c r="E1866" t="s">
        <v>1873</v>
      </c>
      <c r="F1866" t="s"/>
      <c r="G1866" t="s"/>
      <c r="H1866" t="s"/>
      <c r="I1866" t="s"/>
      <c r="J1866" t="n">
        <v>0</v>
      </c>
      <c r="K1866" t="n">
        <v>0</v>
      </c>
      <c r="L1866" t="n">
        <v>1</v>
      </c>
      <c r="M1866" t="n">
        <v>0</v>
      </c>
    </row>
    <row r="1867" spans="1:13">
      <c r="A1867" s="1">
        <f>HYPERLINK("http://www.twitter.com/NathanBLawrence/status/999140720643538944", "999140720643538944")</f>
        <v/>
      </c>
      <c r="B1867" s="2" t="n">
        <v>43243.17459490741</v>
      </c>
      <c r="C1867" t="n">
        <v>0</v>
      </c>
      <c r="D1867" t="n">
        <v>0</v>
      </c>
      <c r="E1867" t="s">
        <v>1874</v>
      </c>
      <c r="F1867" t="s"/>
      <c r="G1867" t="s"/>
      <c r="H1867" t="s"/>
      <c r="I1867" t="s"/>
      <c r="J1867" t="n">
        <v>-0.4051</v>
      </c>
      <c r="K1867" t="n">
        <v>0.229</v>
      </c>
      <c r="L1867" t="n">
        <v>0.646</v>
      </c>
      <c r="M1867" t="n">
        <v>0.125</v>
      </c>
    </row>
    <row r="1868" spans="1:13">
      <c r="A1868" s="1">
        <f>HYPERLINK("http://www.twitter.com/NathanBLawrence/status/999139794126065665", "999139794126065665")</f>
        <v/>
      </c>
      <c r="B1868" s="2" t="n">
        <v>43243.17203703704</v>
      </c>
      <c r="C1868" t="n">
        <v>0</v>
      </c>
      <c r="D1868" t="n">
        <v>111</v>
      </c>
      <c r="E1868" t="s">
        <v>1875</v>
      </c>
      <c r="F1868" t="s"/>
      <c r="G1868" t="s"/>
      <c r="H1868" t="s"/>
      <c r="I1868" t="s"/>
      <c r="J1868" t="n">
        <v>0.6369</v>
      </c>
      <c r="K1868" t="n">
        <v>0</v>
      </c>
      <c r="L1868" t="n">
        <v>0.679</v>
      </c>
      <c r="M1868" t="n">
        <v>0.321</v>
      </c>
    </row>
    <row r="1869" spans="1:13">
      <c r="A1869" s="1">
        <f>HYPERLINK("http://www.twitter.com/NathanBLawrence/status/999139760055734272", "999139760055734272")</f>
        <v/>
      </c>
      <c r="B1869" s="2" t="n">
        <v>43243.17194444445</v>
      </c>
      <c r="C1869" t="n">
        <v>0</v>
      </c>
      <c r="D1869" t="n">
        <v>132</v>
      </c>
      <c r="E1869" t="s">
        <v>1876</v>
      </c>
      <c r="F1869">
        <f>HYPERLINK("http://pbs.twimg.com/media/Dd1ulAaUQAAtCZ7.jpg", "http://pbs.twimg.com/media/Dd1ulAaUQAAtCZ7.jpg")</f>
        <v/>
      </c>
      <c r="G1869" t="s"/>
      <c r="H1869" t="s"/>
      <c r="I1869" t="s"/>
      <c r="J1869" t="n">
        <v>0.5562</v>
      </c>
      <c r="K1869" t="n">
        <v>0</v>
      </c>
      <c r="L1869" t="n">
        <v>0.8169999999999999</v>
      </c>
      <c r="M1869" t="n">
        <v>0.183</v>
      </c>
    </row>
    <row r="1870" spans="1:13">
      <c r="A1870" s="1">
        <f>HYPERLINK("http://www.twitter.com/NathanBLawrence/status/999139725461123072", "999139725461123072")</f>
        <v/>
      </c>
      <c r="B1870" s="2" t="n">
        <v>43243.17185185185</v>
      </c>
      <c r="C1870" t="n">
        <v>0</v>
      </c>
      <c r="D1870" t="n">
        <v>74</v>
      </c>
      <c r="E1870" t="s">
        <v>1877</v>
      </c>
      <c r="F1870">
        <f>HYPERLINK("http://pbs.twimg.com/media/Dd1wUNhV4AADXiO.jpg", "http://pbs.twimg.com/media/Dd1wUNhV4AADXiO.jpg")</f>
        <v/>
      </c>
      <c r="G1870" t="s"/>
      <c r="H1870" t="s"/>
      <c r="I1870" t="s"/>
      <c r="J1870" t="n">
        <v>0.5423</v>
      </c>
      <c r="K1870" t="n">
        <v>0</v>
      </c>
      <c r="L1870" t="n">
        <v>0.759</v>
      </c>
      <c r="M1870" t="n">
        <v>0.241</v>
      </c>
    </row>
    <row r="1871" spans="1:13">
      <c r="A1871" s="1">
        <f>HYPERLINK("http://www.twitter.com/NathanBLawrence/status/999139683400605696", "999139683400605696")</f>
        <v/>
      </c>
      <c r="B1871" s="2" t="n">
        <v>43243.17173611111</v>
      </c>
      <c r="C1871" t="n">
        <v>0</v>
      </c>
      <c r="D1871" t="n">
        <v>216</v>
      </c>
      <c r="E1871" t="s">
        <v>1878</v>
      </c>
      <c r="F1871" t="s"/>
      <c r="G1871" t="s"/>
      <c r="H1871" t="s"/>
      <c r="I1871" t="s"/>
      <c r="J1871" t="n">
        <v>0.6997</v>
      </c>
      <c r="K1871" t="n">
        <v>0</v>
      </c>
      <c r="L1871" t="n">
        <v>0.775</v>
      </c>
      <c r="M1871" t="n">
        <v>0.225</v>
      </c>
    </row>
    <row r="1872" spans="1:13">
      <c r="A1872" s="1">
        <f>HYPERLINK("http://www.twitter.com/NathanBLawrence/status/999139544724361218", "999139544724361218")</f>
        <v/>
      </c>
      <c r="B1872" s="2" t="n">
        <v>43243.17135416667</v>
      </c>
      <c r="C1872" t="n">
        <v>0</v>
      </c>
      <c r="D1872" t="n">
        <v>281</v>
      </c>
      <c r="E1872" t="s">
        <v>1879</v>
      </c>
      <c r="F1872">
        <f>HYPERLINK("http://pbs.twimg.com/media/Dd11hDkU0AAlsSt.jpg", "http://pbs.twimg.com/media/Dd11hDkU0AAlsSt.jpg")</f>
        <v/>
      </c>
      <c r="G1872" t="s"/>
      <c r="H1872" t="s"/>
      <c r="I1872" t="s"/>
      <c r="J1872" t="n">
        <v>0</v>
      </c>
      <c r="K1872" t="n">
        <v>0</v>
      </c>
      <c r="L1872" t="n">
        <v>1</v>
      </c>
      <c r="M1872" t="n">
        <v>0</v>
      </c>
    </row>
    <row r="1873" spans="1:13">
      <c r="A1873" s="1">
        <f>HYPERLINK("http://www.twitter.com/NathanBLawrence/status/999139497811107841", "999139497811107841")</f>
        <v/>
      </c>
      <c r="B1873" s="2" t="n">
        <v>43243.17122685185</v>
      </c>
      <c r="C1873" t="n">
        <v>0</v>
      </c>
      <c r="D1873" t="n">
        <v>156</v>
      </c>
      <c r="E1873" t="s">
        <v>1880</v>
      </c>
      <c r="F1873">
        <f>HYPERLINK("http://pbs.twimg.com/media/Dd113_zU8AA1aJ6.jpg", "http://pbs.twimg.com/media/Dd113_zU8AA1aJ6.jpg")</f>
        <v/>
      </c>
      <c r="G1873" t="s"/>
      <c r="H1873" t="s"/>
      <c r="I1873" t="s"/>
      <c r="J1873" t="n">
        <v>0.2263</v>
      </c>
      <c r="K1873" t="n">
        <v>0</v>
      </c>
      <c r="L1873" t="n">
        <v>0.881</v>
      </c>
      <c r="M1873" t="n">
        <v>0.119</v>
      </c>
    </row>
    <row r="1874" spans="1:13">
      <c r="A1874" s="1">
        <f>HYPERLINK("http://www.twitter.com/NathanBLawrence/status/999139467649744897", "999139467649744897")</f>
        <v/>
      </c>
      <c r="B1874" s="2" t="n">
        <v>43243.17113425926</v>
      </c>
      <c r="C1874" t="n">
        <v>0</v>
      </c>
      <c r="D1874" t="n">
        <v>266</v>
      </c>
      <c r="E1874" t="s">
        <v>1881</v>
      </c>
      <c r="F1874" t="s"/>
      <c r="G1874" t="s"/>
      <c r="H1874" t="s"/>
      <c r="I1874" t="s"/>
      <c r="J1874" t="n">
        <v>0.9217</v>
      </c>
      <c r="K1874" t="n">
        <v>0</v>
      </c>
      <c r="L1874" t="n">
        <v>0.572</v>
      </c>
      <c r="M1874" t="n">
        <v>0.428</v>
      </c>
    </row>
    <row r="1875" spans="1:13">
      <c r="A1875" s="1">
        <f>HYPERLINK("http://www.twitter.com/NathanBLawrence/status/999139430823858176", "999139430823858176")</f>
        <v/>
      </c>
      <c r="B1875" s="2" t="n">
        <v>43243.17104166667</v>
      </c>
      <c r="C1875" t="n">
        <v>0</v>
      </c>
      <c r="D1875" t="n">
        <v>77</v>
      </c>
      <c r="E1875" t="s">
        <v>1882</v>
      </c>
      <c r="F1875">
        <f>HYPERLINK("http://pbs.twimg.com/media/Dd2G4FrV0AAlzTP.jpg", "http://pbs.twimg.com/media/Dd2G4FrV0AAlzTP.jpg")</f>
        <v/>
      </c>
      <c r="G1875" t="s"/>
      <c r="H1875" t="s"/>
      <c r="I1875" t="s"/>
      <c r="J1875" t="n">
        <v>0.8519</v>
      </c>
      <c r="K1875" t="n">
        <v>0</v>
      </c>
      <c r="L1875" t="n">
        <v>0.632</v>
      </c>
      <c r="M1875" t="n">
        <v>0.368</v>
      </c>
    </row>
    <row r="1876" spans="1:13">
      <c r="A1876" s="1">
        <f>HYPERLINK("http://www.twitter.com/NathanBLawrence/status/999139385240117248", "999139385240117248")</f>
        <v/>
      </c>
      <c r="B1876" s="2" t="n">
        <v>43243.17091435185</v>
      </c>
      <c r="C1876" t="n">
        <v>0</v>
      </c>
      <c r="D1876" t="n">
        <v>171</v>
      </c>
      <c r="E1876" t="s">
        <v>1883</v>
      </c>
      <c r="F1876">
        <f>HYPERLINK("http://pbs.twimg.com/media/Dd2IcuCVAAE8eBV.jpg", "http://pbs.twimg.com/media/Dd2IcuCVAAE8eBV.jpg")</f>
        <v/>
      </c>
      <c r="G1876" t="s"/>
      <c r="H1876" t="s"/>
      <c r="I1876" t="s"/>
      <c r="J1876" t="n">
        <v>0.4404</v>
      </c>
      <c r="K1876" t="n">
        <v>0</v>
      </c>
      <c r="L1876" t="n">
        <v>0.873</v>
      </c>
      <c r="M1876" t="n">
        <v>0.127</v>
      </c>
    </row>
    <row r="1877" spans="1:13">
      <c r="A1877" s="1">
        <f>HYPERLINK("http://www.twitter.com/NathanBLawrence/status/999139304411664384", "999139304411664384")</f>
        <v/>
      </c>
      <c r="B1877" s="2" t="n">
        <v>43243.17068287037</v>
      </c>
      <c r="C1877" t="n">
        <v>0</v>
      </c>
      <c r="D1877" t="n">
        <v>52</v>
      </c>
      <c r="E1877" t="s">
        <v>1884</v>
      </c>
      <c r="F1877" t="s"/>
      <c r="G1877" t="s"/>
      <c r="H1877" t="s"/>
      <c r="I1877" t="s"/>
      <c r="J1877" t="n">
        <v>0.2716</v>
      </c>
      <c r="K1877" t="n">
        <v>0</v>
      </c>
      <c r="L1877" t="n">
        <v>0.861</v>
      </c>
      <c r="M1877" t="n">
        <v>0.139</v>
      </c>
    </row>
    <row r="1878" spans="1:13">
      <c r="A1878" s="1">
        <f>HYPERLINK("http://www.twitter.com/NathanBLawrence/status/999139264708464641", "999139264708464641")</f>
        <v/>
      </c>
      <c r="B1878" s="2" t="n">
        <v>43243.17057870371</v>
      </c>
      <c r="C1878" t="n">
        <v>0</v>
      </c>
      <c r="D1878" t="n">
        <v>99</v>
      </c>
      <c r="E1878" t="s">
        <v>1885</v>
      </c>
      <c r="F1878" t="s"/>
      <c r="G1878" t="s"/>
      <c r="H1878" t="s"/>
      <c r="I1878" t="s"/>
      <c r="J1878" t="n">
        <v>0.4939</v>
      </c>
      <c r="K1878" t="n">
        <v>0</v>
      </c>
      <c r="L1878" t="n">
        <v>0.873</v>
      </c>
      <c r="M1878" t="n">
        <v>0.127</v>
      </c>
    </row>
    <row r="1879" spans="1:13">
      <c r="A1879" s="1">
        <f>HYPERLINK("http://www.twitter.com/NathanBLawrence/status/999139203110899712", "999139203110899712")</f>
        <v/>
      </c>
      <c r="B1879" s="2" t="n">
        <v>43243.17040509259</v>
      </c>
      <c r="C1879" t="n">
        <v>0</v>
      </c>
      <c r="D1879" t="n">
        <v>2327</v>
      </c>
      <c r="E1879" t="s">
        <v>1886</v>
      </c>
      <c r="F1879" t="s"/>
      <c r="G1879" t="s"/>
      <c r="H1879" t="s"/>
      <c r="I1879" t="s"/>
      <c r="J1879" t="n">
        <v>0.3182</v>
      </c>
      <c r="K1879" t="n">
        <v>0.112</v>
      </c>
      <c r="L1879" t="n">
        <v>0.723</v>
      </c>
      <c r="M1879" t="n">
        <v>0.165</v>
      </c>
    </row>
    <row r="1880" spans="1:13">
      <c r="A1880" s="1">
        <f>HYPERLINK("http://www.twitter.com/NathanBLawrence/status/999138728877707264", "999138728877707264")</f>
        <v/>
      </c>
      <c r="B1880" s="2" t="n">
        <v>43243.16909722222</v>
      </c>
      <c r="C1880" t="n">
        <v>0</v>
      </c>
      <c r="D1880" t="n">
        <v>193</v>
      </c>
      <c r="E1880" t="s">
        <v>1887</v>
      </c>
      <c r="F1880" t="s"/>
      <c r="G1880" t="s"/>
      <c r="H1880" t="s"/>
      <c r="I1880" t="s"/>
      <c r="J1880" t="n">
        <v>-0.128</v>
      </c>
      <c r="K1880" t="n">
        <v>0.184</v>
      </c>
      <c r="L1880" t="n">
        <v>0.612</v>
      </c>
      <c r="M1880" t="n">
        <v>0.204</v>
      </c>
    </row>
    <row r="1881" spans="1:13">
      <c r="A1881" s="1">
        <f>HYPERLINK("http://www.twitter.com/NathanBLawrence/status/999138707801243649", "999138707801243649")</f>
        <v/>
      </c>
      <c r="B1881" s="2" t="n">
        <v>43243.16903935185</v>
      </c>
      <c r="C1881" t="n">
        <v>0</v>
      </c>
      <c r="D1881" t="n">
        <v>2477</v>
      </c>
      <c r="E1881" t="s">
        <v>1888</v>
      </c>
      <c r="F1881" t="s"/>
      <c r="G1881" t="s"/>
      <c r="H1881" t="s"/>
      <c r="I1881" t="s"/>
      <c r="J1881" t="n">
        <v>-0.5266999999999999</v>
      </c>
      <c r="K1881" t="n">
        <v>0.134</v>
      </c>
      <c r="L1881" t="n">
        <v>0.866</v>
      </c>
      <c r="M1881" t="n">
        <v>0</v>
      </c>
    </row>
    <row r="1882" spans="1:13">
      <c r="A1882" s="1">
        <f>HYPERLINK("http://www.twitter.com/NathanBLawrence/status/999138627014799360", "999138627014799360")</f>
        <v/>
      </c>
      <c r="B1882" s="2" t="n">
        <v>43243.16881944444</v>
      </c>
      <c r="C1882" t="n">
        <v>0</v>
      </c>
      <c r="D1882" t="n">
        <v>24284</v>
      </c>
      <c r="E1882" t="s">
        <v>1889</v>
      </c>
      <c r="F1882" t="s"/>
      <c r="G1882" t="s"/>
      <c r="H1882" t="s"/>
      <c r="I1882" t="s"/>
      <c r="J1882" t="n">
        <v>0</v>
      </c>
      <c r="K1882" t="n">
        <v>0</v>
      </c>
      <c r="L1882" t="n">
        <v>1</v>
      </c>
      <c r="M1882" t="n">
        <v>0</v>
      </c>
    </row>
    <row r="1883" spans="1:13">
      <c r="A1883" s="1">
        <f>HYPERLINK("http://www.twitter.com/NathanBLawrence/status/999138540696035330", "999138540696035330")</f>
        <v/>
      </c>
      <c r="B1883" s="2" t="n">
        <v>43243.16857638889</v>
      </c>
      <c r="C1883" t="n">
        <v>0</v>
      </c>
      <c r="D1883" t="n">
        <v>53</v>
      </c>
      <c r="E1883" t="s">
        <v>1890</v>
      </c>
      <c r="F1883">
        <f>HYPERLINK("http://pbs.twimg.com/media/Dd1OSX0V0AA7CSl.jpg", "http://pbs.twimg.com/media/Dd1OSX0V0AA7CSl.jpg")</f>
        <v/>
      </c>
      <c r="G1883" t="s"/>
      <c r="H1883" t="s"/>
      <c r="I1883" t="s"/>
      <c r="J1883" t="n">
        <v>0</v>
      </c>
      <c r="K1883" t="n">
        <v>0</v>
      </c>
      <c r="L1883" t="n">
        <v>1</v>
      </c>
      <c r="M1883" t="n">
        <v>0</v>
      </c>
    </row>
    <row r="1884" spans="1:13">
      <c r="A1884" s="1">
        <f>HYPERLINK("http://www.twitter.com/NathanBLawrence/status/999138427546296320", "999138427546296320")</f>
        <v/>
      </c>
      <c r="B1884" s="2" t="n">
        <v>43243.16826388889</v>
      </c>
      <c r="C1884" t="n">
        <v>0</v>
      </c>
      <c r="D1884" t="n">
        <v>2</v>
      </c>
      <c r="E1884" t="s">
        <v>1891</v>
      </c>
      <c r="F1884" t="s"/>
      <c r="G1884" t="s"/>
      <c r="H1884" t="s"/>
      <c r="I1884" t="s"/>
      <c r="J1884" t="n">
        <v>0.5707</v>
      </c>
      <c r="K1884" t="n">
        <v>0</v>
      </c>
      <c r="L1884" t="n">
        <v>0.655</v>
      </c>
      <c r="M1884" t="n">
        <v>0.345</v>
      </c>
    </row>
    <row r="1885" spans="1:13">
      <c r="A1885" s="1">
        <f>HYPERLINK("http://www.twitter.com/NathanBLawrence/status/999138398270042112", "999138398270042112")</f>
        <v/>
      </c>
      <c r="B1885" s="2" t="n">
        <v>43243.16818287037</v>
      </c>
      <c r="C1885" t="n">
        <v>0</v>
      </c>
      <c r="D1885" t="n">
        <v>2</v>
      </c>
      <c r="E1885" t="s">
        <v>1892</v>
      </c>
      <c r="F1885" t="s"/>
      <c r="G1885" t="s"/>
      <c r="H1885" t="s"/>
      <c r="I1885" t="s"/>
      <c r="J1885" t="n">
        <v>-0.5423</v>
      </c>
      <c r="K1885" t="n">
        <v>0.164</v>
      </c>
      <c r="L1885" t="n">
        <v>0.836</v>
      </c>
      <c r="M1885" t="n">
        <v>0</v>
      </c>
    </row>
    <row r="1886" spans="1:13">
      <c r="A1886" s="1">
        <f>HYPERLINK("http://www.twitter.com/NathanBLawrence/status/999138363163766784", "999138363163766784")</f>
        <v/>
      </c>
      <c r="B1886" s="2" t="n">
        <v>43243.16809027778</v>
      </c>
      <c r="C1886" t="n">
        <v>0</v>
      </c>
      <c r="D1886" t="n">
        <v>2</v>
      </c>
      <c r="E1886" t="s">
        <v>1893</v>
      </c>
      <c r="F1886">
        <f>HYPERLINK("http://pbs.twimg.com/media/Dd2RbRqUwAAIFMB.jpg", "http://pbs.twimg.com/media/Dd2RbRqUwAAIFMB.jpg")</f>
        <v/>
      </c>
      <c r="G1886" t="s"/>
      <c r="H1886" t="s"/>
      <c r="I1886" t="s"/>
      <c r="J1886" t="n">
        <v>0</v>
      </c>
      <c r="K1886" t="n">
        <v>0</v>
      </c>
      <c r="L1886" t="n">
        <v>1</v>
      </c>
      <c r="M1886" t="n">
        <v>0</v>
      </c>
    </row>
    <row r="1887" spans="1:13">
      <c r="A1887" s="1">
        <f>HYPERLINK("http://www.twitter.com/NathanBLawrence/status/999138248910917632", "999138248910917632")</f>
        <v/>
      </c>
      <c r="B1887" s="2" t="n">
        <v>43243.16777777778</v>
      </c>
      <c r="C1887" t="n">
        <v>0</v>
      </c>
      <c r="D1887" t="n">
        <v>2</v>
      </c>
      <c r="E1887" t="s">
        <v>1894</v>
      </c>
      <c r="F1887" t="s"/>
      <c r="G1887" t="s"/>
      <c r="H1887" t="s"/>
      <c r="I1887" t="s"/>
      <c r="J1887" t="n">
        <v>0.5106000000000001</v>
      </c>
      <c r="K1887" t="n">
        <v>0</v>
      </c>
      <c r="L1887" t="n">
        <v>0.769</v>
      </c>
      <c r="M1887" t="n">
        <v>0.231</v>
      </c>
    </row>
    <row r="1888" spans="1:13">
      <c r="A1888" s="1">
        <f>HYPERLINK("http://www.twitter.com/NathanBLawrence/status/999138190245195777", "999138190245195777")</f>
        <v/>
      </c>
      <c r="B1888" s="2" t="n">
        <v>43243.16761574074</v>
      </c>
      <c r="C1888" t="n">
        <v>0</v>
      </c>
      <c r="D1888" t="n">
        <v>2</v>
      </c>
      <c r="E1888" t="s">
        <v>1895</v>
      </c>
      <c r="F1888" t="s"/>
      <c r="G1888" t="s"/>
      <c r="H1888" t="s"/>
      <c r="I1888" t="s"/>
      <c r="J1888" t="n">
        <v>0</v>
      </c>
      <c r="K1888" t="n">
        <v>0</v>
      </c>
      <c r="L1888" t="n">
        <v>1</v>
      </c>
      <c r="M1888" t="n">
        <v>0</v>
      </c>
    </row>
    <row r="1889" spans="1:13">
      <c r="A1889" s="1">
        <f>HYPERLINK("http://www.twitter.com/NathanBLawrence/status/999138046422511616", "999138046422511616")</f>
        <v/>
      </c>
      <c r="B1889" s="2" t="n">
        <v>43243.16722222222</v>
      </c>
      <c r="C1889" t="n">
        <v>0</v>
      </c>
      <c r="D1889" t="n">
        <v>4</v>
      </c>
      <c r="E1889" t="s">
        <v>1896</v>
      </c>
      <c r="F1889" t="s"/>
      <c r="G1889" t="s"/>
      <c r="H1889" t="s"/>
      <c r="I1889" t="s"/>
      <c r="J1889" t="n">
        <v>0.4404</v>
      </c>
      <c r="K1889" t="n">
        <v>0</v>
      </c>
      <c r="L1889" t="n">
        <v>0.854</v>
      </c>
      <c r="M1889" t="n">
        <v>0.146</v>
      </c>
    </row>
    <row r="1890" spans="1:13">
      <c r="A1890" s="1">
        <f>HYPERLINK("http://www.twitter.com/NathanBLawrence/status/999137683074093056", "999137683074093056")</f>
        <v/>
      </c>
      <c r="B1890" s="2" t="n">
        <v>43243.16621527778</v>
      </c>
      <c r="C1890" t="n">
        <v>0</v>
      </c>
      <c r="D1890" t="n">
        <v>47</v>
      </c>
      <c r="E1890" t="s">
        <v>1897</v>
      </c>
      <c r="F1890" t="s"/>
      <c r="G1890" t="s"/>
      <c r="H1890" t="s"/>
      <c r="I1890" t="s"/>
      <c r="J1890" t="n">
        <v>0.1326</v>
      </c>
      <c r="K1890" t="n">
        <v>0</v>
      </c>
      <c r="L1890" t="n">
        <v>0.945</v>
      </c>
      <c r="M1890" t="n">
        <v>0.055</v>
      </c>
    </row>
    <row r="1891" spans="1:13">
      <c r="A1891" s="1">
        <f>HYPERLINK("http://www.twitter.com/NathanBLawrence/status/999137620427976704", "999137620427976704")</f>
        <v/>
      </c>
      <c r="B1891" s="2" t="n">
        <v>43243.16604166666</v>
      </c>
      <c r="C1891" t="n">
        <v>0</v>
      </c>
      <c r="D1891" t="n">
        <v>95</v>
      </c>
      <c r="E1891" t="s">
        <v>1898</v>
      </c>
      <c r="F1891" t="s"/>
      <c r="G1891" t="s"/>
      <c r="H1891" t="s"/>
      <c r="I1891" t="s"/>
      <c r="J1891" t="n">
        <v>-0.5266999999999999</v>
      </c>
      <c r="K1891" t="n">
        <v>0.167</v>
      </c>
      <c r="L1891" t="n">
        <v>0.833</v>
      </c>
      <c r="M1891" t="n">
        <v>0</v>
      </c>
    </row>
    <row r="1892" spans="1:13">
      <c r="A1892" s="1">
        <f>HYPERLINK("http://www.twitter.com/NathanBLawrence/status/999137477242904576", "999137477242904576")</f>
        <v/>
      </c>
      <c r="B1892" s="2" t="n">
        <v>43243.16564814815</v>
      </c>
      <c r="C1892" t="n">
        <v>0</v>
      </c>
      <c r="D1892" t="n">
        <v>2237</v>
      </c>
      <c r="E1892" t="s">
        <v>1899</v>
      </c>
      <c r="F1892" t="s"/>
      <c r="G1892" t="s"/>
      <c r="H1892" t="s"/>
      <c r="I1892" t="s"/>
      <c r="J1892" t="n">
        <v>0.1027</v>
      </c>
      <c r="K1892" t="n">
        <v>0</v>
      </c>
      <c r="L1892" t="n">
        <v>0.9350000000000001</v>
      </c>
      <c r="M1892" t="n">
        <v>0.065</v>
      </c>
    </row>
    <row r="1893" spans="1:13">
      <c r="A1893" s="1">
        <f>HYPERLINK("http://www.twitter.com/NathanBLawrence/status/999137405956448256", "999137405956448256")</f>
        <v/>
      </c>
      <c r="B1893" s="2" t="n">
        <v>43243.16545138889</v>
      </c>
      <c r="C1893" t="n">
        <v>0</v>
      </c>
      <c r="D1893" t="n">
        <v>484</v>
      </c>
      <c r="E1893" t="s">
        <v>1900</v>
      </c>
      <c r="F1893" t="s"/>
      <c r="G1893" t="s"/>
      <c r="H1893" t="s"/>
      <c r="I1893" t="s"/>
      <c r="J1893" t="n">
        <v>0.3612</v>
      </c>
      <c r="K1893" t="n">
        <v>0</v>
      </c>
      <c r="L1893" t="n">
        <v>0.902</v>
      </c>
      <c r="M1893" t="n">
        <v>0.098</v>
      </c>
    </row>
    <row r="1894" spans="1:13">
      <c r="A1894" s="1">
        <f>HYPERLINK("http://www.twitter.com/NathanBLawrence/status/999137331826298883", "999137331826298883")</f>
        <v/>
      </c>
      <c r="B1894" s="2" t="n">
        <v>43243.16524305556</v>
      </c>
      <c r="C1894" t="n">
        <v>0</v>
      </c>
      <c r="D1894" t="n">
        <v>48</v>
      </c>
      <c r="E1894" t="s">
        <v>1901</v>
      </c>
      <c r="F1894" t="s"/>
      <c r="G1894" t="s"/>
      <c r="H1894" t="s"/>
      <c r="I1894" t="s"/>
      <c r="J1894" t="n">
        <v>-0.2263</v>
      </c>
      <c r="K1894" t="n">
        <v>0.08699999999999999</v>
      </c>
      <c r="L1894" t="n">
        <v>0.913</v>
      </c>
      <c r="M1894" t="n">
        <v>0</v>
      </c>
    </row>
    <row r="1895" spans="1:13">
      <c r="A1895" s="1">
        <f>HYPERLINK("http://www.twitter.com/NathanBLawrence/status/999137259818536960", "999137259818536960")</f>
        <v/>
      </c>
      <c r="B1895" s="2" t="n">
        <v>43243.16504629629</v>
      </c>
      <c r="C1895" t="n">
        <v>0</v>
      </c>
      <c r="D1895" t="n">
        <v>13</v>
      </c>
      <c r="E1895" t="s">
        <v>1902</v>
      </c>
      <c r="F1895">
        <f>HYPERLINK("http://pbs.twimg.com/media/Dd1kvqeU8AEjeNf.jpg", "http://pbs.twimg.com/media/Dd1kvqeU8AEjeNf.jpg")</f>
        <v/>
      </c>
      <c r="G1895">
        <f>HYPERLINK("http://pbs.twimg.com/media/Dd1k0dXVAAEvHcF.jpg", "http://pbs.twimg.com/media/Dd1k0dXVAAEvHcF.jpg")</f>
        <v/>
      </c>
      <c r="H1895" t="s"/>
      <c r="I1895" t="s"/>
      <c r="J1895" t="n">
        <v>0</v>
      </c>
      <c r="K1895" t="n">
        <v>0</v>
      </c>
      <c r="L1895" t="n">
        <v>1</v>
      </c>
      <c r="M1895" t="n">
        <v>0</v>
      </c>
    </row>
    <row r="1896" spans="1:13">
      <c r="A1896" s="1">
        <f>HYPERLINK("http://www.twitter.com/NathanBLawrence/status/999136955748225025", "999136955748225025")</f>
        <v/>
      </c>
      <c r="B1896" s="2" t="n">
        <v>43243.16420138889</v>
      </c>
      <c r="C1896" t="n">
        <v>0</v>
      </c>
      <c r="D1896" t="n">
        <v>23</v>
      </c>
      <c r="E1896" t="s">
        <v>1903</v>
      </c>
      <c r="F1896">
        <f>HYPERLINK("http://pbs.twimg.com/media/Dd1kYJFU0AA0hw4.jpg", "http://pbs.twimg.com/media/Dd1kYJFU0AA0hw4.jpg")</f>
        <v/>
      </c>
      <c r="G1896" t="s"/>
      <c r="H1896" t="s"/>
      <c r="I1896" t="s"/>
      <c r="J1896" t="n">
        <v>0.0772</v>
      </c>
      <c r="K1896" t="n">
        <v>0</v>
      </c>
      <c r="L1896" t="n">
        <v>0.9330000000000001</v>
      </c>
      <c r="M1896" t="n">
        <v>0.067</v>
      </c>
    </row>
    <row r="1897" spans="1:13">
      <c r="A1897" s="1">
        <f>HYPERLINK("http://www.twitter.com/NathanBLawrence/status/999136076206886912", "999136076206886912")</f>
        <v/>
      </c>
      <c r="B1897" s="2" t="n">
        <v>43243.16178240741</v>
      </c>
      <c r="C1897" t="n">
        <v>0</v>
      </c>
      <c r="D1897" t="n">
        <v>274</v>
      </c>
      <c r="E1897" t="s">
        <v>1904</v>
      </c>
      <c r="F1897">
        <f>HYPERLINK("http://pbs.twimg.com/media/Dd1UFSYWAAAxB9h.jpg", "http://pbs.twimg.com/media/Dd1UFSYWAAAxB9h.jpg")</f>
        <v/>
      </c>
      <c r="G1897" t="s"/>
      <c r="H1897" t="s"/>
      <c r="I1897" t="s"/>
      <c r="J1897" t="n">
        <v>0.4767</v>
      </c>
      <c r="K1897" t="n">
        <v>0</v>
      </c>
      <c r="L1897" t="n">
        <v>0.876</v>
      </c>
      <c r="M1897" t="n">
        <v>0.124</v>
      </c>
    </row>
    <row r="1898" spans="1:13">
      <c r="A1898" s="1">
        <f>HYPERLINK("http://www.twitter.com/NathanBLawrence/status/999135935299309573", "999135935299309573")</f>
        <v/>
      </c>
      <c r="B1898" s="2" t="n">
        <v>43243.16138888889</v>
      </c>
      <c r="C1898" t="n">
        <v>0</v>
      </c>
      <c r="D1898" t="n">
        <v>467</v>
      </c>
      <c r="E1898" t="s">
        <v>1905</v>
      </c>
      <c r="F1898" t="s"/>
      <c r="G1898" t="s"/>
      <c r="H1898" t="s"/>
      <c r="I1898" t="s"/>
      <c r="J1898" t="n">
        <v>0.7964</v>
      </c>
      <c r="K1898" t="n">
        <v>0</v>
      </c>
      <c r="L1898" t="n">
        <v>0.762</v>
      </c>
      <c r="M1898" t="n">
        <v>0.238</v>
      </c>
    </row>
    <row r="1899" spans="1:13">
      <c r="A1899" s="1">
        <f>HYPERLINK("http://www.twitter.com/NathanBLawrence/status/999135881037533184", "999135881037533184")</f>
        <v/>
      </c>
      <c r="B1899" s="2" t="n">
        <v>43243.16123842593</v>
      </c>
      <c r="C1899" t="n">
        <v>0</v>
      </c>
      <c r="D1899" t="n">
        <v>1764</v>
      </c>
      <c r="E1899" t="s">
        <v>1906</v>
      </c>
      <c r="F1899" t="s"/>
      <c r="G1899" t="s"/>
      <c r="H1899" t="s"/>
      <c r="I1899" t="s"/>
      <c r="J1899" t="n">
        <v>-0.6597</v>
      </c>
      <c r="K1899" t="n">
        <v>0.293</v>
      </c>
      <c r="L1899" t="n">
        <v>0.707</v>
      </c>
      <c r="M1899" t="n">
        <v>0</v>
      </c>
    </row>
    <row r="1900" spans="1:13">
      <c r="A1900" s="1">
        <f>HYPERLINK("http://www.twitter.com/NathanBLawrence/status/999135819184115712", "999135819184115712")</f>
        <v/>
      </c>
      <c r="B1900" s="2" t="n">
        <v>43243.16106481481</v>
      </c>
      <c r="C1900" t="n">
        <v>0</v>
      </c>
      <c r="D1900" t="n">
        <v>1631</v>
      </c>
      <c r="E1900" t="s">
        <v>1907</v>
      </c>
      <c r="F1900" t="s"/>
      <c r="G1900" t="s"/>
      <c r="H1900" t="s"/>
      <c r="I1900" t="s"/>
      <c r="J1900" t="n">
        <v>0.3327</v>
      </c>
      <c r="K1900" t="n">
        <v>0.059</v>
      </c>
      <c r="L1900" t="n">
        <v>0.824</v>
      </c>
      <c r="M1900" t="n">
        <v>0.118</v>
      </c>
    </row>
    <row r="1901" spans="1:13">
      <c r="A1901" s="1">
        <f>HYPERLINK("http://www.twitter.com/NathanBLawrence/status/999135623184371713", "999135623184371713")</f>
        <v/>
      </c>
      <c r="B1901" s="2" t="n">
        <v>43243.1605324074</v>
      </c>
      <c r="C1901" t="n">
        <v>0</v>
      </c>
      <c r="D1901" t="n">
        <v>63</v>
      </c>
      <c r="E1901" t="s">
        <v>1908</v>
      </c>
      <c r="F1901" t="s"/>
      <c r="G1901" t="s"/>
      <c r="H1901" t="s"/>
      <c r="I1901" t="s"/>
      <c r="J1901" t="n">
        <v>0</v>
      </c>
      <c r="K1901" t="n">
        <v>0</v>
      </c>
      <c r="L1901" t="n">
        <v>1</v>
      </c>
      <c r="M1901" t="n">
        <v>0</v>
      </c>
    </row>
    <row r="1902" spans="1:13">
      <c r="A1902" s="1">
        <f>HYPERLINK("http://www.twitter.com/NathanBLawrence/status/999135601734619136", "999135601734619136")</f>
        <v/>
      </c>
      <c r="B1902" s="2" t="n">
        <v>43243.16047453704</v>
      </c>
      <c r="C1902" t="n">
        <v>0</v>
      </c>
      <c r="D1902" t="n">
        <v>61</v>
      </c>
      <c r="E1902" t="s">
        <v>1909</v>
      </c>
      <c r="F1902" t="s"/>
      <c r="G1902" t="s"/>
      <c r="H1902" t="s"/>
      <c r="I1902" t="s"/>
      <c r="J1902" t="n">
        <v>0</v>
      </c>
      <c r="K1902" t="n">
        <v>0</v>
      </c>
      <c r="L1902" t="n">
        <v>1</v>
      </c>
      <c r="M1902" t="n">
        <v>0</v>
      </c>
    </row>
    <row r="1903" spans="1:13">
      <c r="A1903" s="1">
        <f>HYPERLINK("http://www.twitter.com/NathanBLawrence/status/999134217270321153", "999134217270321153")</f>
        <v/>
      </c>
      <c r="B1903" s="2" t="n">
        <v>43243.15665509259</v>
      </c>
      <c r="C1903" t="n">
        <v>0</v>
      </c>
      <c r="D1903" t="n">
        <v>86</v>
      </c>
      <c r="E1903" t="s">
        <v>1910</v>
      </c>
      <c r="F1903" t="s"/>
      <c r="G1903" t="s"/>
      <c r="H1903" t="s"/>
      <c r="I1903" t="s"/>
      <c r="J1903" t="n">
        <v>0</v>
      </c>
      <c r="K1903" t="n">
        <v>0</v>
      </c>
      <c r="L1903" t="n">
        <v>1</v>
      </c>
      <c r="M1903" t="n">
        <v>0</v>
      </c>
    </row>
    <row r="1904" spans="1:13">
      <c r="A1904" s="1">
        <f>HYPERLINK("http://www.twitter.com/NathanBLawrence/status/999133351612223488", "999133351612223488")</f>
        <v/>
      </c>
      <c r="B1904" s="2" t="n">
        <v>43243.15425925926</v>
      </c>
      <c r="C1904" t="n">
        <v>0</v>
      </c>
      <c r="D1904" t="n">
        <v>6</v>
      </c>
      <c r="E1904" t="s">
        <v>1911</v>
      </c>
      <c r="F1904" t="s"/>
      <c r="G1904" t="s"/>
      <c r="H1904" t="s"/>
      <c r="I1904" t="s"/>
      <c r="J1904" t="n">
        <v>-0.2732</v>
      </c>
      <c r="K1904" t="n">
        <v>0.147</v>
      </c>
      <c r="L1904" t="n">
        <v>0.853</v>
      </c>
      <c r="M1904" t="n">
        <v>0</v>
      </c>
    </row>
    <row r="1905" spans="1:13">
      <c r="A1905" s="1">
        <f>HYPERLINK("http://www.twitter.com/NathanBLawrence/status/999133301720997888", "999133301720997888")</f>
        <v/>
      </c>
      <c r="B1905" s="2" t="n">
        <v>43243.15412037037</v>
      </c>
      <c r="C1905" t="n">
        <v>0</v>
      </c>
      <c r="D1905" t="n">
        <v>2</v>
      </c>
      <c r="E1905" t="s">
        <v>1912</v>
      </c>
      <c r="F1905">
        <f>HYPERLINK("http://pbs.twimg.com/media/Dd1OCkMVwAAHt7D.jpg", "http://pbs.twimg.com/media/Dd1OCkMVwAAHt7D.jpg")</f>
        <v/>
      </c>
      <c r="G1905" t="s"/>
      <c r="H1905" t="s"/>
      <c r="I1905" t="s"/>
      <c r="J1905" t="n">
        <v>0.4588</v>
      </c>
      <c r="K1905" t="n">
        <v>0</v>
      </c>
      <c r="L1905" t="n">
        <v>0.833</v>
      </c>
      <c r="M1905" t="n">
        <v>0.167</v>
      </c>
    </row>
    <row r="1906" spans="1:13">
      <c r="A1906" s="1">
        <f>HYPERLINK("http://www.twitter.com/NathanBLawrence/status/999133108715900929", "999133108715900929")</f>
        <v/>
      </c>
      <c r="B1906" s="2" t="n">
        <v>43243.15358796297</v>
      </c>
      <c r="C1906" t="n">
        <v>0</v>
      </c>
      <c r="D1906" t="n">
        <v>1</v>
      </c>
      <c r="E1906" t="s">
        <v>1913</v>
      </c>
      <c r="F1906" t="s"/>
      <c r="G1906" t="s"/>
      <c r="H1906" t="s"/>
      <c r="I1906" t="s"/>
      <c r="J1906" t="n">
        <v>0.6369</v>
      </c>
      <c r="K1906" t="n">
        <v>0</v>
      </c>
      <c r="L1906" t="n">
        <v>0.856</v>
      </c>
      <c r="M1906" t="n">
        <v>0.144</v>
      </c>
    </row>
    <row r="1907" spans="1:13">
      <c r="A1907" s="1">
        <f>HYPERLINK("http://www.twitter.com/NathanBLawrence/status/999132989878689792", "999132989878689792")</f>
        <v/>
      </c>
      <c r="B1907" s="2" t="n">
        <v>43243.15326388889</v>
      </c>
      <c r="C1907" t="n">
        <v>0</v>
      </c>
      <c r="D1907" t="n">
        <v>2</v>
      </c>
      <c r="E1907" t="s">
        <v>1914</v>
      </c>
      <c r="F1907" t="s"/>
      <c r="G1907" t="s"/>
      <c r="H1907" t="s"/>
      <c r="I1907" t="s"/>
      <c r="J1907" t="n">
        <v>0.2481</v>
      </c>
      <c r="K1907" t="n">
        <v>0.099</v>
      </c>
      <c r="L1907" t="n">
        <v>0.764</v>
      </c>
      <c r="M1907" t="n">
        <v>0.137</v>
      </c>
    </row>
    <row r="1908" spans="1:13">
      <c r="A1908" s="1">
        <f>HYPERLINK("http://www.twitter.com/NathanBLawrence/status/999132971272679425", "999132971272679425")</f>
        <v/>
      </c>
      <c r="B1908" s="2" t="n">
        <v>43243.15321759259</v>
      </c>
      <c r="C1908" t="n">
        <v>0</v>
      </c>
      <c r="D1908" t="n">
        <v>9</v>
      </c>
      <c r="E1908" t="s">
        <v>1915</v>
      </c>
      <c r="F1908">
        <f>HYPERLINK("http://pbs.twimg.com/media/Dd2hsx9VQAAHPkP.jpg", "http://pbs.twimg.com/media/Dd2hsx9VQAAHPkP.jpg")</f>
        <v/>
      </c>
      <c r="G1908" t="s"/>
      <c r="H1908" t="s"/>
      <c r="I1908" t="s"/>
      <c r="J1908" t="n">
        <v>-0.2023</v>
      </c>
      <c r="K1908" t="n">
        <v>0.141</v>
      </c>
      <c r="L1908" t="n">
        <v>0.859</v>
      </c>
      <c r="M1908" t="n">
        <v>0</v>
      </c>
    </row>
    <row r="1909" spans="1:13">
      <c r="A1909" s="1">
        <f>HYPERLINK("http://www.twitter.com/NathanBLawrence/status/999132765332393984", "999132765332393984")</f>
        <v/>
      </c>
      <c r="B1909" s="2" t="n">
        <v>43243.15263888889</v>
      </c>
      <c r="C1909" t="n">
        <v>0</v>
      </c>
      <c r="D1909" t="n">
        <v>396</v>
      </c>
      <c r="E1909" t="s">
        <v>1916</v>
      </c>
      <c r="F1909">
        <f>HYPERLINK("http://pbs.twimg.com/media/Dd00gg4VAAAK35j.jpg", "http://pbs.twimg.com/media/Dd00gg4VAAAK35j.jpg")</f>
        <v/>
      </c>
      <c r="G1909" t="s"/>
      <c r="H1909" t="s"/>
      <c r="I1909" t="s"/>
      <c r="J1909" t="n">
        <v>0.34</v>
      </c>
      <c r="K1909" t="n">
        <v>0</v>
      </c>
      <c r="L1909" t="n">
        <v>0.893</v>
      </c>
      <c r="M1909" t="n">
        <v>0.107</v>
      </c>
    </row>
    <row r="1910" spans="1:13">
      <c r="A1910" s="1">
        <f>HYPERLINK("http://www.twitter.com/NathanBLawrence/status/999132359898337280", "999132359898337280")</f>
        <v/>
      </c>
      <c r="B1910" s="2" t="n">
        <v>43243.15152777778</v>
      </c>
      <c r="C1910" t="n">
        <v>0</v>
      </c>
      <c r="D1910" t="n">
        <v>99</v>
      </c>
      <c r="E1910" t="s">
        <v>1917</v>
      </c>
      <c r="F1910" t="s"/>
      <c r="G1910" t="s"/>
      <c r="H1910" t="s"/>
      <c r="I1910" t="s"/>
      <c r="J1910" t="n">
        <v>0.3182</v>
      </c>
      <c r="K1910" t="n">
        <v>0</v>
      </c>
      <c r="L1910" t="n">
        <v>0.881</v>
      </c>
      <c r="M1910" t="n">
        <v>0.119</v>
      </c>
    </row>
    <row r="1911" spans="1:13">
      <c r="A1911" s="1">
        <f>HYPERLINK("http://www.twitter.com/NathanBLawrence/status/999131864739835904", "999131864739835904")</f>
        <v/>
      </c>
      <c r="B1911" s="2" t="n">
        <v>43243.15016203704</v>
      </c>
      <c r="C1911" t="n">
        <v>0</v>
      </c>
      <c r="D1911" t="n">
        <v>347</v>
      </c>
      <c r="E1911" t="s">
        <v>1918</v>
      </c>
      <c r="F1911" t="s"/>
      <c r="G1911" t="s"/>
      <c r="H1911" t="s"/>
      <c r="I1911" t="s"/>
      <c r="J1911" t="n">
        <v>0.8168</v>
      </c>
      <c r="K1911" t="n">
        <v>0</v>
      </c>
      <c r="L1911" t="n">
        <v>0.706</v>
      </c>
      <c r="M1911" t="n">
        <v>0.294</v>
      </c>
    </row>
    <row r="1912" spans="1:13">
      <c r="A1912" s="1">
        <f>HYPERLINK("http://www.twitter.com/NathanBLawrence/status/999131802005622786", "999131802005622786")</f>
        <v/>
      </c>
      <c r="B1912" s="2" t="n">
        <v>43243.14998842592</v>
      </c>
      <c r="C1912" t="n">
        <v>0</v>
      </c>
      <c r="D1912" t="n">
        <v>94</v>
      </c>
      <c r="E1912" t="s">
        <v>1919</v>
      </c>
      <c r="F1912" t="s"/>
      <c r="G1912" t="s"/>
      <c r="H1912" t="s"/>
      <c r="I1912" t="s"/>
      <c r="J1912" t="n">
        <v>0.5095</v>
      </c>
      <c r="K1912" t="n">
        <v>0</v>
      </c>
      <c r="L1912" t="n">
        <v>0.888</v>
      </c>
      <c r="M1912" t="n">
        <v>0.112</v>
      </c>
    </row>
    <row r="1913" spans="1:13">
      <c r="A1913" s="1">
        <f>HYPERLINK("http://www.twitter.com/NathanBLawrence/status/999131515421372416", "999131515421372416")</f>
        <v/>
      </c>
      <c r="B1913" s="2" t="n">
        <v>43243.14918981482</v>
      </c>
      <c r="C1913" t="n">
        <v>0</v>
      </c>
      <c r="D1913" t="n">
        <v>153</v>
      </c>
      <c r="E1913" t="s">
        <v>1920</v>
      </c>
      <c r="F1913">
        <f>HYPERLINK("http://pbs.twimg.com/media/DdwXoAhW4AALEDA.jpg", "http://pbs.twimg.com/media/DdwXoAhW4AALEDA.jpg")</f>
        <v/>
      </c>
      <c r="G1913" t="s"/>
      <c r="H1913" t="s"/>
      <c r="I1913" t="s"/>
      <c r="J1913" t="n">
        <v>-0.802</v>
      </c>
      <c r="K1913" t="n">
        <v>0.265</v>
      </c>
      <c r="L1913" t="n">
        <v>0.735</v>
      </c>
      <c r="M1913" t="n">
        <v>0</v>
      </c>
    </row>
    <row r="1914" spans="1:13">
      <c r="A1914" s="1">
        <f>HYPERLINK("http://www.twitter.com/NathanBLawrence/status/999131464922009600", "999131464922009600")</f>
        <v/>
      </c>
      <c r="B1914" s="2" t="n">
        <v>43243.14905092592</v>
      </c>
      <c r="C1914" t="n">
        <v>0</v>
      </c>
      <c r="D1914" t="n">
        <v>840</v>
      </c>
      <c r="E1914" t="s">
        <v>1921</v>
      </c>
      <c r="F1914" t="s"/>
      <c r="G1914" t="s"/>
      <c r="H1914" t="s"/>
      <c r="I1914" t="s"/>
      <c r="J1914" t="n">
        <v>0.5984</v>
      </c>
      <c r="K1914" t="n">
        <v>0</v>
      </c>
      <c r="L1914" t="n">
        <v>0.844</v>
      </c>
      <c r="M1914" t="n">
        <v>0.156</v>
      </c>
    </row>
    <row r="1915" spans="1:13">
      <c r="A1915" s="1">
        <f>HYPERLINK("http://www.twitter.com/NathanBLawrence/status/999131182280429568", "999131182280429568")</f>
        <v/>
      </c>
      <c r="B1915" s="2" t="n">
        <v>43243.14827546296</v>
      </c>
      <c r="C1915" t="n">
        <v>0</v>
      </c>
      <c r="D1915" t="n">
        <v>348</v>
      </c>
      <c r="E1915" t="s">
        <v>1922</v>
      </c>
      <c r="F1915">
        <f>HYPERLINK("http://pbs.twimg.com/media/DdwXoAhW4AALEDA.jpg", "http://pbs.twimg.com/media/DdwXoAhW4AALEDA.jpg")</f>
        <v/>
      </c>
      <c r="G1915" t="s"/>
      <c r="H1915" t="s"/>
      <c r="I1915" t="s"/>
      <c r="J1915" t="n">
        <v>0.4588</v>
      </c>
      <c r="K1915" t="n">
        <v>0</v>
      </c>
      <c r="L1915" t="n">
        <v>0.8179999999999999</v>
      </c>
      <c r="M1915" t="n">
        <v>0.182</v>
      </c>
    </row>
    <row r="1916" spans="1:13">
      <c r="A1916" s="1">
        <f>HYPERLINK("http://www.twitter.com/NathanBLawrence/status/999131144208732160", "999131144208732160")</f>
        <v/>
      </c>
      <c r="B1916" s="2" t="n">
        <v>43243.1481712963</v>
      </c>
      <c r="C1916" t="n">
        <v>0</v>
      </c>
      <c r="D1916" t="n">
        <v>260</v>
      </c>
      <c r="E1916" t="s">
        <v>1923</v>
      </c>
      <c r="F1916" t="s"/>
      <c r="G1916" t="s"/>
      <c r="H1916" t="s"/>
      <c r="I1916" t="s"/>
      <c r="J1916" t="n">
        <v>-0.296</v>
      </c>
      <c r="K1916" t="n">
        <v>0.141</v>
      </c>
      <c r="L1916" t="n">
        <v>0.773</v>
      </c>
      <c r="M1916" t="n">
        <v>0.08599999999999999</v>
      </c>
    </row>
    <row r="1917" spans="1:13">
      <c r="A1917" s="1">
        <f>HYPERLINK("http://www.twitter.com/NathanBLawrence/status/999131006031589376", "999131006031589376")</f>
        <v/>
      </c>
      <c r="B1917" s="2" t="n">
        <v>43243.14778935185</v>
      </c>
      <c r="C1917" t="n">
        <v>0</v>
      </c>
      <c r="D1917" t="n">
        <v>4824</v>
      </c>
      <c r="E1917" t="s">
        <v>1924</v>
      </c>
      <c r="F1917" t="s"/>
      <c r="G1917" t="s"/>
      <c r="H1917" t="s"/>
      <c r="I1917" t="s"/>
      <c r="J1917" t="n">
        <v>-0.2611</v>
      </c>
      <c r="K1917" t="n">
        <v>0.157</v>
      </c>
      <c r="L1917" t="n">
        <v>0.6870000000000001</v>
      </c>
      <c r="M1917" t="n">
        <v>0.156</v>
      </c>
    </row>
    <row r="1918" spans="1:13">
      <c r="A1918" s="1">
        <f>HYPERLINK("http://www.twitter.com/NathanBLawrence/status/999130936011841536", "999130936011841536")</f>
        <v/>
      </c>
      <c r="B1918" s="2" t="n">
        <v>43243.14759259259</v>
      </c>
      <c r="C1918" t="n">
        <v>0</v>
      </c>
      <c r="D1918" t="n">
        <v>18309</v>
      </c>
      <c r="E1918" t="s">
        <v>1925</v>
      </c>
      <c r="F1918" t="s"/>
      <c r="G1918" t="s"/>
      <c r="H1918" t="s"/>
      <c r="I1918" t="s"/>
      <c r="J1918" t="n">
        <v>0.6249</v>
      </c>
      <c r="K1918" t="n">
        <v>0</v>
      </c>
      <c r="L1918" t="n">
        <v>0.823</v>
      </c>
      <c r="M1918" t="n">
        <v>0.177</v>
      </c>
    </row>
    <row r="1919" spans="1:13">
      <c r="A1919" s="1">
        <f>HYPERLINK("http://www.twitter.com/NathanBLawrence/status/999130895276797952", "999130895276797952")</f>
        <v/>
      </c>
      <c r="B1919" s="2" t="n">
        <v>43243.14748842592</v>
      </c>
      <c r="C1919" t="n">
        <v>0</v>
      </c>
      <c r="D1919" t="n">
        <v>408</v>
      </c>
      <c r="E1919" t="s">
        <v>1926</v>
      </c>
      <c r="F1919">
        <f>HYPERLINK("http://pbs.twimg.com/media/DdwXoAhW4AALEDA.jpg", "http://pbs.twimg.com/media/DdwXoAhW4AALEDA.jpg")</f>
        <v/>
      </c>
      <c r="G1919" t="s"/>
      <c r="H1919" t="s"/>
      <c r="I1919" t="s"/>
      <c r="J1919" t="n">
        <v>0</v>
      </c>
      <c r="K1919" t="n">
        <v>0</v>
      </c>
      <c r="L1919" t="n">
        <v>1</v>
      </c>
      <c r="M1919" t="n">
        <v>0</v>
      </c>
    </row>
    <row r="1920" spans="1:13">
      <c r="A1920" s="1">
        <f>HYPERLINK("http://www.twitter.com/NathanBLawrence/status/999130873298653185", "999130873298653185")</f>
        <v/>
      </c>
      <c r="B1920" s="2" t="n">
        <v>43243.14741898148</v>
      </c>
      <c r="C1920" t="n">
        <v>0</v>
      </c>
      <c r="D1920" t="n">
        <v>259</v>
      </c>
      <c r="E1920" t="s">
        <v>1927</v>
      </c>
      <c r="F1920">
        <f>HYPERLINK("http://pbs.twimg.com/media/DdwXoAhW4AALEDA.jpg", "http://pbs.twimg.com/media/DdwXoAhW4AALEDA.jpg")</f>
        <v/>
      </c>
      <c r="G1920" t="s"/>
      <c r="H1920" t="s"/>
      <c r="I1920" t="s"/>
      <c r="J1920" t="n">
        <v>-0.5106000000000001</v>
      </c>
      <c r="K1920" t="n">
        <v>0.13</v>
      </c>
      <c r="L1920" t="n">
        <v>0.87</v>
      </c>
      <c r="M1920" t="n">
        <v>0</v>
      </c>
    </row>
    <row r="1921" spans="1:13">
      <c r="A1921" s="1">
        <f>HYPERLINK("http://www.twitter.com/NathanBLawrence/status/999130809666883586", "999130809666883586")</f>
        <v/>
      </c>
      <c r="B1921" s="2" t="n">
        <v>43243.14724537037</v>
      </c>
      <c r="C1921" t="n">
        <v>0</v>
      </c>
      <c r="D1921" t="n">
        <v>354</v>
      </c>
      <c r="E1921" t="s">
        <v>1928</v>
      </c>
      <c r="F1921">
        <f>HYPERLINK("http://pbs.twimg.com/media/DdwXoAhW4AALEDA.jpg", "http://pbs.twimg.com/media/DdwXoAhW4AALEDA.jpg")</f>
        <v/>
      </c>
      <c r="G1921" t="s"/>
      <c r="H1921" t="s"/>
      <c r="I1921" t="s"/>
      <c r="J1921" t="n">
        <v>0.4939</v>
      </c>
      <c r="K1921" t="n">
        <v>0</v>
      </c>
      <c r="L1921" t="n">
        <v>0.833</v>
      </c>
      <c r="M1921" t="n">
        <v>0.167</v>
      </c>
    </row>
    <row r="1922" spans="1:13">
      <c r="A1922" s="1">
        <f>HYPERLINK("http://www.twitter.com/NathanBLawrence/status/999130737654878208", "999130737654878208")</f>
        <v/>
      </c>
      <c r="B1922" s="2" t="n">
        <v>43243.14704861111</v>
      </c>
      <c r="C1922" t="n">
        <v>0</v>
      </c>
      <c r="D1922" t="n">
        <v>1186</v>
      </c>
      <c r="E1922" t="s">
        <v>1929</v>
      </c>
      <c r="F1922" t="s"/>
      <c r="G1922" t="s"/>
      <c r="H1922" t="s"/>
      <c r="I1922" t="s"/>
      <c r="J1922" t="n">
        <v>-0.8074</v>
      </c>
      <c r="K1922" t="n">
        <v>0.3</v>
      </c>
      <c r="L1922" t="n">
        <v>0.7</v>
      </c>
      <c r="M1922" t="n">
        <v>0</v>
      </c>
    </row>
    <row r="1923" spans="1:13">
      <c r="A1923" s="1">
        <f>HYPERLINK("http://www.twitter.com/NathanBLawrence/status/999130697364398080", "999130697364398080")</f>
        <v/>
      </c>
      <c r="B1923" s="2" t="n">
        <v>43243.14693287037</v>
      </c>
      <c r="C1923" t="n">
        <v>0</v>
      </c>
      <c r="D1923" t="n">
        <v>158</v>
      </c>
      <c r="E1923" t="s">
        <v>1930</v>
      </c>
      <c r="F1923" t="s"/>
      <c r="G1923" t="s"/>
      <c r="H1923" t="s"/>
      <c r="I1923" t="s"/>
      <c r="J1923" t="n">
        <v>-0.2147</v>
      </c>
      <c r="K1923" t="n">
        <v>0.223</v>
      </c>
      <c r="L1923" t="n">
        <v>0.665</v>
      </c>
      <c r="M1923" t="n">
        <v>0.112</v>
      </c>
    </row>
    <row r="1924" spans="1:13">
      <c r="A1924" s="1">
        <f>HYPERLINK("http://www.twitter.com/NathanBLawrence/status/999130657891680256", "999130657891680256")</f>
        <v/>
      </c>
      <c r="B1924" s="2" t="n">
        <v>43243.14682870371</v>
      </c>
      <c r="C1924" t="n">
        <v>0</v>
      </c>
      <c r="D1924" t="n">
        <v>1250</v>
      </c>
      <c r="E1924" t="s">
        <v>1931</v>
      </c>
      <c r="F1924">
        <f>HYPERLINK("http://pbs.twimg.com/media/DdzIdEHUQAAgCCp.jpg", "http://pbs.twimg.com/media/DdzIdEHUQAAgCCp.jpg")</f>
        <v/>
      </c>
      <c r="G1924" t="s"/>
      <c r="H1924" t="s"/>
      <c r="I1924" t="s"/>
      <c r="J1924" t="n">
        <v>0</v>
      </c>
      <c r="K1924" t="n">
        <v>0</v>
      </c>
      <c r="L1924" t="n">
        <v>1</v>
      </c>
      <c r="M1924" t="n">
        <v>0</v>
      </c>
    </row>
    <row r="1925" spans="1:13">
      <c r="A1925" s="1">
        <f>HYPERLINK("http://www.twitter.com/NathanBLawrence/status/999130553189314560", "999130553189314560")</f>
        <v/>
      </c>
      <c r="B1925" s="2" t="n">
        <v>43243.14653935185</v>
      </c>
      <c r="C1925" t="n">
        <v>0</v>
      </c>
      <c r="D1925" t="n">
        <v>478</v>
      </c>
      <c r="E1925" t="s">
        <v>1932</v>
      </c>
      <c r="F1925" t="s"/>
      <c r="G1925" t="s"/>
      <c r="H1925" t="s"/>
      <c r="I1925" t="s"/>
      <c r="J1925" t="n">
        <v>0.5994</v>
      </c>
      <c r="K1925" t="n">
        <v>0.07099999999999999</v>
      </c>
      <c r="L1925" t="n">
        <v>0.738</v>
      </c>
      <c r="M1925" t="n">
        <v>0.191</v>
      </c>
    </row>
    <row r="1926" spans="1:13">
      <c r="A1926" s="1">
        <f>HYPERLINK("http://www.twitter.com/NathanBLawrence/status/999130233868517376", "999130233868517376")</f>
        <v/>
      </c>
      <c r="B1926" s="2" t="n">
        <v>43243.14565972222</v>
      </c>
      <c r="C1926" t="n">
        <v>0</v>
      </c>
      <c r="D1926" t="n">
        <v>430</v>
      </c>
      <c r="E1926" t="s">
        <v>1933</v>
      </c>
      <c r="F1926" t="s"/>
      <c r="G1926" t="s"/>
      <c r="H1926" t="s"/>
      <c r="I1926" t="s"/>
      <c r="J1926" t="n">
        <v>-0.1779</v>
      </c>
      <c r="K1926" t="n">
        <v>0.195</v>
      </c>
      <c r="L1926" t="n">
        <v>0.805</v>
      </c>
      <c r="M1926" t="n">
        <v>0</v>
      </c>
    </row>
    <row r="1927" spans="1:13">
      <c r="A1927" s="1">
        <f>HYPERLINK("http://www.twitter.com/NathanBLawrence/status/999129899087560704", "999129899087560704")</f>
        <v/>
      </c>
      <c r="B1927" s="2" t="n">
        <v>43243.1447337963</v>
      </c>
      <c r="C1927" t="n">
        <v>0</v>
      </c>
      <c r="D1927" t="n">
        <v>2736</v>
      </c>
      <c r="E1927" t="s">
        <v>1934</v>
      </c>
      <c r="F1927" t="s"/>
      <c r="G1927" t="s"/>
      <c r="H1927" t="s"/>
      <c r="I1927" t="s"/>
      <c r="J1927" t="n">
        <v>0</v>
      </c>
      <c r="K1927" t="n">
        <v>0</v>
      </c>
      <c r="L1927" t="n">
        <v>1</v>
      </c>
      <c r="M1927" t="n">
        <v>0</v>
      </c>
    </row>
    <row r="1928" spans="1:13">
      <c r="A1928" s="1">
        <f>HYPERLINK("http://www.twitter.com/NathanBLawrence/status/999129628664090624", "999129628664090624")</f>
        <v/>
      </c>
      <c r="B1928" s="2" t="n">
        <v>43243.14399305556</v>
      </c>
      <c r="C1928" t="n">
        <v>0</v>
      </c>
      <c r="D1928" t="n">
        <v>239</v>
      </c>
      <c r="E1928" t="s">
        <v>1935</v>
      </c>
      <c r="F1928" t="s"/>
      <c r="G1928" t="s"/>
      <c r="H1928" t="s"/>
      <c r="I1928" t="s"/>
      <c r="J1928" t="n">
        <v>0.0772</v>
      </c>
      <c r="K1928" t="n">
        <v>0</v>
      </c>
      <c r="L1928" t="n">
        <v>0.929</v>
      </c>
      <c r="M1928" t="n">
        <v>0.07099999999999999</v>
      </c>
    </row>
    <row r="1929" spans="1:13">
      <c r="A1929" s="1">
        <f>HYPERLINK("http://www.twitter.com/NathanBLawrence/status/999129061233516545", "999129061233516545")</f>
        <v/>
      </c>
      <c r="B1929" s="2" t="n">
        <v>43243.14241898148</v>
      </c>
      <c r="C1929" t="n">
        <v>0</v>
      </c>
      <c r="D1929" t="n">
        <v>1982</v>
      </c>
      <c r="E1929" t="s">
        <v>1936</v>
      </c>
      <c r="F1929" t="s"/>
      <c r="G1929" t="s"/>
      <c r="H1929" t="s"/>
      <c r="I1929" t="s"/>
      <c r="J1929" t="n">
        <v>0</v>
      </c>
      <c r="K1929" t="n">
        <v>0</v>
      </c>
      <c r="L1929" t="n">
        <v>1</v>
      </c>
      <c r="M1929" t="n">
        <v>0</v>
      </c>
    </row>
    <row r="1930" spans="1:13">
      <c r="A1930" s="1">
        <f>HYPERLINK("http://www.twitter.com/NathanBLawrence/status/999129017239396352", "999129017239396352")</f>
        <v/>
      </c>
      <c r="B1930" s="2" t="n">
        <v>43243.14230324074</v>
      </c>
      <c r="C1930" t="n">
        <v>0</v>
      </c>
      <c r="D1930" t="n">
        <v>160</v>
      </c>
      <c r="E1930" t="s">
        <v>1937</v>
      </c>
      <c r="F1930" t="s"/>
      <c r="G1930" t="s"/>
      <c r="H1930" t="s"/>
      <c r="I1930" t="s"/>
      <c r="J1930" t="n">
        <v>0</v>
      </c>
      <c r="K1930" t="n">
        <v>0</v>
      </c>
      <c r="L1930" t="n">
        <v>1</v>
      </c>
      <c r="M1930" t="n">
        <v>0</v>
      </c>
    </row>
    <row r="1931" spans="1:13">
      <c r="A1931" s="1">
        <f>HYPERLINK("http://www.twitter.com/NathanBLawrence/status/999128987380207616", "999128987380207616")</f>
        <v/>
      </c>
      <c r="B1931" s="2" t="n">
        <v>43243.14222222222</v>
      </c>
      <c r="C1931" t="n">
        <v>0</v>
      </c>
      <c r="D1931" t="n">
        <v>299</v>
      </c>
      <c r="E1931" t="s">
        <v>1938</v>
      </c>
      <c r="F1931" t="s"/>
      <c r="G1931" t="s"/>
      <c r="H1931" t="s"/>
      <c r="I1931" t="s"/>
      <c r="J1931" t="n">
        <v>0</v>
      </c>
      <c r="K1931" t="n">
        <v>0</v>
      </c>
      <c r="L1931" t="n">
        <v>1</v>
      </c>
      <c r="M1931" t="n">
        <v>0</v>
      </c>
    </row>
    <row r="1932" spans="1:13">
      <c r="A1932" s="1">
        <f>HYPERLINK("http://www.twitter.com/NathanBLawrence/status/999128905733804032", "999128905733804032")</f>
        <v/>
      </c>
      <c r="B1932" s="2" t="n">
        <v>43243.14199074074</v>
      </c>
      <c r="C1932" t="n">
        <v>0</v>
      </c>
      <c r="D1932" t="n">
        <v>3294</v>
      </c>
      <c r="E1932" t="s">
        <v>1939</v>
      </c>
      <c r="F1932" t="s"/>
      <c r="G1932" t="s"/>
      <c r="H1932" t="s"/>
      <c r="I1932" t="s"/>
      <c r="J1932" t="n">
        <v>0</v>
      </c>
      <c r="K1932" t="n">
        <v>0</v>
      </c>
      <c r="L1932" t="n">
        <v>1</v>
      </c>
      <c r="M1932" t="n">
        <v>0</v>
      </c>
    </row>
    <row r="1933" spans="1:13">
      <c r="A1933" s="1">
        <f>HYPERLINK("http://www.twitter.com/NathanBLawrence/status/999128838629191685", "999128838629191685")</f>
        <v/>
      </c>
      <c r="B1933" s="2" t="n">
        <v>43243.14180555556</v>
      </c>
      <c r="C1933" t="n">
        <v>0</v>
      </c>
      <c r="D1933" t="n">
        <v>424</v>
      </c>
      <c r="E1933" t="s">
        <v>1940</v>
      </c>
      <c r="F1933">
        <f>HYPERLINK("http://pbs.twimg.com/media/Dd1coh1VQAA8Tju.jpg", "http://pbs.twimg.com/media/Dd1coh1VQAA8Tju.jpg")</f>
        <v/>
      </c>
      <c r="G1933" t="s"/>
      <c r="H1933" t="s"/>
      <c r="I1933" t="s"/>
      <c r="J1933" t="n">
        <v>0.4019</v>
      </c>
      <c r="K1933" t="n">
        <v>0</v>
      </c>
      <c r="L1933" t="n">
        <v>0.881</v>
      </c>
      <c r="M1933" t="n">
        <v>0.119</v>
      </c>
    </row>
    <row r="1934" spans="1:13">
      <c r="A1934" s="1">
        <f>HYPERLINK("http://www.twitter.com/NathanBLawrence/status/999128601395187712", "999128601395187712")</f>
        <v/>
      </c>
      <c r="B1934" s="2" t="n">
        <v>43243.14115740741</v>
      </c>
      <c r="C1934" t="n">
        <v>0</v>
      </c>
      <c r="D1934" t="n">
        <v>3414</v>
      </c>
      <c r="E1934" t="s">
        <v>1941</v>
      </c>
      <c r="F1934" t="s"/>
      <c r="G1934" t="s"/>
      <c r="H1934" t="s"/>
      <c r="I1934" t="s"/>
      <c r="J1934" t="n">
        <v>-0.6597</v>
      </c>
      <c r="K1934" t="n">
        <v>0.188</v>
      </c>
      <c r="L1934" t="n">
        <v>0.8120000000000001</v>
      </c>
      <c r="M1934" t="n">
        <v>0</v>
      </c>
    </row>
    <row r="1935" spans="1:13">
      <c r="A1935" s="1">
        <f>HYPERLINK("http://www.twitter.com/NathanBLawrence/status/999128565856833537", "999128565856833537")</f>
        <v/>
      </c>
      <c r="B1935" s="2" t="n">
        <v>43243.14105324074</v>
      </c>
      <c r="C1935" t="n">
        <v>0</v>
      </c>
      <c r="D1935" t="n">
        <v>77</v>
      </c>
      <c r="E1935" t="s">
        <v>1942</v>
      </c>
      <c r="F1935" t="s"/>
      <c r="G1935" t="s"/>
      <c r="H1935" t="s"/>
      <c r="I1935" t="s"/>
      <c r="J1935" t="n">
        <v>0</v>
      </c>
      <c r="K1935" t="n">
        <v>0</v>
      </c>
      <c r="L1935" t="n">
        <v>1</v>
      </c>
      <c r="M1935" t="n">
        <v>0</v>
      </c>
    </row>
    <row r="1936" spans="1:13">
      <c r="A1936" s="1">
        <f>HYPERLINK("http://www.twitter.com/NathanBLawrence/status/999128238764052481", "999128238764052481")</f>
        <v/>
      </c>
      <c r="B1936" s="2" t="n">
        <v>43243.14015046296</v>
      </c>
      <c r="C1936" t="n">
        <v>0</v>
      </c>
      <c r="D1936" t="n">
        <v>297</v>
      </c>
      <c r="E1936" t="s">
        <v>1943</v>
      </c>
      <c r="F1936" t="s"/>
      <c r="G1936" t="s"/>
      <c r="H1936" t="s"/>
      <c r="I1936" t="s"/>
      <c r="J1936" t="n">
        <v>-0.4404</v>
      </c>
      <c r="K1936" t="n">
        <v>0.112</v>
      </c>
      <c r="L1936" t="n">
        <v>0.888</v>
      </c>
      <c r="M1936" t="n">
        <v>0</v>
      </c>
    </row>
    <row r="1937" spans="1:13">
      <c r="A1937" s="1">
        <f>HYPERLINK("http://www.twitter.com/NathanBLawrence/status/999128083667005440", "999128083667005440")</f>
        <v/>
      </c>
      <c r="B1937" s="2" t="n">
        <v>43243.13972222222</v>
      </c>
      <c r="C1937" t="n">
        <v>0</v>
      </c>
      <c r="D1937" t="n">
        <v>16318</v>
      </c>
      <c r="E1937" t="s">
        <v>1944</v>
      </c>
      <c r="F1937">
        <f>HYPERLINK("https://video.twimg.com/amplify_video/998986887875518466/vid/1280x720/cno7uOfO4KTZopDl.mp4?tag=2", "https://video.twimg.com/amplify_video/998986887875518466/vid/1280x720/cno7uOfO4KTZopDl.mp4?tag=2")</f>
        <v/>
      </c>
      <c r="G1937" t="s"/>
      <c r="H1937" t="s"/>
      <c r="I1937" t="s"/>
      <c r="J1937" t="n">
        <v>-0.296</v>
      </c>
      <c r="K1937" t="n">
        <v>0.095</v>
      </c>
      <c r="L1937" t="n">
        <v>0.905</v>
      </c>
      <c r="M1937" t="n">
        <v>0</v>
      </c>
    </row>
    <row r="1938" spans="1:13">
      <c r="A1938" s="1">
        <f>HYPERLINK("http://www.twitter.com/NathanBLawrence/status/999127537958768640", "999127537958768640")</f>
        <v/>
      </c>
      <c r="B1938" s="2" t="n">
        <v>43243.13821759259</v>
      </c>
      <c r="C1938" t="n">
        <v>0</v>
      </c>
      <c r="D1938" t="n">
        <v>633</v>
      </c>
      <c r="E1938" t="s">
        <v>1945</v>
      </c>
      <c r="F1938" t="s"/>
      <c r="G1938" t="s"/>
      <c r="H1938" t="s"/>
      <c r="I1938" t="s"/>
      <c r="J1938" t="n">
        <v>0</v>
      </c>
      <c r="K1938" t="n">
        <v>0</v>
      </c>
      <c r="L1938" t="n">
        <v>1</v>
      </c>
      <c r="M1938" t="n">
        <v>0</v>
      </c>
    </row>
    <row r="1939" spans="1:13">
      <c r="A1939" s="1">
        <f>HYPERLINK("http://www.twitter.com/NathanBLawrence/status/999125432191606786", "999125432191606786")</f>
        <v/>
      </c>
      <c r="B1939" s="2" t="n">
        <v>43243.13240740741</v>
      </c>
      <c r="C1939" t="n">
        <v>0</v>
      </c>
      <c r="D1939" t="n">
        <v>1</v>
      </c>
      <c r="E1939" t="s">
        <v>1946</v>
      </c>
      <c r="F1939" t="s"/>
      <c r="G1939" t="s"/>
      <c r="H1939" t="s"/>
      <c r="I1939" t="s"/>
      <c r="J1939" t="n">
        <v>-0.5256</v>
      </c>
      <c r="K1939" t="n">
        <v>0.159</v>
      </c>
      <c r="L1939" t="n">
        <v>0.841</v>
      </c>
      <c r="M1939" t="n">
        <v>0</v>
      </c>
    </row>
    <row r="1940" spans="1:13">
      <c r="A1940" s="1">
        <f>HYPERLINK("http://www.twitter.com/NathanBLawrence/status/999125374784196608", "999125374784196608")</f>
        <v/>
      </c>
      <c r="B1940" s="2" t="n">
        <v>43243.13224537037</v>
      </c>
      <c r="C1940" t="n">
        <v>0</v>
      </c>
      <c r="D1940" t="n">
        <v>1</v>
      </c>
      <c r="E1940" t="s">
        <v>1947</v>
      </c>
      <c r="F1940" t="s"/>
      <c r="G1940" t="s"/>
      <c r="H1940" t="s"/>
      <c r="I1940" t="s"/>
      <c r="J1940" t="n">
        <v>0</v>
      </c>
      <c r="K1940" t="n">
        <v>0</v>
      </c>
      <c r="L1940" t="n">
        <v>1</v>
      </c>
      <c r="M1940" t="n">
        <v>0</v>
      </c>
    </row>
    <row r="1941" spans="1:13">
      <c r="A1941" s="1">
        <f>HYPERLINK("http://www.twitter.com/NathanBLawrence/status/999125291149725696", "999125291149725696")</f>
        <v/>
      </c>
      <c r="B1941" s="2" t="n">
        <v>43243.13201388889</v>
      </c>
      <c r="C1941" t="n">
        <v>0</v>
      </c>
      <c r="D1941" t="n">
        <v>0</v>
      </c>
      <c r="E1941" t="s">
        <v>1948</v>
      </c>
      <c r="F1941" t="s"/>
      <c r="G1941" t="s"/>
      <c r="H1941" t="s"/>
      <c r="I1941" t="s"/>
      <c r="J1941" t="n">
        <v>0</v>
      </c>
      <c r="K1941" t="n">
        <v>0</v>
      </c>
      <c r="L1941" t="n">
        <v>1</v>
      </c>
      <c r="M1941" t="n">
        <v>0</v>
      </c>
    </row>
    <row r="1942" spans="1:13">
      <c r="A1942" s="1">
        <f>HYPERLINK("http://www.twitter.com/NathanBLawrence/status/999124357745205249", "999124357745205249")</f>
        <v/>
      </c>
      <c r="B1942" s="2" t="n">
        <v>43243.12944444444</v>
      </c>
      <c r="C1942" t="n">
        <v>0</v>
      </c>
      <c r="D1942" t="n">
        <v>292</v>
      </c>
      <c r="E1942" t="s">
        <v>1949</v>
      </c>
      <c r="F1942" t="s"/>
      <c r="G1942" t="s"/>
      <c r="H1942" t="s"/>
      <c r="I1942" t="s"/>
      <c r="J1942" t="n">
        <v>-0.5766</v>
      </c>
      <c r="K1942" t="n">
        <v>0.237</v>
      </c>
      <c r="L1942" t="n">
        <v>0.663</v>
      </c>
      <c r="M1942" t="n">
        <v>0.1</v>
      </c>
    </row>
    <row r="1943" spans="1:13">
      <c r="A1943" s="1">
        <f>HYPERLINK("http://www.twitter.com/NathanBLawrence/status/999124313910534144", "999124313910534144")</f>
        <v/>
      </c>
      <c r="B1943" s="2" t="n">
        <v>43243.12931712963</v>
      </c>
      <c r="C1943" t="n">
        <v>0</v>
      </c>
      <c r="D1943" t="n">
        <v>293</v>
      </c>
      <c r="E1943" t="s">
        <v>1950</v>
      </c>
      <c r="F1943" t="s"/>
      <c r="G1943" t="s"/>
      <c r="H1943" t="s"/>
      <c r="I1943" t="s"/>
      <c r="J1943" t="n">
        <v>-0.4466</v>
      </c>
      <c r="K1943" t="n">
        <v>0.118</v>
      </c>
      <c r="L1943" t="n">
        <v>0.882</v>
      </c>
      <c r="M1943" t="n">
        <v>0</v>
      </c>
    </row>
    <row r="1944" spans="1:13">
      <c r="A1944" s="1">
        <f>HYPERLINK("http://www.twitter.com/NathanBLawrence/status/999124280427401216", "999124280427401216")</f>
        <v/>
      </c>
      <c r="B1944" s="2" t="n">
        <v>43243.12922453704</v>
      </c>
      <c r="C1944" t="n">
        <v>0</v>
      </c>
      <c r="D1944" t="n">
        <v>265</v>
      </c>
      <c r="E1944" t="s">
        <v>1951</v>
      </c>
      <c r="F1944" t="s"/>
      <c r="G1944" t="s"/>
      <c r="H1944" t="s"/>
      <c r="I1944" t="s"/>
      <c r="J1944" t="n">
        <v>-0.4939</v>
      </c>
      <c r="K1944" t="n">
        <v>0.118</v>
      </c>
      <c r="L1944" t="n">
        <v>0.882</v>
      </c>
      <c r="M1944" t="n">
        <v>0</v>
      </c>
    </row>
    <row r="1945" spans="1:13">
      <c r="A1945" s="1">
        <f>HYPERLINK("http://www.twitter.com/NathanBLawrence/status/999124264749010945", "999124264749010945")</f>
        <v/>
      </c>
      <c r="B1945" s="2" t="n">
        <v>43243.12918981481</v>
      </c>
      <c r="C1945" t="n">
        <v>0</v>
      </c>
      <c r="D1945" t="n">
        <v>122</v>
      </c>
      <c r="E1945" t="s">
        <v>1952</v>
      </c>
      <c r="F1945" t="s"/>
      <c r="G1945" t="s"/>
      <c r="H1945" t="s"/>
      <c r="I1945" t="s"/>
      <c r="J1945" t="n">
        <v>-0.5334</v>
      </c>
      <c r="K1945" t="n">
        <v>0.13</v>
      </c>
      <c r="L1945" t="n">
        <v>0.87</v>
      </c>
      <c r="M1945" t="n">
        <v>0</v>
      </c>
    </row>
    <row r="1946" spans="1:13">
      <c r="A1946" s="1">
        <f>HYPERLINK("http://www.twitter.com/NathanBLawrence/status/999124204309053440", "999124204309053440")</f>
        <v/>
      </c>
      <c r="B1946" s="2" t="n">
        <v>43243.1290162037</v>
      </c>
      <c r="C1946" t="n">
        <v>0</v>
      </c>
      <c r="D1946" t="n">
        <v>150</v>
      </c>
      <c r="E1946" t="s">
        <v>1953</v>
      </c>
      <c r="F1946" t="s"/>
      <c r="G1946" t="s"/>
      <c r="H1946" t="s"/>
      <c r="I1946" t="s"/>
      <c r="J1946" t="n">
        <v>0.1531</v>
      </c>
      <c r="K1946" t="n">
        <v>0.097</v>
      </c>
      <c r="L1946" t="n">
        <v>0.784</v>
      </c>
      <c r="M1946" t="n">
        <v>0.119</v>
      </c>
    </row>
    <row r="1947" spans="1:13">
      <c r="A1947" s="1">
        <f>HYPERLINK("http://www.twitter.com/NathanBLawrence/status/999124194364461056", "999124194364461056")</f>
        <v/>
      </c>
      <c r="B1947" s="2" t="n">
        <v>43243.12899305556</v>
      </c>
      <c r="C1947" t="n">
        <v>0</v>
      </c>
      <c r="D1947" t="n">
        <v>157</v>
      </c>
      <c r="E1947" t="s">
        <v>1954</v>
      </c>
      <c r="F1947" t="s"/>
      <c r="G1947" t="s"/>
      <c r="H1947" t="s"/>
      <c r="I1947" t="s"/>
      <c r="J1947" t="n">
        <v>-0.7506</v>
      </c>
      <c r="K1947" t="n">
        <v>0.262</v>
      </c>
      <c r="L1947" t="n">
        <v>0.738</v>
      </c>
      <c r="M1947" t="n">
        <v>0</v>
      </c>
    </row>
    <row r="1948" spans="1:13">
      <c r="A1948" s="1">
        <f>HYPERLINK("http://www.twitter.com/NathanBLawrence/status/999124180686819328", "999124180686819328")</f>
        <v/>
      </c>
      <c r="B1948" s="2" t="n">
        <v>43243.12895833333</v>
      </c>
      <c r="C1948" t="n">
        <v>0</v>
      </c>
      <c r="D1948" t="n">
        <v>88</v>
      </c>
      <c r="E1948" t="s">
        <v>1955</v>
      </c>
      <c r="F1948" t="s"/>
      <c r="G1948" t="s"/>
      <c r="H1948" t="s"/>
      <c r="I1948" t="s"/>
      <c r="J1948" t="n">
        <v>0</v>
      </c>
      <c r="K1948" t="n">
        <v>0</v>
      </c>
      <c r="L1948" t="n">
        <v>1</v>
      </c>
      <c r="M1948" t="n">
        <v>0</v>
      </c>
    </row>
    <row r="1949" spans="1:13">
      <c r="A1949" s="1">
        <f>HYPERLINK("http://www.twitter.com/NathanBLawrence/status/999124173082517504", "999124173082517504")</f>
        <v/>
      </c>
      <c r="B1949" s="2" t="n">
        <v>43243.12893518519</v>
      </c>
      <c r="C1949" t="n">
        <v>0</v>
      </c>
      <c r="D1949" t="n">
        <v>139</v>
      </c>
      <c r="E1949" t="s">
        <v>1956</v>
      </c>
      <c r="F1949" t="s"/>
      <c r="G1949" t="s"/>
      <c r="H1949" t="s"/>
      <c r="I1949" t="s"/>
      <c r="J1949" t="n">
        <v>0</v>
      </c>
      <c r="K1949" t="n">
        <v>0</v>
      </c>
      <c r="L1949" t="n">
        <v>1</v>
      </c>
      <c r="M1949" t="n">
        <v>0</v>
      </c>
    </row>
    <row r="1950" spans="1:13">
      <c r="A1950" s="1">
        <f>HYPERLINK("http://www.twitter.com/NathanBLawrence/status/999123908157689856", "999123908157689856")</f>
        <v/>
      </c>
      <c r="B1950" s="2" t="n">
        <v>43243.12820601852</v>
      </c>
      <c r="C1950" t="n">
        <v>0</v>
      </c>
      <c r="D1950" t="n">
        <v>627</v>
      </c>
      <c r="E1950" t="s">
        <v>1957</v>
      </c>
      <c r="F1950" t="s"/>
      <c r="G1950" t="s"/>
      <c r="H1950" t="s"/>
      <c r="I1950" t="s"/>
      <c r="J1950" t="n">
        <v>0.1695</v>
      </c>
      <c r="K1950" t="n">
        <v>0</v>
      </c>
      <c r="L1950" t="n">
        <v>0.919</v>
      </c>
      <c r="M1950" t="n">
        <v>0.081</v>
      </c>
    </row>
    <row r="1951" spans="1:13">
      <c r="A1951" s="1">
        <f>HYPERLINK("http://www.twitter.com/NathanBLawrence/status/999123794919936000", "999123794919936000")</f>
        <v/>
      </c>
      <c r="B1951" s="2" t="n">
        <v>43243.12789351852</v>
      </c>
      <c r="C1951" t="n">
        <v>0</v>
      </c>
      <c r="D1951" t="n">
        <v>55</v>
      </c>
      <c r="E1951" t="s">
        <v>1958</v>
      </c>
      <c r="F1951" t="s"/>
      <c r="G1951" t="s"/>
      <c r="H1951" t="s"/>
      <c r="I1951" t="s"/>
      <c r="J1951" t="n">
        <v>0</v>
      </c>
      <c r="K1951" t="n">
        <v>0</v>
      </c>
      <c r="L1951" t="n">
        <v>1</v>
      </c>
      <c r="M1951" t="n">
        <v>0</v>
      </c>
    </row>
    <row r="1952" spans="1:13">
      <c r="A1952" s="1">
        <f>HYPERLINK("http://www.twitter.com/NathanBLawrence/status/999122671999901696", "999122671999901696")</f>
        <v/>
      </c>
      <c r="B1952" s="2" t="n">
        <v>43243.12479166667</v>
      </c>
      <c r="C1952" t="n">
        <v>0</v>
      </c>
      <c r="D1952" t="n">
        <v>1</v>
      </c>
      <c r="E1952" t="s">
        <v>1959</v>
      </c>
      <c r="F1952" t="s"/>
      <c r="G1952" t="s"/>
      <c r="H1952" t="s"/>
      <c r="I1952" t="s"/>
      <c r="J1952" t="n">
        <v>0</v>
      </c>
      <c r="K1952" t="n">
        <v>0</v>
      </c>
      <c r="L1952" t="n">
        <v>1</v>
      </c>
      <c r="M1952" t="n">
        <v>0</v>
      </c>
    </row>
    <row r="1953" spans="1:13">
      <c r="A1953" s="1">
        <f>HYPERLINK("http://www.twitter.com/NathanBLawrence/status/999122518479958016", "999122518479958016")</f>
        <v/>
      </c>
      <c r="B1953" s="2" t="n">
        <v>43243.12436342592</v>
      </c>
      <c r="C1953" t="n">
        <v>0</v>
      </c>
      <c r="D1953" t="n">
        <v>2</v>
      </c>
      <c r="E1953" t="s">
        <v>1960</v>
      </c>
      <c r="F1953" t="s"/>
      <c r="G1953" t="s"/>
      <c r="H1953" t="s"/>
      <c r="I1953" t="s"/>
      <c r="J1953" t="n">
        <v>0</v>
      </c>
      <c r="K1953" t="n">
        <v>0</v>
      </c>
      <c r="L1953" t="n">
        <v>1</v>
      </c>
      <c r="M1953" t="n">
        <v>0</v>
      </c>
    </row>
    <row r="1954" spans="1:13">
      <c r="A1954" s="1">
        <f>HYPERLINK("http://www.twitter.com/NathanBLawrence/status/999101006792273921", "999101006792273921")</f>
        <v/>
      </c>
      <c r="B1954" s="2" t="n">
        <v>43243.06501157407</v>
      </c>
      <c r="C1954" t="n">
        <v>0</v>
      </c>
      <c r="D1954" t="n">
        <v>319</v>
      </c>
      <c r="E1954" t="s">
        <v>1961</v>
      </c>
      <c r="F1954">
        <f>HYPERLINK("http://pbs.twimg.com/media/Dd1Bh8-U0AUb168.jpg", "http://pbs.twimg.com/media/Dd1Bh8-U0AUb168.jpg")</f>
        <v/>
      </c>
      <c r="G1954" t="s"/>
      <c r="H1954" t="s"/>
      <c r="I1954" t="s"/>
      <c r="J1954" t="n">
        <v>-0.296</v>
      </c>
      <c r="K1954" t="n">
        <v>0.091</v>
      </c>
      <c r="L1954" t="n">
        <v>0.909</v>
      </c>
      <c r="M1954" t="n">
        <v>0</v>
      </c>
    </row>
    <row r="1955" spans="1:13">
      <c r="A1955" s="1">
        <f>HYPERLINK("http://www.twitter.com/NathanBLawrence/status/999100964396261376", "999100964396261376")</f>
        <v/>
      </c>
      <c r="B1955" s="2" t="n">
        <v>43243.06488425926</v>
      </c>
      <c r="C1955" t="n">
        <v>0</v>
      </c>
      <c r="D1955" t="n">
        <v>344</v>
      </c>
      <c r="E1955" t="s">
        <v>1962</v>
      </c>
      <c r="F1955" t="s"/>
      <c r="G1955" t="s"/>
      <c r="H1955" t="s"/>
      <c r="I1955" t="s"/>
      <c r="J1955" t="n">
        <v>0</v>
      </c>
      <c r="K1955" t="n">
        <v>0</v>
      </c>
      <c r="L1955" t="n">
        <v>1</v>
      </c>
      <c r="M1955" t="n">
        <v>0</v>
      </c>
    </row>
    <row r="1956" spans="1:13">
      <c r="A1956" s="1">
        <f>HYPERLINK("http://www.twitter.com/NathanBLawrence/status/999100764432814080", "999100764432814080")</f>
        <v/>
      </c>
      <c r="B1956" s="2" t="n">
        <v>43243.06434027778</v>
      </c>
      <c r="C1956" t="n">
        <v>0</v>
      </c>
      <c r="D1956" t="n">
        <v>132</v>
      </c>
      <c r="E1956" t="s">
        <v>1963</v>
      </c>
      <c r="F1956" t="s"/>
      <c r="G1956" t="s"/>
      <c r="H1956" t="s"/>
      <c r="I1956" t="s"/>
      <c r="J1956" t="n">
        <v>0.4588</v>
      </c>
      <c r="K1956" t="n">
        <v>0.05</v>
      </c>
      <c r="L1956" t="n">
        <v>0.827</v>
      </c>
      <c r="M1956" t="n">
        <v>0.122</v>
      </c>
    </row>
    <row r="1957" spans="1:13">
      <c r="A1957" s="1">
        <f>HYPERLINK("http://www.twitter.com/NathanBLawrence/status/999100679036784645", "999100679036784645")</f>
        <v/>
      </c>
      <c r="B1957" s="2" t="n">
        <v>43243.06409722222</v>
      </c>
      <c r="C1957" t="n">
        <v>0</v>
      </c>
      <c r="D1957" t="n">
        <v>97</v>
      </c>
      <c r="E1957" t="s">
        <v>1964</v>
      </c>
      <c r="F1957" t="s"/>
      <c r="G1957" t="s"/>
      <c r="H1957" t="s"/>
      <c r="I1957" t="s"/>
      <c r="J1957" t="n">
        <v>0</v>
      </c>
      <c r="K1957" t="n">
        <v>0</v>
      </c>
      <c r="L1957" t="n">
        <v>1</v>
      </c>
      <c r="M1957" t="n">
        <v>0</v>
      </c>
    </row>
    <row r="1958" spans="1:13">
      <c r="A1958" s="1">
        <f>HYPERLINK("http://www.twitter.com/NathanBLawrence/status/999100645977329664", "999100645977329664")</f>
        <v/>
      </c>
      <c r="B1958" s="2" t="n">
        <v>43243.0640162037</v>
      </c>
      <c r="C1958" t="n">
        <v>0</v>
      </c>
      <c r="D1958" t="n">
        <v>105</v>
      </c>
      <c r="E1958" t="s">
        <v>1965</v>
      </c>
      <c r="F1958" t="s"/>
      <c r="G1958" t="s"/>
      <c r="H1958" t="s"/>
      <c r="I1958" t="s"/>
      <c r="J1958" t="n">
        <v>-0.34</v>
      </c>
      <c r="K1958" t="n">
        <v>0.094</v>
      </c>
      <c r="L1958" t="n">
        <v>0.906</v>
      </c>
      <c r="M1958" t="n">
        <v>0</v>
      </c>
    </row>
    <row r="1959" spans="1:13">
      <c r="A1959" s="1">
        <f>HYPERLINK("http://www.twitter.com/NathanBLawrence/status/999100616847872001", "999100616847872001")</f>
        <v/>
      </c>
      <c r="B1959" s="2" t="n">
        <v>43243.06393518519</v>
      </c>
      <c r="C1959" t="n">
        <v>0</v>
      </c>
      <c r="D1959" t="n">
        <v>150</v>
      </c>
      <c r="E1959" t="s">
        <v>1966</v>
      </c>
      <c r="F1959" t="s"/>
      <c r="G1959" t="s"/>
      <c r="H1959" t="s"/>
      <c r="I1959" t="s"/>
      <c r="J1959" t="n">
        <v>-0.296</v>
      </c>
      <c r="K1959" t="n">
        <v>0.08400000000000001</v>
      </c>
      <c r="L1959" t="n">
        <v>0.916</v>
      </c>
      <c r="M1959" t="n">
        <v>0</v>
      </c>
    </row>
    <row r="1960" spans="1:13">
      <c r="A1960" s="1">
        <f>HYPERLINK("http://www.twitter.com/NathanBLawrence/status/999100593649147904", "999100593649147904")</f>
        <v/>
      </c>
      <c r="B1960" s="2" t="n">
        <v>43243.06386574074</v>
      </c>
      <c r="C1960" t="n">
        <v>0</v>
      </c>
      <c r="D1960" t="n">
        <v>44</v>
      </c>
      <c r="E1960" t="s">
        <v>1967</v>
      </c>
      <c r="F1960" t="s"/>
      <c r="G1960" t="s"/>
      <c r="H1960" t="s"/>
      <c r="I1960" t="s"/>
      <c r="J1960" t="n">
        <v>0.0644</v>
      </c>
      <c r="K1960" t="n">
        <v>0.078</v>
      </c>
      <c r="L1960" t="n">
        <v>0.8</v>
      </c>
      <c r="M1960" t="n">
        <v>0.122</v>
      </c>
    </row>
    <row r="1961" spans="1:13">
      <c r="A1961" s="1">
        <f>HYPERLINK("http://www.twitter.com/NathanBLawrence/status/999100557926289413", "999100557926289413")</f>
        <v/>
      </c>
      <c r="B1961" s="2" t="n">
        <v>43243.06377314815</v>
      </c>
      <c r="C1961" t="n">
        <v>0</v>
      </c>
      <c r="D1961" t="n">
        <v>77</v>
      </c>
      <c r="E1961" t="s">
        <v>1968</v>
      </c>
      <c r="F1961" t="s"/>
      <c r="G1961" t="s"/>
      <c r="H1961" t="s"/>
      <c r="I1961" t="s"/>
      <c r="J1961" t="n">
        <v>0</v>
      </c>
      <c r="K1961" t="n">
        <v>0</v>
      </c>
      <c r="L1961" t="n">
        <v>1</v>
      </c>
      <c r="M1961" t="n">
        <v>0</v>
      </c>
    </row>
    <row r="1962" spans="1:13">
      <c r="A1962" s="1">
        <f>HYPERLINK("http://www.twitter.com/NathanBLawrence/status/999100347238047744", "999100347238047744")</f>
        <v/>
      </c>
      <c r="B1962" s="2" t="n">
        <v>43243.06318287037</v>
      </c>
      <c r="C1962" t="n">
        <v>0</v>
      </c>
      <c r="D1962" t="n">
        <v>244</v>
      </c>
      <c r="E1962" t="s">
        <v>1969</v>
      </c>
      <c r="F1962" t="s"/>
      <c r="G1962" t="s"/>
      <c r="H1962" t="s"/>
      <c r="I1962" t="s"/>
      <c r="J1962" t="n">
        <v>-0.4497</v>
      </c>
      <c r="K1962" t="n">
        <v>0.109</v>
      </c>
      <c r="L1962" t="n">
        <v>0.891</v>
      </c>
      <c r="M1962" t="n">
        <v>0</v>
      </c>
    </row>
    <row r="1963" spans="1:13">
      <c r="A1963" s="1">
        <f>HYPERLINK("http://www.twitter.com/NathanBLawrence/status/999100201175584769", "999100201175584769")</f>
        <v/>
      </c>
      <c r="B1963" s="2" t="n">
        <v>43243.06278935185</v>
      </c>
      <c r="C1963" t="n">
        <v>1</v>
      </c>
      <c r="D1963" t="n">
        <v>0</v>
      </c>
      <c r="E1963" t="s">
        <v>1970</v>
      </c>
      <c r="F1963" t="s"/>
      <c r="G1963" t="s"/>
      <c r="H1963" t="s"/>
      <c r="I1963" t="s"/>
      <c r="J1963" t="n">
        <v>0</v>
      </c>
      <c r="K1963" t="n">
        <v>0</v>
      </c>
      <c r="L1963" t="n">
        <v>1</v>
      </c>
      <c r="M1963" t="n">
        <v>0</v>
      </c>
    </row>
    <row r="1964" spans="1:13">
      <c r="A1964" s="1">
        <f>HYPERLINK("http://www.twitter.com/NathanBLawrence/status/999099530606989313", "999099530606989313")</f>
        <v/>
      </c>
      <c r="B1964" s="2" t="n">
        <v>43243.0609375</v>
      </c>
      <c r="C1964" t="n">
        <v>0</v>
      </c>
      <c r="D1964" t="n">
        <v>2</v>
      </c>
      <c r="E1964" t="s">
        <v>1971</v>
      </c>
      <c r="F1964" t="s"/>
      <c r="G1964" t="s"/>
      <c r="H1964" t="s"/>
      <c r="I1964" t="s"/>
      <c r="J1964" t="n">
        <v>0.3612</v>
      </c>
      <c r="K1964" t="n">
        <v>0</v>
      </c>
      <c r="L1964" t="n">
        <v>0.884</v>
      </c>
      <c r="M1964" t="n">
        <v>0.116</v>
      </c>
    </row>
    <row r="1965" spans="1:13">
      <c r="A1965" s="1">
        <f>HYPERLINK("http://www.twitter.com/NathanBLawrence/status/999099263933181952", "999099263933181952")</f>
        <v/>
      </c>
      <c r="B1965" s="2" t="n">
        <v>43243.06019675926</v>
      </c>
      <c r="C1965" t="n">
        <v>0</v>
      </c>
      <c r="D1965" t="n">
        <v>3</v>
      </c>
      <c r="E1965" t="s">
        <v>1972</v>
      </c>
      <c r="F1965" t="s"/>
      <c r="G1965" t="s"/>
      <c r="H1965" t="s"/>
      <c r="I1965" t="s"/>
      <c r="J1965" t="n">
        <v>0</v>
      </c>
      <c r="K1965" t="n">
        <v>0</v>
      </c>
      <c r="L1965" t="n">
        <v>1</v>
      </c>
      <c r="M1965" t="n">
        <v>0</v>
      </c>
    </row>
    <row r="1966" spans="1:13">
      <c r="A1966" s="1">
        <f>HYPERLINK("http://www.twitter.com/NathanBLawrence/status/999099119862939648", "999099119862939648")</f>
        <v/>
      </c>
      <c r="B1966" s="2" t="n">
        <v>43243.05980324074</v>
      </c>
      <c r="C1966" t="n">
        <v>1</v>
      </c>
      <c r="D1966" t="n">
        <v>0</v>
      </c>
      <c r="E1966" t="s">
        <v>1973</v>
      </c>
      <c r="F1966" t="s"/>
      <c r="G1966" t="s"/>
      <c r="H1966" t="s"/>
      <c r="I1966" t="s"/>
      <c r="J1966" t="n">
        <v>-0.5106000000000001</v>
      </c>
      <c r="K1966" t="n">
        <v>0.109</v>
      </c>
      <c r="L1966" t="n">
        <v>0.891</v>
      </c>
      <c r="M1966" t="n">
        <v>0</v>
      </c>
    </row>
    <row r="1967" spans="1:13">
      <c r="A1967" s="1">
        <f>HYPERLINK("http://www.twitter.com/NathanBLawrence/status/999098191801970689", "999098191801970689")</f>
        <v/>
      </c>
      <c r="B1967" s="2" t="n">
        <v>43243.05723379629</v>
      </c>
      <c r="C1967" t="n">
        <v>1</v>
      </c>
      <c r="D1967" t="n">
        <v>0</v>
      </c>
      <c r="E1967" t="s">
        <v>1974</v>
      </c>
      <c r="F1967" t="s"/>
      <c r="G1967" t="s"/>
      <c r="H1967" t="s"/>
      <c r="I1967" t="s"/>
      <c r="J1967" t="n">
        <v>0</v>
      </c>
      <c r="K1967" t="n">
        <v>0</v>
      </c>
      <c r="L1967" t="n">
        <v>1</v>
      </c>
      <c r="M1967" t="n">
        <v>0</v>
      </c>
    </row>
    <row r="1968" spans="1:13">
      <c r="A1968" s="1">
        <f>HYPERLINK("http://www.twitter.com/NathanBLawrence/status/999097966249103360", "999097966249103360")</f>
        <v/>
      </c>
      <c r="B1968" s="2" t="n">
        <v>43243.05662037037</v>
      </c>
      <c r="C1968" t="n">
        <v>0</v>
      </c>
      <c r="D1968" t="n">
        <v>1</v>
      </c>
      <c r="E1968" t="s">
        <v>1975</v>
      </c>
      <c r="F1968" t="s"/>
      <c r="G1968" t="s"/>
      <c r="H1968" t="s"/>
      <c r="I1968" t="s"/>
      <c r="J1968" t="n">
        <v>0</v>
      </c>
      <c r="K1968" t="n">
        <v>0</v>
      </c>
      <c r="L1968" t="n">
        <v>1</v>
      </c>
      <c r="M1968" t="n">
        <v>0</v>
      </c>
    </row>
    <row r="1969" spans="1:13">
      <c r="A1969" s="1">
        <f>HYPERLINK("http://www.twitter.com/NathanBLawrence/status/999097842915561472", "999097842915561472")</f>
        <v/>
      </c>
      <c r="B1969" s="2" t="n">
        <v>43243.05627314815</v>
      </c>
      <c r="C1969" t="n">
        <v>0</v>
      </c>
      <c r="D1969" t="n">
        <v>122</v>
      </c>
      <c r="E1969" t="s">
        <v>1976</v>
      </c>
      <c r="F1969">
        <f>HYPERLINK("https://video.twimg.com/ext_tw_video/955646500733820928/pu/vid/1280x720/qyS_HCnC3SQhE5nh.mp4", "https://video.twimg.com/ext_tw_video/955646500733820928/pu/vid/1280x720/qyS_HCnC3SQhE5nh.mp4")</f>
        <v/>
      </c>
      <c r="G1969" t="s"/>
      <c r="H1969" t="s"/>
      <c r="I1969" t="s"/>
      <c r="J1969" t="n">
        <v>-0.5334</v>
      </c>
      <c r="K1969" t="n">
        <v>0.135</v>
      </c>
      <c r="L1969" t="n">
        <v>0.865</v>
      </c>
      <c r="M1969" t="n">
        <v>0</v>
      </c>
    </row>
    <row r="1970" spans="1:13">
      <c r="A1970" s="1">
        <f>HYPERLINK("http://www.twitter.com/NathanBLawrence/status/999097738775224321", "999097738775224321")</f>
        <v/>
      </c>
      <c r="B1970" s="2" t="n">
        <v>43243.05598379629</v>
      </c>
      <c r="C1970" t="n">
        <v>4</v>
      </c>
      <c r="D1970" t="n">
        <v>1</v>
      </c>
      <c r="E1970" t="s">
        <v>1977</v>
      </c>
      <c r="F1970" t="s"/>
      <c r="G1970" t="s"/>
      <c r="H1970" t="s"/>
      <c r="I1970" t="s"/>
      <c r="J1970" t="n">
        <v>-0.7717000000000001</v>
      </c>
      <c r="K1970" t="n">
        <v>0.228</v>
      </c>
      <c r="L1970" t="n">
        <v>0.704</v>
      </c>
      <c r="M1970" t="n">
        <v>0.068</v>
      </c>
    </row>
    <row r="1971" spans="1:13">
      <c r="A1971" s="1">
        <f>HYPERLINK("http://www.twitter.com/NathanBLawrence/status/999097189401092097", "999097189401092097")</f>
        <v/>
      </c>
      <c r="B1971" s="2" t="n">
        <v>43243.05446759259</v>
      </c>
      <c r="C1971" t="n">
        <v>0</v>
      </c>
      <c r="D1971" t="n">
        <v>9</v>
      </c>
      <c r="E1971" t="s">
        <v>1978</v>
      </c>
      <c r="F1971" t="s"/>
      <c r="G1971" t="s"/>
      <c r="H1971" t="s"/>
      <c r="I1971" t="s"/>
      <c r="J1971" t="n">
        <v>0</v>
      </c>
      <c r="K1971" t="n">
        <v>0</v>
      </c>
      <c r="L1971" t="n">
        <v>1</v>
      </c>
      <c r="M1971" t="n">
        <v>0</v>
      </c>
    </row>
    <row r="1972" spans="1:13">
      <c r="A1972" s="1">
        <f>HYPERLINK("http://www.twitter.com/NathanBLawrence/status/999097156941250562", "999097156941250562")</f>
        <v/>
      </c>
      <c r="B1972" s="2" t="n">
        <v>43243.05438657408</v>
      </c>
      <c r="C1972" t="n">
        <v>0</v>
      </c>
      <c r="D1972" t="n">
        <v>529</v>
      </c>
      <c r="E1972" t="s">
        <v>1979</v>
      </c>
      <c r="F1972" t="s"/>
      <c r="G1972" t="s"/>
      <c r="H1972" t="s"/>
      <c r="I1972" t="s"/>
      <c r="J1972" t="n">
        <v>0.128</v>
      </c>
      <c r="K1972" t="n">
        <v>0</v>
      </c>
      <c r="L1972" t="n">
        <v>0.914</v>
      </c>
      <c r="M1972" t="n">
        <v>0.08599999999999999</v>
      </c>
    </row>
    <row r="1973" spans="1:13">
      <c r="A1973" s="1">
        <f>HYPERLINK("http://www.twitter.com/NathanBLawrence/status/999093963637383168", "999093963637383168")</f>
        <v/>
      </c>
      <c r="B1973" s="2" t="n">
        <v>43243.04556712963</v>
      </c>
      <c r="C1973" t="n">
        <v>0</v>
      </c>
      <c r="D1973" t="n">
        <v>154</v>
      </c>
      <c r="E1973" t="s">
        <v>1980</v>
      </c>
      <c r="F1973">
        <f>HYPERLINK("https://video.twimg.com/ext_tw_video/999002832786239488/pu/vid/720x720/2UqOcYJGsSXC1hEQ.mp4?tag=3", "https://video.twimg.com/ext_tw_video/999002832786239488/pu/vid/720x720/2UqOcYJGsSXC1hEQ.mp4?tag=3")</f>
        <v/>
      </c>
      <c r="G1973" t="s"/>
      <c r="H1973" t="s"/>
      <c r="I1973" t="s"/>
      <c r="J1973" t="n">
        <v>0.7399</v>
      </c>
      <c r="K1973" t="n">
        <v>0</v>
      </c>
      <c r="L1973" t="n">
        <v>0.724</v>
      </c>
      <c r="M1973" t="n">
        <v>0.276</v>
      </c>
    </row>
    <row r="1974" spans="1:13">
      <c r="A1974" s="1">
        <f>HYPERLINK("http://www.twitter.com/NathanBLawrence/status/999093908062789633", "999093908062789633")</f>
        <v/>
      </c>
      <c r="B1974" s="2" t="n">
        <v>43243.04541666667</v>
      </c>
      <c r="C1974" t="n">
        <v>0</v>
      </c>
      <c r="D1974" t="n">
        <v>115</v>
      </c>
      <c r="E1974" t="s">
        <v>1981</v>
      </c>
      <c r="F1974" t="s"/>
      <c r="G1974" t="s"/>
      <c r="H1974" t="s"/>
      <c r="I1974" t="s"/>
      <c r="J1974" t="n">
        <v>0.3903</v>
      </c>
      <c r="K1974" t="n">
        <v>0.083</v>
      </c>
      <c r="L1974" t="n">
        <v>0.736</v>
      </c>
      <c r="M1974" t="n">
        <v>0.18</v>
      </c>
    </row>
    <row r="1975" spans="1:13">
      <c r="A1975" s="1">
        <f>HYPERLINK("http://www.twitter.com/NathanBLawrence/status/999093824533204993", "999093824533204993")</f>
        <v/>
      </c>
      <c r="B1975" s="2" t="n">
        <v>43243.04518518518</v>
      </c>
      <c r="C1975" t="n">
        <v>0</v>
      </c>
      <c r="D1975" t="n">
        <v>439</v>
      </c>
      <c r="E1975" t="s">
        <v>1982</v>
      </c>
      <c r="F1975">
        <f>HYPERLINK("https://video.twimg.com/ext_tw_video/999091518890651649/pu/vid/1280x720/5NFag5KnI49FCVrP.mp4?tag=3", "https://video.twimg.com/ext_tw_video/999091518890651649/pu/vid/1280x720/5NFag5KnI49FCVrP.mp4?tag=3")</f>
        <v/>
      </c>
      <c r="G1975" t="s"/>
      <c r="H1975" t="s"/>
      <c r="I1975" t="s"/>
      <c r="J1975" t="n">
        <v>-0.4588</v>
      </c>
      <c r="K1975" t="n">
        <v>0.136</v>
      </c>
      <c r="L1975" t="n">
        <v>0.864</v>
      </c>
      <c r="M1975" t="n">
        <v>0</v>
      </c>
    </row>
    <row r="1976" spans="1:13">
      <c r="A1976" s="1">
        <f>HYPERLINK("http://www.twitter.com/NathanBLawrence/status/999093090567753728", "999093090567753728")</f>
        <v/>
      </c>
      <c r="B1976" s="2" t="n">
        <v>43243.04315972222</v>
      </c>
      <c r="C1976" t="n">
        <v>0</v>
      </c>
      <c r="D1976" t="n">
        <v>1</v>
      </c>
      <c r="E1976" t="s">
        <v>1983</v>
      </c>
      <c r="F1976" t="s"/>
      <c r="G1976" t="s"/>
      <c r="H1976" t="s"/>
      <c r="I1976" t="s"/>
      <c r="J1976" t="n">
        <v>0</v>
      </c>
      <c r="K1976" t="n">
        <v>0</v>
      </c>
      <c r="L1976" t="n">
        <v>1</v>
      </c>
      <c r="M1976" t="n">
        <v>0</v>
      </c>
    </row>
    <row r="1977" spans="1:13">
      <c r="A1977" s="1">
        <f>HYPERLINK("http://www.twitter.com/NathanBLawrence/status/999093038306742272", "999093038306742272")</f>
        <v/>
      </c>
      <c r="B1977" s="2" t="n">
        <v>43243.04302083333</v>
      </c>
      <c r="C1977" t="n">
        <v>0</v>
      </c>
      <c r="D1977" t="n">
        <v>1</v>
      </c>
      <c r="E1977" t="s">
        <v>1984</v>
      </c>
      <c r="F1977" t="s"/>
      <c r="G1977" t="s"/>
      <c r="H1977" t="s"/>
      <c r="I1977" t="s"/>
      <c r="J1977" t="n">
        <v>0.872</v>
      </c>
      <c r="K1977" t="n">
        <v>0</v>
      </c>
      <c r="L1977" t="n">
        <v>0.6879999999999999</v>
      </c>
      <c r="M1977" t="n">
        <v>0.312</v>
      </c>
    </row>
    <row r="1978" spans="1:13">
      <c r="A1978" s="1">
        <f>HYPERLINK("http://www.twitter.com/NathanBLawrence/status/999092905905217536", "999092905905217536")</f>
        <v/>
      </c>
      <c r="B1978" s="2" t="n">
        <v>43243.04265046296</v>
      </c>
      <c r="C1978" t="n">
        <v>0</v>
      </c>
      <c r="D1978" t="n">
        <v>1</v>
      </c>
      <c r="E1978" t="s">
        <v>1985</v>
      </c>
      <c r="F1978" t="s"/>
      <c r="G1978" t="s"/>
      <c r="H1978" t="s"/>
      <c r="I1978" t="s"/>
      <c r="J1978" t="n">
        <v>0.5574</v>
      </c>
      <c r="K1978" t="n">
        <v>0</v>
      </c>
      <c r="L1978" t="n">
        <v>0.859</v>
      </c>
      <c r="M1978" t="n">
        <v>0.141</v>
      </c>
    </row>
    <row r="1979" spans="1:13">
      <c r="A1979" s="1">
        <f>HYPERLINK("http://www.twitter.com/NathanBLawrence/status/999092849319776262", "999092849319776262")</f>
        <v/>
      </c>
      <c r="B1979" s="2" t="n">
        <v>43243.0425</v>
      </c>
      <c r="C1979" t="n">
        <v>0</v>
      </c>
      <c r="D1979" t="n">
        <v>1</v>
      </c>
      <c r="E1979" t="s">
        <v>1986</v>
      </c>
      <c r="F1979" t="s"/>
      <c r="G1979" t="s"/>
      <c r="H1979" t="s"/>
      <c r="I1979" t="s"/>
      <c r="J1979" t="n">
        <v>-0.4404</v>
      </c>
      <c r="K1979" t="n">
        <v>0.187</v>
      </c>
      <c r="L1979" t="n">
        <v>0.733</v>
      </c>
      <c r="M1979" t="n">
        <v>0.081</v>
      </c>
    </row>
    <row r="1980" spans="1:13">
      <c r="A1980" s="1">
        <f>HYPERLINK("http://www.twitter.com/NathanBLawrence/status/999092508536827905", "999092508536827905")</f>
        <v/>
      </c>
      <c r="B1980" s="2" t="n">
        <v>43243.04155092593</v>
      </c>
      <c r="C1980" t="n">
        <v>0</v>
      </c>
      <c r="D1980" t="n">
        <v>140</v>
      </c>
      <c r="E1980" t="s">
        <v>1987</v>
      </c>
      <c r="F1980" t="s"/>
      <c r="G1980" t="s"/>
      <c r="H1980" t="s"/>
      <c r="I1980" t="s"/>
      <c r="J1980" t="n">
        <v>-0.5266999999999999</v>
      </c>
      <c r="K1980" t="n">
        <v>0.145</v>
      </c>
      <c r="L1980" t="n">
        <v>0.855</v>
      </c>
      <c r="M1980" t="n">
        <v>0</v>
      </c>
    </row>
    <row r="1981" spans="1:13">
      <c r="A1981" s="1">
        <f>HYPERLINK("http://www.twitter.com/NathanBLawrence/status/999092473573109761", "999092473573109761")</f>
        <v/>
      </c>
      <c r="B1981" s="2" t="n">
        <v>43243.04145833333</v>
      </c>
      <c r="C1981" t="n">
        <v>0</v>
      </c>
      <c r="D1981" t="n">
        <v>205</v>
      </c>
      <c r="E1981" t="s">
        <v>1988</v>
      </c>
      <c r="F1981" t="s"/>
      <c r="G1981" t="s"/>
      <c r="H1981" t="s"/>
      <c r="I1981" t="s"/>
      <c r="J1981" t="n">
        <v>0.5574</v>
      </c>
      <c r="K1981" t="n">
        <v>0.073</v>
      </c>
      <c r="L1981" t="n">
        <v>0.733</v>
      </c>
      <c r="M1981" t="n">
        <v>0.193</v>
      </c>
    </row>
    <row r="1982" spans="1:13">
      <c r="A1982" s="1">
        <f>HYPERLINK("http://www.twitter.com/NathanBLawrence/status/999091981094711296", "999091981094711296")</f>
        <v/>
      </c>
      <c r="B1982" s="2" t="n">
        <v>43243.04010416667</v>
      </c>
      <c r="C1982" t="n">
        <v>0</v>
      </c>
      <c r="D1982" t="n">
        <v>1175</v>
      </c>
      <c r="E1982" t="s">
        <v>1989</v>
      </c>
      <c r="F1982" t="s"/>
      <c r="G1982" t="s"/>
      <c r="H1982" t="s"/>
      <c r="I1982" t="s"/>
      <c r="J1982" t="n">
        <v>0</v>
      </c>
      <c r="K1982" t="n">
        <v>0</v>
      </c>
      <c r="L1982" t="n">
        <v>1</v>
      </c>
      <c r="M1982" t="n">
        <v>0</v>
      </c>
    </row>
    <row r="1983" spans="1:13">
      <c r="A1983" s="1">
        <f>HYPERLINK("http://www.twitter.com/NathanBLawrence/status/999091141252435968", "999091141252435968")</f>
        <v/>
      </c>
      <c r="B1983" s="2" t="n">
        <v>43243.03777777778</v>
      </c>
      <c r="C1983" t="n">
        <v>0</v>
      </c>
      <c r="D1983" t="n">
        <v>168</v>
      </c>
      <c r="E1983" t="s">
        <v>1990</v>
      </c>
      <c r="F1983" t="s"/>
      <c r="G1983" t="s"/>
      <c r="H1983" t="s"/>
      <c r="I1983" t="s"/>
      <c r="J1983" t="n">
        <v>0.2263</v>
      </c>
      <c r="K1983" t="n">
        <v>0</v>
      </c>
      <c r="L1983" t="n">
        <v>0.913</v>
      </c>
      <c r="M1983" t="n">
        <v>0.08699999999999999</v>
      </c>
    </row>
    <row r="1984" spans="1:13">
      <c r="A1984" s="1">
        <f>HYPERLINK("http://www.twitter.com/NathanBLawrence/status/999090091170713601", "999090091170713601")</f>
        <v/>
      </c>
      <c r="B1984" s="2" t="n">
        <v>43243.03488425926</v>
      </c>
      <c r="C1984" t="n">
        <v>0</v>
      </c>
      <c r="D1984" t="n">
        <v>24</v>
      </c>
      <c r="E1984" t="s">
        <v>1991</v>
      </c>
      <c r="F1984">
        <f>HYPERLINK("http://pbs.twimg.com/media/Dd0Qr16VAAA99xU.jpg", "http://pbs.twimg.com/media/Dd0Qr16VAAA99xU.jpg")</f>
        <v/>
      </c>
      <c r="G1984" t="s"/>
      <c r="H1984" t="s"/>
      <c r="I1984" t="s"/>
      <c r="J1984" t="n">
        <v>0</v>
      </c>
      <c r="K1984" t="n">
        <v>0</v>
      </c>
      <c r="L1984" t="n">
        <v>1</v>
      </c>
      <c r="M1984" t="n">
        <v>0</v>
      </c>
    </row>
    <row r="1985" spans="1:13">
      <c r="A1985" s="1">
        <f>HYPERLINK("http://www.twitter.com/NathanBLawrence/status/999090022371528704", "999090022371528704")</f>
        <v/>
      </c>
      <c r="B1985" s="2" t="n">
        <v>43243.03469907407</v>
      </c>
      <c r="C1985" t="n">
        <v>0</v>
      </c>
      <c r="D1985" t="n">
        <v>3</v>
      </c>
      <c r="E1985" t="s">
        <v>1992</v>
      </c>
      <c r="F1985" t="s"/>
      <c r="G1985" t="s"/>
      <c r="H1985" t="s"/>
      <c r="I1985" t="s"/>
      <c r="J1985" t="n">
        <v>0</v>
      </c>
      <c r="K1985" t="n">
        <v>0</v>
      </c>
      <c r="L1985" t="n">
        <v>1</v>
      </c>
      <c r="M1985" t="n">
        <v>0</v>
      </c>
    </row>
    <row r="1986" spans="1:13">
      <c r="A1986" s="1">
        <f>HYPERLINK("http://www.twitter.com/NathanBLawrence/status/999090004856012801", "999090004856012801")</f>
        <v/>
      </c>
      <c r="B1986" s="2" t="n">
        <v>43243.03465277778</v>
      </c>
      <c r="C1986" t="n">
        <v>0</v>
      </c>
      <c r="D1986" t="n">
        <v>11</v>
      </c>
      <c r="E1986" t="s">
        <v>1993</v>
      </c>
      <c r="F1986">
        <f>HYPERLINK("http://pbs.twimg.com/media/Dd03msCV4AA84F1.jpg", "http://pbs.twimg.com/media/Dd03msCV4AA84F1.jpg")</f>
        <v/>
      </c>
      <c r="G1986" t="s"/>
      <c r="H1986" t="s"/>
      <c r="I1986" t="s"/>
      <c r="J1986" t="n">
        <v>0</v>
      </c>
      <c r="K1986" t="n">
        <v>0</v>
      </c>
      <c r="L1986" t="n">
        <v>1</v>
      </c>
      <c r="M1986" t="n">
        <v>0</v>
      </c>
    </row>
    <row r="1987" spans="1:13">
      <c r="A1987" s="1">
        <f>HYPERLINK("http://www.twitter.com/NathanBLawrence/status/999089897771360256", "999089897771360256")</f>
        <v/>
      </c>
      <c r="B1987" s="2" t="n">
        <v>43243.03435185185</v>
      </c>
      <c r="C1987" t="n">
        <v>0</v>
      </c>
      <c r="D1987" t="n">
        <v>3600</v>
      </c>
      <c r="E1987" t="s">
        <v>1994</v>
      </c>
      <c r="F1987" t="s"/>
      <c r="G1987" t="s"/>
      <c r="H1987" t="s"/>
      <c r="I1987" t="s"/>
      <c r="J1987" t="n">
        <v>-0.6486</v>
      </c>
      <c r="K1987" t="n">
        <v>0.249</v>
      </c>
      <c r="L1987" t="n">
        <v>0.751</v>
      </c>
      <c r="M1987" t="n">
        <v>0</v>
      </c>
    </row>
    <row r="1988" spans="1:13">
      <c r="A1988" s="1">
        <f>HYPERLINK("http://www.twitter.com/NathanBLawrence/status/999089579503255553", "999089579503255553")</f>
        <v/>
      </c>
      <c r="B1988" s="2" t="n">
        <v>43243.03347222223</v>
      </c>
      <c r="C1988" t="n">
        <v>0</v>
      </c>
      <c r="D1988" t="n">
        <v>18</v>
      </c>
      <c r="E1988" t="s">
        <v>1995</v>
      </c>
      <c r="F1988">
        <f>HYPERLINK("http://pbs.twimg.com/media/Dd1KDbFVAAAHLiq.jpg", "http://pbs.twimg.com/media/Dd1KDbFVAAAHLiq.jpg")</f>
        <v/>
      </c>
      <c r="G1988" t="s"/>
      <c r="H1988" t="s"/>
      <c r="I1988" t="s"/>
      <c r="J1988" t="n">
        <v>0.6908</v>
      </c>
      <c r="K1988" t="n">
        <v>0</v>
      </c>
      <c r="L1988" t="n">
        <v>0.778</v>
      </c>
      <c r="M1988" t="n">
        <v>0.222</v>
      </c>
    </row>
    <row r="1989" spans="1:13">
      <c r="A1989" s="1">
        <f>HYPERLINK("http://www.twitter.com/NathanBLawrence/status/999089544745152515", "999089544745152515")</f>
        <v/>
      </c>
      <c r="B1989" s="2" t="n">
        <v>43243.03337962963</v>
      </c>
      <c r="C1989" t="n">
        <v>0</v>
      </c>
      <c r="D1989" t="n">
        <v>134</v>
      </c>
      <c r="E1989" t="s">
        <v>1996</v>
      </c>
      <c r="F1989">
        <f>HYPERLINK("http://pbs.twimg.com/media/Dd0WUt7UQAAp1Cu.jpg", "http://pbs.twimg.com/media/Dd0WUt7UQAAp1Cu.jpg")</f>
        <v/>
      </c>
      <c r="G1989" t="s"/>
      <c r="H1989" t="s"/>
      <c r="I1989" t="s"/>
      <c r="J1989" t="n">
        <v>0</v>
      </c>
      <c r="K1989" t="n">
        <v>0</v>
      </c>
      <c r="L1989" t="n">
        <v>1</v>
      </c>
      <c r="M1989" t="n">
        <v>0</v>
      </c>
    </row>
    <row r="1990" spans="1:13">
      <c r="A1990" s="1">
        <f>HYPERLINK("http://www.twitter.com/NathanBLawrence/status/999089170160214016", "999089170160214016")</f>
        <v/>
      </c>
      <c r="B1990" s="2" t="n">
        <v>43243.03234953704</v>
      </c>
      <c r="C1990" t="n">
        <v>0</v>
      </c>
      <c r="D1990" t="n">
        <v>85</v>
      </c>
      <c r="E1990" t="s">
        <v>1997</v>
      </c>
      <c r="F1990" t="s"/>
      <c r="G1990" t="s"/>
      <c r="H1990" t="s"/>
      <c r="I1990" t="s"/>
      <c r="J1990" t="n">
        <v>0.0772</v>
      </c>
      <c r="K1990" t="n">
        <v>0</v>
      </c>
      <c r="L1990" t="n">
        <v>0.9419999999999999</v>
      </c>
      <c r="M1990" t="n">
        <v>0.058</v>
      </c>
    </row>
    <row r="1991" spans="1:13">
      <c r="A1991" s="1">
        <f>HYPERLINK("http://www.twitter.com/NathanBLawrence/status/999088414124322816", "999088414124322816")</f>
        <v/>
      </c>
      <c r="B1991" s="2" t="n">
        <v>43243.03025462963</v>
      </c>
      <c r="C1991" t="n">
        <v>0</v>
      </c>
      <c r="D1991" t="n">
        <v>167</v>
      </c>
      <c r="E1991" t="s">
        <v>1998</v>
      </c>
      <c r="F1991" t="s"/>
      <c r="G1991" t="s"/>
      <c r="H1991" t="s"/>
      <c r="I1991" t="s"/>
      <c r="J1991" t="n">
        <v>0</v>
      </c>
      <c r="K1991" t="n">
        <v>0</v>
      </c>
      <c r="L1991" t="n">
        <v>1</v>
      </c>
      <c r="M1991" t="n">
        <v>0</v>
      </c>
    </row>
    <row r="1992" spans="1:13">
      <c r="A1992" s="1">
        <f>HYPERLINK("http://www.twitter.com/NathanBLawrence/status/999088249007165441", "999088249007165441")</f>
        <v/>
      </c>
      <c r="B1992" s="2" t="n">
        <v>43243.02980324074</v>
      </c>
      <c r="C1992" t="n">
        <v>0</v>
      </c>
      <c r="D1992" t="n">
        <v>65</v>
      </c>
      <c r="E1992" t="s">
        <v>1999</v>
      </c>
      <c r="F1992">
        <f>HYPERLINK("http://pbs.twimg.com/media/Dd1eo_LV4AA9RgV.jpg", "http://pbs.twimg.com/media/Dd1eo_LV4AA9RgV.jpg")</f>
        <v/>
      </c>
      <c r="G1992" t="s"/>
      <c r="H1992" t="s"/>
      <c r="I1992" t="s"/>
      <c r="J1992" t="n">
        <v>0.8481</v>
      </c>
      <c r="K1992" t="n">
        <v>0</v>
      </c>
      <c r="L1992" t="n">
        <v>0.673</v>
      </c>
      <c r="M1992" t="n">
        <v>0.327</v>
      </c>
    </row>
    <row r="1993" spans="1:13">
      <c r="A1993" s="1">
        <f>HYPERLINK("http://www.twitter.com/NathanBLawrence/status/999086557146558464", "999086557146558464")</f>
        <v/>
      </c>
      <c r="B1993" s="2" t="n">
        <v>43243.02513888889</v>
      </c>
      <c r="C1993" t="n">
        <v>1</v>
      </c>
      <c r="D1993" t="n">
        <v>1</v>
      </c>
      <c r="E1993" t="s">
        <v>2000</v>
      </c>
      <c r="F1993" t="s"/>
      <c r="G1993" t="s"/>
      <c r="H1993" t="s"/>
      <c r="I1993" t="s"/>
      <c r="J1993" t="n">
        <v>-0.1779</v>
      </c>
      <c r="K1993" t="n">
        <v>0.116</v>
      </c>
      <c r="L1993" t="n">
        <v>0.794</v>
      </c>
      <c r="M1993" t="n">
        <v>0.09</v>
      </c>
    </row>
    <row r="1994" spans="1:13">
      <c r="A1994" s="1">
        <f>HYPERLINK("http://www.twitter.com/NathanBLawrence/status/999081196729483264", "999081196729483264")</f>
        <v/>
      </c>
      <c r="B1994" s="2" t="n">
        <v>43243.01033564815</v>
      </c>
      <c r="C1994" t="n">
        <v>0</v>
      </c>
      <c r="D1994" t="n">
        <v>0</v>
      </c>
      <c r="E1994" t="s">
        <v>2001</v>
      </c>
      <c r="F1994" t="s"/>
      <c r="G1994" t="s"/>
      <c r="H1994" t="s"/>
      <c r="I1994" t="s"/>
      <c r="J1994" t="n">
        <v>-0.1027</v>
      </c>
      <c r="K1994" t="n">
        <v>0.098</v>
      </c>
      <c r="L1994" t="n">
        <v>0.833</v>
      </c>
      <c r="M1994" t="n">
        <v>0.06900000000000001</v>
      </c>
    </row>
    <row r="1995" spans="1:13">
      <c r="A1995" s="1">
        <f>HYPERLINK("http://www.twitter.com/NathanBLawrence/status/999064864713736192", "999064864713736192")</f>
        <v/>
      </c>
      <c r="B1995" s="2" t="n">
        <v>43242.96527777778</v>
      </c>
      <c r="C1995" t="n">
        <v>0</v>
      </c>
      <c r="D1995" t="n">
        <v>0</v>
      </c>
      <c r="E1995" t="s">
        <v>2002</v>
      </c>
      <c r="F1995" t="s"/>
      <c r="G1995" t="s"/>
      <c r="H1995" t="s"/>
      <c r="I1995" t="s"/>
      <c r="J1995" t="n">
        <v>0</v>
      </c>
      <c r="K1995" t="n">
        <v>0</v>
      </c>
      <c r="L1995" t="n">
        <v>1</v>
      </c>
      <c r="M1995" t="n">
        <v>0</v>
      </c>
    </row>
    <row r="1996" spans="1:13">
      <c r="A1996" s="1">
        <f>HYPERLINK("http://www.twitter.com/NathanBLawrence/status/999063767857188865", "999063767857188865")</f>
        <v/>
      </c>
      <c r="B1996" s="2" t="n">
        <v>43242.96224537037</v>
      </c>
      <c r="C1996" t="n">
        <v>0</v>
      </c>
      <c r="D1996" t="n">
        <v>625</v>
      </c>
      <c r="E1996" t="s">
        <v>2003</v>
      </c>
      <c r="F1996" t="s"/>
      <c r="G1996" t="s"/>
      <c r="H1996" t="s"/>
      <c r="I1996" t="s"/>
      <c r="J1996" t="n">
        <v>0.6428</v>
      </c>
      <c r="K1996" t="n">
        <v>0.045</v>
      </c>
      <c r="L1996" t="n">
        <v>0.788</v>
      </c>
      <c r="M1996" t="n">
        <v>0.167</v>
      </c>
    </row>
    <row r="1997" spans="1:13">
      <c r="A1997" s="1">
        <f>HYPERLINK("http://www.twitter.com/NathanBLawrence/status/999063693114707968", "999063693114707968")</f>
        <v/>
      </c>
      <c r="B1997" s="2" t="n">
        <v>43242.96203703704</v>
      </c>
      <c r="C1997" t="n">
        <v>0</v>
      </c>
      <c r="D1997" t="n">
        <v>226</v>
      </c>
      <c r="E1997" t="s">
        <v>2004</v>
      </c>
      <c r="F1997" t="s"/>
      <c r="G1997" t="s"/>
      <c r="H1997" t="s"/>
      <c r="I1997" t="s"/>
      <c r="J1997" t="n">
        <v>0.6312</v>
      </c>
      <c r="K1997" t="n">
        <v>0.098</v>
      </c>
      <c r="L1997" t="n">
        <v>0.645</v>
      </c>
      <c r="M1997" t="n">
        <v>0.257</v>
      </c>
    </row>
    <row r="1998" spans="1:13">
      <c r="A1998" s="1">
        <f>HYPERLINK("http://www.twitter.com/NathanBLawrence/status/999063652325052416", "999063652325052416")</f>
        <v/>
      </c>
      <c r="B1998" s="2" t="n">
        <v>43242.96193287037</v>
      </c>
      <c r="C1998" t="n">
        <v>0</v>
      </c>
      <c r="D1998" t="n">
        <v>0</v>
      </c>
      <c r="E1998" t="s">
        <v>2005</v>
      </c>
      <c r="F1998" t="s"/>
      <c r="G1998" t="s"/>
      <c r="H1998" t="s"/>
      <c r="I1998" t="s"/>
      <c r="J1998" t="n">
        <v>0.7635</v>
      </c>
      <c r="K1998" t="n">
        <v>0.103</v>
      </c>
      <c r="L1998" t="n">
        <v>0.59</v>
      </c>
      <c r="M1998" t="n">
        <v>0.307</v>
      </c>
    </row>
    <row r="1999" spans="1:13">
      <c r="A1999" s="1">
        <f>HYPERLINK("http://www.twitter.com/NathanBLawrence/status/999063254239535104", "999063254239535104")</f>
        <v/>
      </c>
      <c r="B1999" s="2" t="n">
        <v>43242.96083333333</v>
      </c>
      <c r="C1999" t="n">
        <v>0</v>
      </c>
      <c r="D1999" t="n">
        <v>38</v>
      </c>
      <c r="E1999" t="s">
        <v>2006</v>
      </c>
      <c r="F1999" t="s"/>
      <c r="G1999" t="s"/>
      <c r="H1999" t="s"/>
      <c r="I1999" t="s"/>
      <c r="J1999" t="n">
        <v>0.3182</v>
      </c>
      <c r="K1999" t="n">
        <v>0</v>
      </c>
      <c r="L1999" t="n">
        <v>0.905</v>
      </c>
      <c r="M1999" t="n">
        <v>0.095</v>
      </c>
    </row>
    <row r="2000" spans="1:13">
      <c r="A2000" s="1">
        <f>HYPERLINK("http://www.twitter.com/NathanBLawrence/status/999063201068306437", "999063201068306437")</f>
        <v/>
      </c>
      <c r="B2000" s="2" t="n">
        <v>43242.96068287037</v>
      </c>
      <c r="C2000" t="n">
        <v>0</v>
      </c>
      <c r="D2000" t="n">
        <v>23</v>
      </c>
      <c r="E2000" t="s">
        <v>2007</v>
      </c>
      <c r="F2000" t="s"/>
      <c r="G2000" t="s"/>
      <c r="H2000" t="s"/>
      <c r="I2000" t="s"/>
      <c r="J2000" t="n">
        <v>-0.6739000000000001</v>
      </c>
      <c r="K2000" t="n">
        <v>0.211</v>
      </c>
      <c r="L2000" t="n">
        <v>0.711</v>
      </c>
      <c r="M2000" t="n">
        <v>0.077</v>
      </c>
    </row>
    <row r="2001" spans="1:13">
      <c r="A2001" s="1">
        <f>HYPERLINK("http://www.twitter.com/NathanBLawrence/status/999062958960496641", "999062958960496641")</f>
        <v/>
      </c>
      <c r="B2001" s="2" t="n">
        <v>43242.96001157408</v>
      </c>
      <c r="C2001" t="n">
        <v>0</v>
      </c>
      <c r="D2001" t="n">
        <v>182</v>
      </c>
      <c r="E2001" t="s">
        <v>2008</v>
      </c>
      <c r="F2001" t="s"/>
      <c r="G2001" t="s"/>
      <c r="H2001" t="s"/>
      <c r="I2001" t="s"/>
      <c r="J2001" t="n">
        <v>0.34</v>
      </c>
      <c r="K2001" t="n">
        <v>0</v>
      </c>
      <c r="L2001" t="n">
        <v>0.897</v>
      </c>
      <c r="M2001" t="n">
        <v>0.103</v>
      </c>
    </row>
    <row r="2002" spans="1:13">
      <c r="A2002" s="1">
        <f>HYPERLINK("http://www.twitter.com/NathanBLawrence/status/999062922033860608", "999062922033860608")</f>
        <v/>
      </c>
      <c r="B2002" s="2" t="n">
        <v>43242.95990740741</v>
      </c>
      <c r="C2002" t="n">
        <v>0</v>
      </c>
      <c r="D2002" t="n">
        <v>17</v>
      </c>
      <c r="E2002" t="s">
        <v>2009</v>
      </c>
      <c r="F2002" t="s"/>
      <c r="G2002" t="s"/>
      <c r="H2002" t="s"/>
      <c r="I2002" t="s"/>
      <c r="J2002" t="n">
        <v>-0.8957000000000001</v>
      </c>
      <c r="K2002" t="n">
        <v>0.5610000000000001</v>
      </c>
      <c r="L2002" t="n">
        <v>0.439</v>
      </c>
      <c r="M2002" t="n">
        <v>0</v>
      </c>
    </row>
    <row r="2003" spans="1:13">
      <c r="A2003" s="1">
        <f>HYPERLINK("http://www.twitter.com/NathanBLawrence/status/999062897627197446", "999062897627197446")</f>
        <v/>
      </c>
      <c r="B2003" s="2" t="n">
        <v>43242.95984953704</v>
      </c>
      <c r="C2003" t="n">
        <v>0</v>
      </c>
      <c r="D2003" t="n">
        <v>0</v>
      </c>
      <c r="E2003" t="s">
        <v>2010</v>
      </c>
      <c r="F2003" t="s"/>
      <c r="G2003" t="s"/>
      <c r="H2003" t="s"/>
      <c r="I2003" t="s"/>
      <c r="J2003" t="n">
        <v>0</v>
      </c>
      <c r="K2003" t="n">
        <v>0</v>
      </c>
      <c r="L2003" t="n">
        <v>1</v>
      </c>
      <c r="M2003" t="n">
        <v>0</v>
      </c>
    </row>
    <row r="2004" spans="1:13">
      <c r="A2004" s="1">
        <f>HYPERLINK("http://www.twitter.com/NathanBLawrence/status/999062688406949888", "999062688406949888")</f>
        <v/>
      </c>
      <c r="B2004" s="2" t="n">
        <v>43242.95927083334</v>
      </c>
      <c r="C2004" t="n">
        <v>0</v>
      </c>
      <c r="D2004" t="n">
        <v>9</v>
      </c>
      <c r="E2004" t="s">
        <v>2011</v>
      </c>
      <c r="F2004" t="s"/>
      <c r="G2004" t="s"/>
      <c r="H2004" t="s"/>
      <c r="I2004" t="s"/>
      <c r="J2004" t="n">
        <v>0.5106000000000001</v>
      </c>
      <c r="K2004" t="n">
        <v>0</v>
      </c>
      <c r="L2004" t="n">
        <v>0.8090000000000001</v>
      </c>
      <c r="M2004" t="n">
        <v>0.191</v>
      </c>
    </row>
    <row r="2005" spans="1:13">
      <c r="A2005" s="1">
        <f>HYPERLINK("http://www.twitter.com/NathanBLawrence/status/999062649773154307", "999062649773154307")</f>
        <v/>
      </c>
      <c r="B2005" s="2" t="n">
        <v>43242.95916666667</v>
      </c>
      <c r="C2005" t="n">
        <v>4</v>
      </c>
      <c r="D2005" t="n">
        <v>0</v>
      </c>
      <c r="E2005" t="s">
        <v>2012</v>
      </c>
      <c r="F2005" t="s"/>
      <c r="G2005" t="s"/>
      <c r="H2005" t="s"/>
      <c r="I2005" t="s"/>
      <c r="J2005" t="n">
        <v>-0.5707</v>
      </c>
      <c r="K2005" t="n">
        <v>0.123</v>
      </c>
      <c r="L2005" t="n">
        <v>0.849</v>
      </c>
      <c r="M2005" t="n">
        <v>0.028</v>
      </c>
    </row>
    <row r="2006" spans="1:13">
      <c r="A2006" s="1">
        <f>HYPERLINK("http://www.twitter.com/NathanBLawrence/status/999062060318253057", "999062060318253057")</f>
        <v/>
      </c>
      <c r="B2006" s="2" t="n">
        <v>43242.95753472222</v>
      </c>
      <c r="C2006" t="n">
        <v>0</v>
      </c>
      <c r="D2006" t="n">
        <v>1</v>
      </c>
      <c r="E2006" t="s">
        <v>2013</v>
      </c>
      <c r="F2006" t="s"/>
      <c r="G2006" t="s"/>
      <c r="H2006" t="s"/>
      <c r="I2006" t="s"/>
      <c r="J2006" t="n">
        <v>0.2057</v>
      </c>
      <c r="K2006" t="n">
        <v>0</v>
      </c>
      <c r="L2006" t="n">
        <v>0.92</v>
      </c>
      <c r="M2006" t="n">
        <v>0.08</v>
      </c>
    </row>
    <row r="2007" spans="1:13">
      <c r="A2007" s="1">
        <f>HYPERLINK("http://www.twitter.com/NathanBLawrence/status/999062026923204608", "999062026923204608")</f>
        <v/>
      </c>
      <c r="B2007" s="2" t="n">
        <v>43242.95744212963</v>
      </c>
      <c r="C2007" t="n">
        <v>0</v>
      </c>
      <c r="D2007" t="n">
        <v>1</v>
      </c>
      <c r="E2007" t="s">
        <v>2014</v>
      </c>
      <c r="F2007" t="s"/>
      <c r="G2007" t="s"/>
      <c r="H2007" t="s"/>
      <c r="I2007" t="s"/>
      <c r="J2007" t="n">
        <v>0</v>
      </c>
      <c r="K2007" t="n">
        <v>0</v>
      </c>
      <c r="L2007" t="n">
        <v>1</v>
      </c>
      <c r="M2007" t="n">
        <v>0</v>
      </c>
    </row>
    <row r="2008" spans="1:13">
      <c r="A2008" s="1">
        <f>HYPERLINK("http://www.twitter.com/NathanBLawrence/status/999061930307391489", "999061930307391489")</f>
        <v/>
      </c>
      <c r="B2008" s="2" t="n">
        <v>43242.95717592593</v>
      </c>
      <c r="C2008" t="n">
        <v>0</v>
      </c>
      <c r="D2008" t="n">
        <v>1</v>
      </c>
      <c r="E2008" t="s">
        <v>2015</v>
      </c>
      <c r="F2008" t="s"/>
      <c r="G2008" t="s"/>
      <c r="H2008" t="s"/>
      <c r="I2008" t="s"/>
      <c r="J2008" t="n">
        <v>0</v>
      </c>
      <c r="K2008" t="n">
        <v>0</v>
      </c>
      <c r="L2008" t="n">
        <v>1</v>
      </c>
      <c r="M2008" t="n">
        <v>0</v>
      </c>
    </row>
    <row r="2009" spans="1:13">
      <c r="A2009" s="1">
        <f>HYPERLINK("http://www.twitter.com/NathanBLawrence/status/999061879862505472", "999061879862505472")</f>
        <v/>
      </c>
      <c r="B2009" s="2" t="n">
        <v>43242.95703703703</v>
      </c>
      <c r="C2009" t="n">
        <v>0</v>
      </c>
      <c r="D2009" t="n">
        <v>1</v>
      </c>
      <c r="E2009" t="s">
        <v>2016</v>
      </c>
      <c r="F2009" t="s"/>
      <c r="G2009" t="s"/>
      <c r="H2009" t="s"/>
      <c r="I2009" t="s"/>
      <c r="J2009" t="n">
        <v>-0.3612</v>
      </c>
      <c r="K2009" t="n">
        <v>0.116</v>
      </c>
      <c r="L2009" t="n">
        <v>0.884</v>
      </c>
      <c r="M2009" t="n">
        <v>0</v>
      </c>
    </row>
    <row r="2010" spans="1:13">
      <c r="A2010" s="1">
        <f>HYPERLINK("http://www.twitter.com/NathanBLawrence/status/999061846085660672", "999061846085660672")</f>
        <v/>
      </c>
      <c r="B2010" s="2" t="n">
        <v>43242.95694444444</v>
      </c>
      <c r="C2010" t="n">
        <v>0</v>
      </c>
      <c r="D2010" t="n">
        <v>1</v>
      </c>
      <c r="E2010" t="s">
        <v>2017</v>
      </c>
      <c r="F2010" t="s"/>
      <c r="G2010" t="s"/>
      <c r="H2010" t="s"/>
      <c r="I2010" t="s"/>
      <c r="J2010" t="n">
        <v>0</v>
      </c>
      <c r="K2010" t="n">
        <v>0</v>
      </c>
      <c r="L2010" t="n">
        <v>1</v>
      </c>
      <c r="M2010" t="n">
        <v>0</v>
      </c>
    </row>
    <row r="2011" spans="1:13">
      <c r="A2011" s="1">
        <f>HYPERLINK("http://www.twitter.com/NathanBLawrence/status/999061775470428160", "999061775470428160")</f>
        <v/>
      </c>
      <c r="B2011" s="2" t="n">
        <v>43242.95674768519</v>
      </c>
      <c r="C2011" t="n">
        <v>0</v>
      </c>
      <c r="D2011" t="n">
        <v>1</v>
      </c>
      <c r="E2011" t="s">
        <v>2018</v>
      </c>
      <c r="F2011" t="s"/>
      <c r="G2011" t="s"/>
      <c r="H2011" t="s"/>
      <c r="I2011" t="s"/>
      <c r="J2011" t="n">
        <v>0</v>
      </c>
      <c r="K2011" t="n">
        <v>0</v>
      </c>
      <c r="L2011" t="n">
        <v>1</v>
      </c>
      <c r="M2011" t="n">
        <v>0</v>
      </c>
    </row>
    <row r="2012" spans="1:13">
      <c r="A2012" s="1">
        <f>HYPERLINK("http://www.twitter.com/NathanBLawrence/status/999061758248669184", "999061758248669184")</f>
        <v/>
      </c>
      <c r="B2012" s="2" t="n">
        <v>43242.95670138889</v>
      </c>
      <c r="C2012" t="n">
        <v>0</v>
      </c>
      <c r="D2012" t="n">
        <v>1</v>
      </c>
      <c r="E2012" t="s">
        <v>2019</v>
      </c>
      <c r="F2012" t="s"/>
      <c r="G2012" t="s"/>
      <c r="H2012" t="s"/>
      <c r="I2012" t="s"/>
      <c r="J2012" t="n">
        <v>-0.4404</v>
      </c>
      <c r="K2012" t="n">
        <v>0.146</v>
      </c>
      <c r="L2012" t="n">
        <v>0.854</v>
      </c>
      <c r="M2012" t="n">
        <v>0</v>
      </c>
    </row>
    <row r="2013" spans="1:13">
      <c r="A2013" s="1">
        <f>HYPERLINK("http://www.twitter.com/NathanBLawrence/status/999061733359718401", "999061733359718401")</f>
        <v/>
      </c>
      <c r="B2013" s="2" t="n">
        <v>43242.95663194444</v>
      </c>
      <c r="C2013" t="n">
        <v>0</v>
      </c>
      <c r="D2013" t="n">
        <v>1</v>
      </c>
      <c r="E2013" t="s">
        <v>2020</v>
      </c>
      <c r="F2013" t="s"/>
      <c r="G2013" t="s"/>
      <c r="H2013" t="s"/>
      <c r="I2013" t="s"/>
      <c r="J2013" t="n">
        <v>0.6872</v>
      </c>
      <c r="K2013" t="n">
        <v>0</v>
      </c>
      <c r="L2013" t="n">
        <v>0.761</v>
      </c>
      <c r="M2013" t="n">
        <v>0.239</v>
      </c>
    </row>
    <row r="2014" spans="1:13">
      <c r="A2014" s="1">
        <f>HYPERLINK("http://www.twitter.com/NathanBLawrence/status/999061623808589825", "999061623808589825")</f>
        <v/>
      </c>
      <c r="B2014" s="2" t="n">
        <v>43242.95633101852</v>
      </c>
      <c r="C2014" t="n">
        <v>0</v>
      </c>
      <c r="D2014" t="n">
        <v>11</v>
      </c>
      <c r="E2014" t="s">
        <v>2021</v>
      </c>
      <c r="F2014" t="s"/>
      <c r="G2014" t="s"/>
      <c r="H2014" t="s"/>
      <c r="I2014" t="s"/>
      <c r="J2014" t="n">
        <v>-0.7625</v>
      </c>
      <c r="K2014" t="n">
        <v>0.256</v>
      </c>
      <c r="L2014" t="n">
        <v>0.675</v>
      </c>
      <c r="M2014" t="n">
        <v>0.06900000000000001</v>
      </c>
    </row>
    <row r="2015" spans="1:13">
      <c r="A2015" s="1">
        <f>HYPERLINK("http://www.twitter.com/NathanBLawrence/status/999061566032154624", "999061566032154624")</f>
        <v/>
      </c>
      <c r="B2015" s="2" t="n">
        <v>43242.95616898148</v>
      </c>
      <c r="C2015" t="n">
        <v>0</v>
      </c>
      <c r="D2015" t="n">
        <v>18</v>
      </c>
      <c r="E2015" t="s">
        <v>2022</v>
      </c>
      <c r="F2015">
        <f>HYPERLINK("http://pbs.twimg.com/media/Dd00mMwU0AEhQHx.jpg", "http://pbs.twimg.com/media/Dd00mMwU0AEhQHx.jpg")</f>
        <v/>
      </c>
      <c r="G2015" t="s"/>
      <c r="H2015" t="s"/>
      <c r="I2015" t="s"/>
      <c r="J2015" t="n">
        <v>0</v>
      </c>
      <c r="K2015" t="n">
        <v>0</v>
      </c>
      <c r="L2015" t="n">
        <v>1</v>
      </c>
      <c r="M2015" t="n">
        <v>0</v>
      </c>
    </row>
    <row r="2016" spans="1:13">
      <c r="A2016" s="1">
        <f>HYPERLINK("http://www.twitter.com/NathanBLawrence/status/999061523711561728", "999061523711561728")</f>
        <v/>
      </c>
      <c r="B2016" s="2" t="n">
        <v>43242.95605324074</v>
      </c>
      <c r="C2016" t="n">
        <v>0</v>
      </c>
      <c r="D2016" t="n">
        <v>0</v>
      </c>
      <c r="E2016" t="s">
        <v>2023</v>
      </c>
      <c r="F2016" t="s"/>
      <c r="G2016" t="s"/>
      <c r="H2016" t="s"/>
      <c r="I2016" t="s"/>
      <c r="J2016" t="n">
        <v>0.3818</v>
      </c>
      <c r="K2016" t="n">
        <v>0</v>
      </c>
      <c r="L2016" t="n">
        <v>0.885</v>
      </c>
      <c r="M2016" t="n">
        <v>0.115</v>
      </c>
    </row>
    <row r="2017" spans="1:13">
      <c r="A2017" s="1">
        <f>HYPERLINK("http://www.twitter.com/NathanBLawrence/status/999061142696878083", "999061142696878083")</f>
        <v/>
      </c>
      <c r="B2017" s="2" t="n">
        <v>43242.955</v>
      </c>
      <c r="C2017" t="n">
        <v>0</v>
      </c>
      <c r="D2017" t="n">
        <v>24</v>
      </c>
      <c r="E2017" t="s">
        <v>2024</v>
      </c>
      <c r="F2017" t="s"/>
      <c r="G2017" t="s"/>
      <c r="H2017" t="s"/>
      <c r="I2017" t="s"/>
      <c r="J2017" t="n">
        <v>0.743</v>
      </c>
      <c r="K2017" t="n">
        <v>0.095</v>
      </c>
      <c r="L2017" t="n">
        <v>0.646</v>
      </c>
      <c r="M2017" t="n">
        <v>0.258</v>
      </c>
    </row>
    <row r="2018" spans="1:13">
      <c r="A2018" s="1">
        <f>HYPERLINK("http://www.twitter.com/NathanBLawrence/status/999061002015723520", "999061002015723520")</f>
        <v/>
      </c>
      <c r="B2018" s="2" t="n">
        <v>43242.95461805556</v>
      </c>
      <c r="C2018" t="n">
        <v>0</v>
      </c>
      <c r="D2018" t="n">
        <v>1375</v>
      </c>
      <c r="E2018" t="s">
        <v>2025</v>
      </c>
      <c r="F2018" t="s"/>
      <c r="G2018" t="s"/>
      <c r="H2018" t="s"/>
      <c r="I2018" t="s"/>
      <c r="J2018" t="n">
        <v>0</v>
      </c>
      <c r="K2018" t="n">
        <v>0</v>
      </c>
      <c r="L2018" t="n">
        <v>1</v>
      </c>
      <c r="M2018" t="n">
        <v>0</v>
      </c>
    </row>
    <row r="2019" spans="1:13">
      <c r="A2019" s="1">
        <f>HYPERLINK("http://www.twitter.com/NathanBLawrence/status/999054740456722432", "999054740456722432")</f>
        <v/>
      </c>
      <c r="B2019" s="2" t="n">
        <v>43242.93733796296</v>
      </c>
      <c r="C2019" t="n">
        <v>0</v>
      </c>
      <c r="D2019" t="n">
        <v>21</v>
      </c>
      <c r="E2019" t="s">
        <v>2026</v>
      </c>
      <c r="F2019" t="s"/>
      <c r="G2019" t="s"/>
      <c r="H2019" t="s"/>
      <c r="I2019" t="s"/>
      <c r="J2019" t="n">
        <v>0.5473</v>
      </c>
      <c r="K2019" t="n">
        <v>0</v>
      </c>
      <c r="L2019" t="n">
        <v>0.459</v>
      </c>
      <c r="M2019" t="n">
        <v>0.541</v>
      </c>
    </row>
    <row r="2020" spans="1:13">
      <c r="A2020" s="1">
        <f>HYPERLINK("http://www.twitter.com/NathanBLawrence/status/999054609938296833", "999054609938296833")</f>
        <v/>
      </c>
      <c r="B2020" s="2" t="n">
        <v>43242.93697916667</v>
      </c>
      <c r="C2020" t="n">
        <v>0</v>
      </c>
      <c r="D2020" t="n">
        <v>4</v>
      </c>
      <c r="E2020" t="s">
        <v>2027</v>
      </c>
      <c r="F2020" t="s"/>
      <c r="G2020" t="s"/>
      <c r="H2020" t="s"/>
      <c r="I2020" t="s"/>
      <c r="J2020" t="n">
        <v>0.6588000000000001</v>
      </c>
      <c r="K2020" t="n">
        <v>0</v>
      </c>
      <c r="L2020" t="n">
        <v>0.695</v>
      </c>
      <c r="M2020" t="n">
        <v>0.305</v>
      </c>
    </row>
    <row r="2021" spans="1:13">
      <c r="A2021" s="1">
        <f>HYPERLINK("http://www.twitter.com/NathanBLawrence/status/999054529743282176", "999054529743282176")</f>
        <v/>
      </c>
      <c r="B2021" s="2" t="n">
        <v>43242.93675925926</v>
      </c>
      <c r="C2021" t="n">
        <v>0</v>
      </c>
      <c r="D2021" t="n">
        <v>358</v>
      </c>
      <c r="E2021" t="s">
        <v>2028</v>
      </c>
      <c r="F2021" t="s"/>
      <c r="G2021" t="s"/>
      <c r="H2021" t="s"/>
      <c r="I2021" t="s"/>
      <c r="J2021" t="n">
        <v>0.7506</v>
      </c>
      <c r="K2021" t="n">
        <v>0</v>
      </c>
      <c r="L2021" t="n">
        <v>0.72</v>
      </c>
      <c r="M2021" t="n">
        <v>0.28</v>
      </c>
    </row>
    <row r="2022" spans="1:13">
      <c r="A2022" s="1">
        <f>HYPERLINK("http://www.twitter.com/NathanBLawrence/status/999054469966024704", "999054469966024704")</f>
        <v/>
      </c>
      <c r="B2022" s="2" t="n">
        <v>43242.93658564815</v>
      </c>
      <c r="C2022" t="n">
        <v>0</v>
      </c>
      <c r="D2022" t="n">
        <v>110</v>
      </c>
      <c r="E2022" t="s">
        <v>2029</v>
      </c>
      <c r="F2022" t="s"/>
      <c r="G2022" t="s"/>
      <c r="H2022" t="s"/>
      <c r="I2022" t="s"/>
      <c r="J2022" t="n">
        <v>0</v>
      </c>
      <c r="K2022" t="n">
        <v>0</v>
      </c>
      <c r="L2022" t="n">
        <v>1</v>
      </c>
      <c r="M2022" t="n">
        <v>0</v>
      </c>
    </row>
    <row r="2023" spans="1:13">
      <c r="A2023" s="1">
        <f>HYPERLINK("http://www.twitter.com/NathanBLawrence/status/999043910117752838", "999043910117752838")</f>
        <v/>
      </c>
      <c r="B2023" s="2" t="n">
        <v>43242.9074537037</v>
      </c>
      <c r="C2023" t="n">
        <v>2</v>
      </c>
      <c r="D2023" t="n">
        <v>0</v>
      </c>
      <c r="E2023" t="s">
        <v>2030</v>
      </c>
      <c r="F2023" t="s"/>
      <c r="G2023" t="s"/>
      <c r="H2023" t="s"/>
      <c r="I2023" t="s"/>
      <c r="J2023" t="n">
        <v>-0.1739</v>
      </c>
      <c r="K2023" t="n">
        <v>0.099</v>
      </c>
      <c r="L2023" t="n">
        <v>0.826</v>
      </c>
      <c r="M2023" t="n">
        <v>0.076</v>
      </c>
    </row>
    <row r="2024" spans="1:13">
      <c r="A2024" s="1">
        <f>HYPERLINK("http://www.twitter.com/NathanBLawrence/status/999041620208168960", "999041620208168960")</f>
        <v/>
      </c>
      <c r="B2024" s="2" t="n">
        <v>43242.90113425926</v>
      </c>
      <c r="C2024" t="n">
        <v>1</v>
      </c>
      <c r="D2024" t="n">
        <v>1</v>
      </c>
      <c r="E2024" t="s">
        <v>2031</v>
      </c>
      <c r="F2024" t="s"/>
      <c r="G2024" t="s"/>
      <c r="H2024" t="s"/>
      <c r="I2024" t="s"/>
      <c r="J2024" t="n">
        <v>-0.8555</v>
      </c>
      <c r="K2024" t="n">
        <v>0.203</v>
      </c>
      <c r="L2024" t="n">
        <v>0.797</v>
      </c>
      <c r="M2024" t="n">
        <v>0</v>
      </c>
    </row>
    <row r="2025" spans="1:13">
      <c r="A2025" s="1">
        <f>HYPERLINK("http://www.twitter.com/NathanBLawrence/status/999040782882439169", "999040782882439169")</f>
        <v/>
      </c>
      <c r="B2025" s="2" t="n">
        <v>43242.89881944445</v>
      </c>
      <c r="C2025" t="n">
        <v>1</v>
      </c>
      <c r="D2025" t="n">
        <v>1</v>
      </c>
      <c r="E2025" t="s">
        <v>2032</v>
      </c>
      <c r="F2025" t="s"/>
      <c r="G2025" t="s"/>
      <c r="H2025" t="s"/>
      <c r="I2025" t="s"/>
      <c r="J2025" t="n">
        <v>-0.8322000000000001</v>
      </c>
      <c r="K2025" t="n">
        <v>0.214</v>
      </c>
      <c r="L2025" t="n">
        <v>0.786</v>
      </c>
      <c r="M2025" t="n">
        <v>0</v>
      </c>
    </row>
    <row r="2026" spans="1:13">
      <c r="A2026" s="1">
        <f>HYPERLINK("http://www.twitter.com/NathanBLawrence/status/999040161861206016", "999040161861206016")</f>
        <v/>
      </c>
      <c r="B2026" s="2" t="n">
        <v>43242.89710648148</v>
      </c>
      <c r="C2026" t="n">
        <v>0</v>
      </c>
      <c r="D2026" t="n">
        <v>0</v>
      </c>
      <c r="E2026" t="s">
        <v>2033</v>
      </c>
      <c r="F2026" t="s"/>
      <c r="G2026" t="s"/>
      <c r="H2026" t="s"/>
      <c r="I2026" t="s"/>
      <c r="J2026" t="n">
        <v>-0.6204</v>
      </c>
      <c r="K2026" t="n">
        <v>0.212</v>
      </c>
      <c r="L2026" t="n">
        <v>0.7</v>
      </c>
      <c r="M2026" t="n">
        <v>0.08799999999999999</v>
      </c>
    </row>
    <row r="2027" spans="1:13">
      <c r="A2027" s="1">
        <f>HYPERLINK("http://www.twitter.com/NathanBLawrence/status/999039093144195072", "999039093144195072")</f>
        <v/>
      </c>
      <c r="B2027" s="2" t="n">
        <v>43242.8941550926</v>
      </c>
      <c r="C2027" t="n">
        <v>0</v>
      </c>
      <c r="D2027" t="n">
        <v>0</v>
      </c>
      <c r="E2027" t="s">
        <v>2034</v>
      </c>
      <c r="F2027" t="s"/>
      <c r="G2027" t="s"/>
      <c r="H2027" t="s"/>
      <c r="I2027" t="s"/>
      <c r="J2027" t="n">
        <v>0.3595</v>
      </c>
      <c r="K2027" t="n">
        <v>0</v>
      </c>
      <c r="L2027" t="n">
        <v>0.913</v>
      </c>
      <c r="M2027" t="n">
        <v>0.08699999999999999</v>
      </c>
    </row>
    <row r="2028" spans="1:13">
      <c r="A2028" s="1">
        <f>HYPERLINK("http://www.twitter.com/NathanBLawrence/status/999038183177379840", "999038183177379840")</f>
        <v/>
      </c>
      <c r="B2028" s="2" t="n">
        <v>43242.89164351852</v>
      </c>
      <c r="C2028" t="n">
        <v>1</v>
      </c>
      <c r="D2028" t="n">
        <v>0</v>
      </c>
      <c r="E2028" t="s">
        <v>2035</v>
      </c>
      <c r="F2028" t="s"/>
      <c r="G2028" t="s"/>
      <c r="H2028" t="s"/>
      <c r="I2028" t="s"/>
      <c r="J2028" t="n">
        <v>-0.0516</v>
      </c>
      <c r="K2028" t="n">
        <v>0.107</v>
      </c>
      <c r="L2028" t="n">
        <v>0.893</v>
      </c>
      <c r="M2028" t="n">
        <v>0</v>
      </c>
    </row>
    <row r="2029" spans="1:13">
      <c r="A2029" s="1">
        <f>HYPERLINK("http://www.twitter.com/NathanBLawrence/status/999037676643868672", "999037676643868672")</f>
        <v/>
      </c>
      <c r="B2029" s="2" t="n">
        <v>43242.89024305555</v>
      </c>
      <c r="C2029" t="n">
        <v>0</v>
      </c>
      <c r="D2029" t="n">
        <v>0</v>
      </c>
      <c r="E2029" t="s">
        <v>2036</v>
      </c>
      <c r="F2029" t="s"/>
      <c r="G2029" t="s"/>
      <c r="H2029" t="s"/>
      <c r="I2029" t="s"/>
      <c r="J2029" t="n">
        <v>-0.791</v>
      </c>
      <c r="K2029" t="n">
        <v>0.16</v>
      </c>
      <c r="L2029" t="n">
        <v>0.84</v>
      </c>
      <c r="M2029" t="n">
        <v>0</v>
      </c>
    </row>
    <row r="2030" spans="1:13">
      <c r="A2030" s="1">
        <f>HYPERLINK("http://www.twitter.com/NathanBLawrence/status/999036550599069697", "999036550599069697")</f>
        <v/>
      </c>
      <c r="B2030" s="2" t="n">
        <v>43242.8871412037</v>
      </c>
      <c r="C2030" t="n">
        <v>0</v>
      </c>
      <c r="D2030" t="n">
        <v>0</v>
      </c>
      <c r="E2030" t="s">
        <v>2037</v>
      </c>
      <c r="F2030" t="s"/>
      <c r="G2030" t="s"/>
      <c r="H2030" t="s"/>
      <c r="I2030" t="s"/>
      <c r="J2030" t="n">
        <v>-0.0516</v>
      </c>
      <c r="K2030" t="n">
        <v>0.052</v>
      </c>
      <c r="L2030" t="n">
        <v>0.901</v>
      </c>
      <c r="M2030" t="n">
        <v>0.047</v>
      </c>
    </row>
    <row r="2031" spans="1:13">
      <c r="A2031" s="1">
        <f>HYPERLINK("http://www.twitter.com/NathanBLawrence/status/999035312037867522", "999035312037867522")</f>
        <v/>
      </c>
      <c r="B2031" s="2" t="n">
        <v>43242.88372685185</v>
      </c>
      <c r="C2031" t="n">
        <v>0</v>
      </c>
      <c r="D2031" t="n">
        <v>0</v>
      </c>
      <c r="E2031" t="s">
        <v>2038</v>
      </c>
      <c r="F2031" t="s"/>
      <c r="G2031" t="s"/>
      <c r="H2031" t="s"/>
      <c r="I2031" t="s"/>
      <c r="J2031" t="n">
        <v>0.3802</v>
      </c>
      <c r="K2031" t="n">
        <v>0</v>
      </c>
      <c r="L2031" t="n">
        <v>0.912</v>
      </c>
      <c r="M2031" t="n">
        <v>0.08799999999999999</v>
      </c>
    </row>
    <row r="2032" spans="1:13">
      <c r="A2032" s="1">
        <f>HYPERLINK("http://www.twitter.com/NathanBLawrence/status/999034899481886723", "999034899481886723")</f>
        <v/>
      </c>
      <c r="B2032" s="2" t="n">
        <v>43242.88258101852</v>
      </c>
      <c r="C2032" t="n">
        <v>0</v>
      </c>
      <c r="D2032" t="n">
        <v>0</v>
      </c>
      <c r="E2032" t="s">
        <v>2039</v>
      </c>
      <c r="F2032" t="s"/>
      <c r="G2032" t="s"/>
      <c r="H2032" t="s"/>
      <c r="I2032" t="s"/>
      <c r="J2032" t="n">
        <v>0.1263</v>
      </c>
      <c r="K2032" t="n">
        <v>0.07099999999999999</v>
      </c>
      <c r="L2032" t="n">
        <v>0.824</v>
      </c>
      <c r="M2032" t="n">
        <v>0.106</v>
      </c>
    </row>
    <row r="2033" spans="1:13">
      <c r="A2033" s="1">
        <f>HYPERLINK("http://www.twitter.com/NathanBLawrence/status/999020430093701122", "999020430093701122")</f>
        <v/>
      </c>
      <c r="B2033" s="2" t="n">
        <v>43242.84266203704</v>
      </c>
      <c r="C2033" t="n">
        <v>0</v>
      </c>
      <c r="D2033" t="n">
        <v>133</v>
      </c>
      <c r="E2033" t="s">
        <v>2040</v>
      </c>
      <c r="F2033" t="s"/>
      <c r="G2033" t="s"/>
      <c r="H2033" t="s"/>
      <c r="I2033" t="s"/>
      <c r="J2033" t="n">
        <v>0</v>
      </c>
      <c r="K2033" t="n">
        <v>0</v>
      </c>
      <c r="L2033" t="n">
        <v>1</v>
      </c>
      <c r="M2033" t="n">
        <v>0</v>
      </c>
    </row>
    <row r="2034" spans="1:13">
      <c r="A2034" s="1">
        <f>HYPERLINK("http://www.twitter.com/NathanBLawrence/status/999020382613946368", "999020382613946368")</f>
        <v/>
      </c>
      <c r="B2034" s="2" t="n">
        <v>43242.84252314815</v>
      </c>
      <c r="C2034" t="n">
        <v>0</v>
      </c>
      <c r="D2034" t="n">
        <v>2503</v>
      </c>
      <c r="E2034" t="s">
        <v>2041</v>
      </c>
      <c r="F2034" t="s"/>
      <c r="G2034" t="s"/>
      <c r="H2034" t="s"/>
      <c r="I2034" t="s"/>
      <c r="J2034" t="n">
        <v>0.0258</v>
      </c>
      <c r="K2034" t="n">
        <v>0</v>
      </c>
      <c r="L2034" t="n">
        <v>0.948</v>
      </c>
      <c r="M2034" t="n">
        <v>0.052</v>
      </c>
    </row>
    <row r="2035" spans="1:13">
      <c r="A2035" s="1">
        <f>HYPERLINK("http://www.twitter.com/NathanBLawrence/status/999020330680225794", "999020330680225794")</f>
        <v/>
      </c>
      <c r="B2035" s="2" t="n">
        <v>43242.84238425926</v>
      </c>
      <c r="C2035" t="n">
        <v>0</v>
      </c>
      <c r="D2035" t="n">
        <v>210</v>
      </c>
      <c r="E2035" t="s">
        <v>2042</v>
      </c>
      <c r="F2035" t="s"/>
      <c r="G2035" t="s"/>
      <c r="H2035" t="s"/>
      <c r="I2035" t="s"/>
      <c r="J2035" t="n">
        <v>0</v>
      </c>
      <c r="K2035" t="n">
        <v>0</v>
      </c>
      <c r="L2035" t="n">
        <v>1</v>
      </c>
      <c r="M2035" t="n">
        <v>0</v>
      </c>
    </row>
    <row r="2036" spans="1:13">
      <c r="A2036" s="1">
        <f>HYPERLINK("http://www.twitter.com/NathanBLawrence/status/999020274916962305", "999020274916962305")</f>
        <v/>
      </c>
      <c r="B2036" s="2" t="n">
        <v>43242.8422337963</v>
      </c>
      <c r="C2036" t="n">
        <v>0</v>
      </c>
      <c r="D2036" t="n">
        <v>15</v>
      </c>
      <c r="E2036" t="s">
        <v>2043</v>
      </c>
      <c r="F2036" t="s"/>
      <c r="G2036" t="s"/>
      <c r="H2036" t="s"/>
      <c r="I2036" t="s"/>
      <c r="J2036" t="n">
        <v>0.4767</v>
      </c>
      <c r="K2036" t="n">
        <v>0</v>
      </c>
      <c r="L2036" t="n">
        <v>0.86</v>
      </c>
      <c r="M2036" t="n">
        <v>0.14</v>
      </c>
    </row>
    <row r="2037" spans="1:13">
      <c r="A2037" s="1">
        <f>HYPERLINK("http://www.twitter.com/NathanBLawrence/status/999019518390362113", "999019518390362113")</f>
        <v/>
      </c>
      <c r="B2037" s="2" t="n">
        <v>43242.84013888889</v>
      </c>
      <c r="C2037" t="n">
        <v>0</v>
      </c>
      <c r="D2037" t="n">
        <v>492</v>
      </c>
      <c r="E2037" t="s">
        <v>2044</v>
      </c>
      <c r="F2037" t="s"/>
      <c r="G2037" t="s"/>
      <c r="H2037" t="s"/>
      <c r="I2037" t="s"/>
      <c r="J2037" t="n">
        <v>0.5709</v>
      </c>
      <c r="K2037" t="n">
        <v>0</v>
      </c>
      <c r="L2037" t="n">
        <v>0.831</v>
      </c>
      <c r="M2037" t="n">
        <v>0.169</v>
      </c>
    </row>
    <row r="2038" spans="1:13">
      <c r="A2038" s="1">
        <f>HYPERLINK("http://www.twitter.com/NathanBLawrence/status/999019474601893890", "999019474601893890")</f>
        <v/>
      </c>
      <c r="B2038" s="2" t="n">
        <v>43242.84002314815</v>
      </c>
      <c r="C2038" t="n">
        <v>0</v>
      </c>
      <c r="D2038" t="n">
        <v>915</v>
      </c>
      <c r="E2038" t="s">
        <v>2045</v>
      </c>
      <c r="F2038" t="s"/>
      <c r="G2038" t="s"/>
      <c r="H2038" t="s"/>
      <c r="I2038" t="s"/>
      <c r="J2038" t="n">
        <v>-0.296</v>
      </c>
      <c r="K2038" t="n">
        <v>0.091</v>
      </c>
      <c r="L2038" t="n">
        <v>0.909</v>
      </c>
      <c r="M2038" t="n">
        <v>0</v>
      </c>
    </row>
    <row r="2039" spans="1:13">
      <c r="A2039" s="1">
        <f>HYPERLINK("http://www.twitter.com/NathanBLawrence/status/999019306565406722", "999019306565406722")</f>
        <v/>
      </c>
      <c r="B2039" s="2" t="n">
        <v>43242.83956018519</v>
      </c>
      <c r="C2039" t="n">
        <v>0</v>
      </c>
      <c r="D2039" t="n">
        <v>1553</v>
      </c>
      <c r="E2039" t="s">
        <v>2046</v>
      </c>
      <c r="F2039" t="s"/>
      <c r="G2039" t="s"/>
      <c r="H2039" t="s"/>
      <c r="I2039" t="s"/>
      <c r="J2039" t="n">
        <v>0</v>
      </c>
      <c r="K2039" t="n">
        <v>0</v>
      </c>
      <c r="L2039" t="n">
        <v>1</v>
      </c>
      <c r="M2039" t="n">
        <v>0</v>
      </c>
    </row>
    <row r="2040" spans="1:13">
      <c r="A2040" s="1">
        <f>HYPERLINK("http://www.twitter.com/NathanBLawrence/status/999019220674457601", "999019220674457601")</f>
        <v/>
      </c>
      <c r="B2040" s="2" t="n">
        <v>43242.83931712963</v>
      </c>
      <c r="C2040" t="n">
        <v>0</v>
      </c>
      <c r="D2040" t="n">
        <v>486</v>
      </c>
      <c r="E2040" t="s">
        <v>2047</v>
      </c>
      <c r="F2040" t="s"/>
      <c r="G2040" t="s"/>
      <c r="H2040" t="s"/>
      <c r="I2040" t="s"/>
      <c r="J2040" t="n">
        <v>0.0258</v>
      </c>
      <c r="K2040" t="n">
        <v>0</v>
      </c>
      <c r="L2040" t="n">
        <v>0.916</v>
      </c>
      <c r="M2040" t="n">
        <v>0.08400000000000001</v>
      </c>
    </row>
    <row r="2041" spans="1:13">
      <c r="A2041" s="1">
        <f>HYPERLINK("http://www.twitter.com/NathanBLawrence/status/999018177249112064", "999018177249112064")</f>
        <v/>
      </c>
      <c r="B2041" s="2" t="n">
        <v>43242.83643518519</v>
      </c>
      <c r="C2041" t="n">
        <v>0</v>
      </c>
      <c r="D2041" t="n">
        <v>341</v>
      </c>
      <c r="E2041" t="s">
        <v>2048</v>
      </c>
      <c r="F2041">
        <f>HYPERLINK("http://pbs.twimg.com/media/Ddx8bKYVMAYuECE.jpg", "http://pbs.twimg.com/media/Ddx8bKYVMAYuECE.jpg")</f>
        <v/>
      </c>
      <c r="G2041" t="s"/>
      <c r="H2041" t="s"/>
      <c r="I2041" t="s"/>
      <c r="J2041" t="n">
        <v>0.2808</v>
      </c>
      <c r="K2041" t="n">
        <v>0.079</v>
      </c>
      <c r="L2041" t="n">
        <v>0.789</v>
      </c>
      <c r="M2041" t="n">
        <v>0.132</v>
      </c>
    </row>
    <row r="2042" spans="1:13">
      <c r="A2042" s="1">
        <f>HYPERLINK("http://www.twitter.com/NathanBLawrence/status/999018064288079873", "999018064288079873")</f>
        <v/>
      </c>
      <c r="B2042" s="2" t="n">
        <v>43242.83613425926</v>
      </c>
      <c r="C2042" t="n">
        <v>0</v>
      </c>
      <c r="D2042" t="n">
        <v>3</v>
      </c>
      <c r="E2042" t="s">
        <v>2049</v>
      </c>
      <c r="F2042" t="s"/>
      <c r="G2042" t="s"/>
      <c r="H2042" t="s"/>
      <c r="I2042" t="s"/>
      <c r="J2042" t="n">
        <v>0.6657999999999999</v>
      </c>
      <c r="K2042" t="n">
        <v>0</v>
      </c>
      <c r="L2042" t="n">
        <v>0.767</v>
      </c>
      <c r="M2042" t="n">
        <v>0.233</v>
      </c>
    </row>
    <row r="2043" spans="1:13">
      <c r="A2043" s="1">
        <f>HYPERLINK("http://www.twitter.com/NathanBLawrence/status/999018039143292934", "999018039143292934")</f>
        <v/>
      </c>
      <c r="B2043" s="2" t="n">
        <v>43242.83606481482</v>
      </c>
      <c r="C2043" t="n">
        <v>0</v>
      </c>
      <c r="D2043" t="n">
        <v>373</v>
      </c>
      <c r="E2043" t="s">
        <v>2050</v>
      </c>
      <c r="F2043" t="s"/>
      <c r="G2043" t="s"/>
      <c r="H2043" t="s"/>
      <c r="I2043" t="s"/>
      <c r="J2043" t="n">
        <v>-0.6908</v>
      </c>
      <c r="K2043" t="n">
        <v>0.213</v>
      </c>
      <c r="L2043" t="n">
        <v>0.787</v>
      </c>
      <c r="M2043" t="n">
        <v>0</v>
      </c>
    </row>
    <row r="2044" spans="1:13">
      <c r="A2044" s="1">
        <f>HYPERLINK("http://www.twitter.com/NathanBLawrence/status/999017945153064961", "999017945153064961")</f>
        <v/>
      </c>
      <c r="B2044" s="2" t="n">
        <v>43242.83579861111</v>
      </c>
      <c r="C2044" t="n">
        <v>0</v>
      </c>
      <c r="D2044" t="n">
        <v>429</v>
      </c>
      <c r="E2044" t="s">
        <v>2051</v>
      </c>
      <c r="F2044" t="s"/>
      <c r="G2044" t="s"/>
      <c r="H2044" t="s"/>
      <c r="I2044" t="s"/>
      <c r="J2044" t="n">
        <v>0</v>
      </c>
      <c r="K2044" t="n">
        <v>0</v>
      </c>
      <c r="L2044" t="n">
        <v>1</v>
      </c>
      <c r="M2044" t="n">
        <v>0</v>
      </c>
    </row>
    <row r="2045" spans="1:13">
      <c r="A2045" s="1">
        <f>HYPERLINK("http://www.twitter.com/NathanBLawrence/status/999017927553712128", "999017927553712128")</f>
        <v/>
      </c>
      <c r="B2045" s="2" t="n">
        <v>43242.83575231482</v>
      </c>
      <c r="C2045" t="n">
        <v>0</v>
      </c>
      <c r="D2045" t="n">
        <v>786</v>
      </c>
      <c r="E2045" t="s">
        <v>2052</v>
      </c>
      <c r="F2045" t="s"/>
      <c r="G2045" t="s"/>
      <c r="H2045" t="s"/>
      <c r="I2045" t="s"/>
      <c r="J2045" t="n">
        <v>-0.2577</v>
      </c>
      <c r="K2045" t="n">
        <v>0.195</v>
      </c>
      <c r="L2045" t="n">
        <v>0.6830000000000001</v>
      </c>
      <c r="M2045" t="n">
        <v>0.122</v>
      </c>
    </row>
    <row r="2046" spans="1:13">
      <c r="A2046" s="1">
        <f>HYPERLINK("http://www.twitter.com/NathanBLawrence/status/999017850592522240", "999017850592522240")</f>
        <v/>
      </c>
      <c r="B2046" s="2" t="n">
        <v>43242.83554398148</v>
      </c>
      <c r="C2046" t="n">
        <v>0</v>
      </c>
      <c r="D2046" t="n">
        <v>111</v>
      </c>
      <c r="E2046" t="s">
        <v>2053</v>
      </c>
      <c r="F2046" t="s"/>
      <c r="G2046" t="s"/>
      <c r="H2046" t="s"/>
      <c r="I2046" t="s"/>
      <c r="J2046" t="n">
        <v>0</v>
      </c>
      <c r="K2046" t="n">
        <v>0</v>
      </c>
      <c r="L2046" t="n">
        <v>1</v>
      </c>
      <c r="M2046" t="n">
        <v>0</v>
      </c>
    </row>
    <row r="2047" spans="1:13">
      <c r="A2047" s="1">
        <f>HYPERLINK("http://www.twitter.com/NathanBLawrence/status/999017637454770176", "999017637454770176")</f>
        <v/>
      </c>
      <c r="B2047" s="2" t="n">
        <v>43242.83495370371</v>
      </c>
      <c r="C2047" t="n">
        <v>0</v>
      </c>
      <c r="D2047" t="n">
        <v>1</v>
      </c>
      <c r="E2047" t="s">
        <v>2054</v>
      </c>
      <c r="F2047" t="s"/>
      <c r="G2047" t="s"/>
      <c r="H2047" t="s"/>
      <c r="I2047" t="s"/>
      <c r="J2047" t="n">
        <v>0</v>
      </c>
      <c r="K2047" t="n">
        <v>0</v>
      </c>
      <c r="L2047" t="n">
        <v>1</v>
      </c>
      <c r="M2047" t="n">
        <v>0</v>
      </c>
    </row>
    <row r="2048" spans="1:13">
      <c r="A2048" s="1">
        <f>HYPERLINK("http://www.twitter.com/NathanBLawrence/status/999015704274898946", "999015704274898946")</f>
        <v/>
      </c>
      <c r="B2048" s="2" t="n">
        <v>43242.82961805556</v>
      </c>
      <c r="C2048" t="n">
        <v>0</v>
      </c>
      <c r="D2048" t="n">
        <v>0</v>
      </c>
      <c r="E2048" t="s">
        <v>2055</v>
      </c>
      <c r="F2048" t="s"/>
      <c r="G2048" t="s"/>
      <c r="H2048" t="s"/>
      <c r="I2048" t="s"/>
      <c r="J2048" t="n">
        <v>0</v>
      </c>
      <c r="K2048" t="n">
        <v>0</v>
      </c>
      <c r="L2048" t="n">
        <v>1</v>
      </c>
      <c r="M2048" t="n">
        <v>0</v>
      </c>
    </row>
    <row r="2049" spans="1:13">
      <c r="A2049" s="1">
        <f>HYPERLINK("http://www.twitter.com/NathanBLawrence/status/999014626380611584", "999014626380611584")</f>
        <v/>
      </c>
      <c r="B2049" s="2" t="n">
        <v>43242.82664351852</v>
      </c>
      <c r="C2049" t="n">
        <v>0</v>
      </c>
      <c r="D2049" t="n">
        <v>0</v>
      </c>
      <c r="E2049" t="s">
        <v>2056</v>
      </c>
      <c r="F2049" t="s"/>
      <c r="G2049" t="s"/>
      <c r="H2049" t="s"/>
      <c r="I2049" t="s"/>
      <c r="J2049" t="n">
        <v>-0.4019</v>
      </c>
      <c r="K2049" t="n">
        <v>0.252</v>
      </c>
      <c r="L2049" t="n">
        <v>0.748</v>
      </c>
      <c r="M2049" t="n">
        <v>0</v>
      </c>
    </row>
    <row r="2050" spans="1:13">
      <c r="A2050" s="1">
        <f>HYPERLINK("http://www.twitter.com/NathanBLawrence/status/999014311149424641", "999014311149424641")</f>
        <v/>
      </c>
      <c r="B2050" s="2" t="n">
        <v>43242.82577546296</v>
      </c>
      <c r="C2050" t="n">
        <v>0</v>
      </c>
      <c r="D2050" t="n">
        <v>0</v>
      </c>
      <c r="E2050" t="s">
        <v>2057</v>
      </c>
      <c r="F2050" t="s"/>
      <c r="G2050" t="s"/>
      <c r="H2050" t="s"/>
      <c r="I2050" t="s"/>
      <c r="J2050" t="n">
        <v>0</v>
      </c>
      <c r="K2050" t="n">
        <v>0</v>
      </c>
      <c r="L2050" t="n">
        <v>1</v>
      </c>
      <c r="M2050" t="n">
        <v>0</v>
      </c>
    </row>
    <row r="2051" spans="1:13">
      <c r="A2051" s="1">
        <f>HYPERLINK("http://www.twitter.com/NathanBLawrence/status/999013431008210944", "999013431008210944")</f>
        <v/>
      </c>
      <c r="B2051" s="2" t="n">
        <v>43242.82334490741</v>
      </c>
      <c r="C2051" t="n">
        <v>0</v>
      </c>
      <c r="D2051" t="n">
        <v>0</v>
      </c>
      <c r="E2051" t="s">
        <v>2058</v>
      </c>
      <c r="F2051" t="s"/>
      <c r="G2051" t="s"/>
      <c r="H2051" t="s"/>
      <c r="I2051" t="s"/>
      <c r="J2051" t="n">
        <v>0.3049</v>
      </c>
      <c r="K2051" t="n">
        <v>0.051</v>
      </c>
      <c r="L2051" t="n">
        <v>0.872</v>
      </c>
      <c r="M2051" t="n">
        <v>0.077</v>
      </c>
    </row>
    <row r="2052" spans="1:13">
      <c r="A2052" s="1">
        <f>HYPERLINK("http://www.twitter.com/NathanBLawrence/status/999012514758307846", "999012514758307846")</f>
        <v/>
      </c>
      <c r="B2052" s="2" t="n">
        <v>43242.82081018519</v>
      </c>
      <c r="C2052" t="n">
        <v>0</v>
      </c>
      <c r="D2052" t="n">
        <v>0</v>
      </c>
      <c r="E2052" t="s">
        <v>2059</v>
      </c>
      <c r="F2052" t="s"/>
      <c r="G2052" t="s"/>
      <c r="H2052" t="s"/>
      <c r="I2052" t="s"/>
      <c r="J2052" t="n">
        <v>0.3415</v>
      </c>
      <c r="K2052" t="n">
        <v>0.082</v>
      </c>
      <c r="L2052" t="n">
        <v>0.78</v>
      </c>
      <c r="M2052" t="n">
        <v>0.138</v>
      </c>
    </row>
    <row r="2053" spans="1:13">
      <c r="A2053" s="1">
        <f>HYPERLINK("http://www.twitter.com/NathanBLawrence/status/999012058288009217", "999012058288009217")</f>
        <v/>
      </c>
      <c r="B2053" s="2" t="n">
        <v>43242.81956018518</v>
      </c>
      <c r="C2053" t="n">
        <v>0</v>
      </c>
      <c r="D2053" t="n">
        <v>0</v>
      </c>
      <c r="E2053" t="s">
        <v>2060</v>
      </c>
      <c r="F2053" t="s"/>
      <c r="G2053" t="s"/>
      <c r="H2053" t="s"/>
      <c r="I2053" t="s"/>
      <c r="J2053" t="n">
        <v>-0.7187</v>
      </c>
      <c r="K2053" t="n">
        <v>0.625</v>
      </c>
      <c r="L2053" t="n">
        <v>0.375</v>
      </c>
      <c r="M2053" t="n">
        <v>0</v>
      </c>
    </row>
    <row r="2054" spans="1:13">
      <c r="A2054" s="1">
        <f>HYPERLINK("http://www.twitter.com/NathanBLawrence/status/999001737297055744", "999001737297055744")</f>
        <v/>
      </c>
      <c r="B2054" s="2" t="n">
        <v>43242.79107638889</v>
      </c>
      <c r="C2054" t="n">
        <v>1</v>
      </c>
      <c r="D2054" t="n">
        <v>0</v>
      </c>
      <c r="E2054" t="s">
        <v>2061</v>
      </c>
      <c r="F2054" t="s"/>
      <c r="G2054" t="s"/>
      <c r="H2054" t="s"/>
      <c r="I2054" t="s"/>
      <c r="J2054" t="n">
        <v>-0.6833</v>
      </c>
      <c r="K2054" t="n">
        <v>0.228</v>
      </c>
      <c r="L2054" t="n">
        <v>0.772</v>
      </c>
      <c r="M2054" t="n">
        <v>0</v>
      </c>
    </row>
    <row r="2055" spans="1:13">
      <c r="A2055" s="1">
        <f>HYPERLINK("http://www.twitter.com/NathanBLawrence/status/999000186042093569", "999000186042093569")</f>
        <v/>
      </c>
      <c r="B2055" s="2" t="n">
        <v>43242.78679398148</v>
      </c>
      <c r="C2055" t="n">
        <v>0</v>
      </c>
      <c r="D2055" t="n">
        <v>55</v>
      </c>
      <c r="E2055" t="s">
        <v>2062</v>
      </c>
      <c r="F2055" t="s"/>
      <c r="G2055" t="s"/>
      <c r="H2055" t="s"/>
      <c r="I2055" t="s"/>
      <c r="J2055" t="n">
        <v>0.128</v>
      </c>
      <c r="K2055" t="n">
        <v>0.096</v>
      </c>
      <c r="L2055" t="n">
        <v>0.786</v>
      </c>
      <c r="M2055" t="n">
        <v>0.118</v>
      </c>
    </row>
    <row r="2056" spans="1:13">
      <c r="A2056" s="1">
        <f>HYPERLINK("http://www.twitter.com/NathanBLawrence/status/999000130047983617", "999000130047983617")</f>
        <v/>
      </c>
      <c r="B2056" s="2" t="n">
        <v>43242.78664351852</v>
      </c>
      <c r="C2056" t="n">
        <v>1</v>
      </c>
      <c r="D2056" t="n">
        <v>0</v>
      </c>
      <c r="E2056" t="s">
        <v>2063</v>
      </c>
      <c r="F2056" t="s"/>
      <c r="G2056" t="s"/>
      <c r="H2056" t="s"/>
      <c r="I2056" t="s"/>
      <c r="J2056" t="n">
        <v>0.4003</v>
      </c>
      <c r="K2056" t="n">
        <v>0</v>
      </c>
      <c r="L2056" t="n">
        <v>0.922</v>
      </c>
      <c r="M2056" t="n">
        <v>0.078</v>
      </c>
    </row>
    <row r="2057" spans="1:13">
      <c r="A2057" s="1">
        <f>HYPERLINK("http://www.twitter.com/NathanBLawrence/status/998999499124166661", "998999499124166661")</f>
        <v/>
      </c>
      <c r="B2057" s="2" t="n">
        <v>43242.78489583333</v>
      </c>
      <c r="C2057" t="n">
        <v>0</v>
      </c>
      <c r="D2057" t="n">
        <v>15</v>
      </c>
      <c r="E2057" t="s">
        <v>2064</v>
      </c>
      <c r="F2057" t="s"/>
      <c r="G2057" t="s"/>
      <c r="H2057" t="s"/>
      <c r="I2057" t="s"/>
      <c r="J2057" t="n">
        <v>-0.4767</v>
      </c>
      <c r="K2057" t="n">
        <v>0.131</v>
      </c>
      <c r="L2057" t="n">
        <v>0.8149999999999999</v>
      </c>
      <c r="M2057" t="n">
        <v>0.054</v>
      </c>
    </row>
    <row r="2058" spans="1:13">
      <c r="A2058" s="1">
        <f>HYPERLINK("http://www.twitter.com/NathanBLawrence/status/998999431834947584", "998999431834947584")</f>
        <v/>
      </c>
      <c r="B2058" s="2" t="n">
        <v>43242.78471064815</v>
      </c>
      <c r="C2058" t="n">
        <v>0</v>
      </c>
      <c r="D2058" t="n">
        <v>12</v>
      </c>
      <c r="E2058" t="s">
        <v>2065</v>
      </c>
      <c r="F2058" t="s"/>
      <c r="G2058" t="s"/>
      <c r="H2058" t="s"/>
      <c r="I2058" t="s"/>
      <c r="J2058" t="n">
        <v>-0.7804</v>
      </c>
      <c r="K2058" t="n">
        <v>0.237</v>
      </c>
      <c r="L2058" t="n">
        <v>0.763</v>
      </c>
      <c r="M2058" t="n">
        <v>0</v>
      </c>
    </row>
    <row r="2059" spans="1:13">
      <c r="A2059" s="1">
        <f>HYPERLINK("http://www.twitter.com/NathanBLawrence/status/998999078045405184", "998999078045405184")</f>
        <v/>
      </c>
      <c r="B2059" s="2" t="n">
        <v>43242.78373842593</v>
      </c>
      <c r="C2059" t="n">
        <v>0</v>
      </c>
      <c r="D2059" t="n">
        <v>33</v>
      </c>
      <c r="E2059" t="s">
        <v>2066</v>
      </c>
      <c r="F2059" t="s"/>
      <c r="G2059" t="s"/>
      <c r="H2059" t="s"/>
      <c r="I2059" t="s"/>
      <c r="J2059" t="n">
        <v>0</v>
      </c>
      <c r="K2059" t="n">
        <v>0</v>
      </c>
      <c r="L2059" t="n">
        <v>1</v>
      </c>
      <c r="M2059" t="n">
        <v>0</v>
      </c>
    </row>
    <row r="2060" spans="1:13">
      <c r="A2060" s="1">
        <f>HYPERLINK("http://www.twitter.com/NathanBLawrence/status/998999028632379392", "998999028632379392")</f>
        <v/>
      </c>
      <c r="B2060" s="2" t="n">
        <v>43242.78359953704</v>
      </c>
      <c r="C2060" t="n">
        <v>0</v>
      </c>
      <c r="D2060" t="n">
        <v>33</v>
      </c>
      <c r="E2060" t="s">
        <v>2067</v>
      </c>
      <c r="F2060" t="s"/>
      <c r="G2060" t="s"/>
      <c r="H2060" t="s"/>
      <c r="I2060" t="s"/>
      <c r="J2060" t="n">
        <v>0.0772</v>
      </c>
      <c r="K2060" t="n">
        <v>0</v>
      </c>
      <c r="L2060" t="n">
        <v>0.9419999999999999</v>
      </c>
      <c r="M2060" t="n">
        <v>0.058</v>
      </c>
    </row>
    <row r="2061" spans="1:13">
      <c r="A2061" s="1">
        <f>HYPERLINK("http://www.twitter.com/NathanBLawrence/status/998998302849978368", "998998302849978368")</f>
        <v/>
      </c>
      <c r="B2061" s="2" t="n">
        <v>43242.78159722222</v>
      </c>
      <c r="C2061" t="n">
        <v>0</v>
      </c>
      <c r="D2061" t="n">
        <v>185</v>
      </c>
      <c r="E2061" t="s">
        <v>2068</v>
      </c>
      <c r="F2061" t="s"/>
      <c r="G2061" t="s"/>
      <c r="H2061" t="s"/>
      <c r="I2061" t="s"/>
      <c r="J2061" t="n">
        <v>0.5859</v>
      </c>
      <c r="K2061" t="n">
        <v>0</v>
      </c>
      <c r="L2061" t="n">
        <v>0.84</v>
      </c>
      <c r="M2061" t="n">
        <v>0.16</v>
      </c>
    </row>
    <row r="2062" spans="1:13">
      <c r="A2062" s="1">
        <f>HYPERLINK("http://www.twitter.com/NathanBLawrence/status/998991007306960897", "998991007306960897")</f>
        <v/>
      </c>
      <c r="B2062" s="2" t="n">
        <v>43242.7614699074</v>
      </c>
      <c r="C2062" t="n">
        <v>0</v>
      </c>
      <c r="D2062" t="n">
        <v>0</v>
      </c>
      <c r="E2062" t="s">
        <v>2069</v>
      </c>
      <c r="F2062" t="s"/>
      <c r="G2062" t="s"/>
      <c r="H2062" t="s"/>
      <c r="I2062" t="s"/>
      <c r="J2062" t="n">
        <v>0</v>
      </c>
      <c r="K2062" t="n">
        <v>0</v>
      </c>
      <c r="L2062" t="n">
        <v>1</v>
      </c>
      <c r="M2062" t="n">
        <v>0</v>
      </c>
    </row>
    <row r="2063" spans="1:13">
      <c r="A2063" s="1">
        <f>HYPERLINK("http://www.twitter.com/NathanBLawrence/status/998944165038821376", "998944165038821376")</f>
        <v/>
      </c>
      <c r="B2063" s="2" t="n">
        <v>43242.63221064815</v>
      </c>
      <c r="C2063" t="n">
        <v>0</v>
      </c>
      <c r="D2063" t="n">
        <v>0</v>
      </c>
      <c r="E2063" t="s">
        <v>2070</v>
      </c>
      <c r="F2063" t="s"/>
      <c r="G2063" t="s"/>
      <c r="H2063" t="s"/>
      <c r="I2063" t="s"/>
      <c r="J2063" t="n">
        <v>0</v>
      </c>
      <c r="K2063" t="n">
        <v>0</v>
      </c>
      <c r="L2063" t="n">
        <v>1</v>
      </c>
      <c r="M2063" t="n">
        <v>0</v>
      </c>
    </row>
    <row r="2064" spans="1:13">
      <c r="A2064" s="1">
        <f>HYPERLINK("http://www.twitter.com/NathanBLawrence/status/998943837258207233", "998943837258207233")</f>
        <v/>
      </c>
      <c r="B2064" s="2" t="n">
        <v>43242.6312962963</v>
      </c>
      <c r="C2064" t="n">
        <v>0</v>
      </c>
      <c r="D2064" t="n">
        <v>1017</v>
      </c>
      <c r="E2064" t="s">
        <v>2071</v>
      </c>
      <c r="F2064">
        <f>HYPERLINK("https://video.twimg.com/amplify_video/998907552225222656/vid/1280x720/oWRlYx3vt0opibDu.mp4?tag=2", "https://video.twimg.com/amplify_video/998907552225222656/vid/1280x720/oWRlYx3vt0opibDu.mp4?tag=2")</f>
        <v/>
      </c>
      <c r="G2064" t="s"/>
      <c r="H2064" t="s"/>
      <c r="I2064" t="s"/>
      <c r="J2064" t="n">
        <v>0.3182</v>
      </c>
      <c r="K2064" t="n">
        <v>0</v>
      </c>
      <c r="L2064" t="n">
        <v>0.901</v>
      </c>
      <c r="M2064" t="n">
        <v>0.099</v>
      </c>
    </row>
    <row r="2065" spans="1:13">
      <c r="A2065" s="1">
        <f>HYPERLINK("http://www.twitter.com/NathanBLawrence/status/998943781100687360", "998943781100687360")</f>
        <v/>
      </c>
      <c r="B2065" s="2" t="n">
        <v>43242.63114583334</v>
      </c>
      <c r="C2065" t="n">
        <v>0</v>
      </c>
      <c r="D2065" t="n">
        <v>35</v>
      </c>
      <c r="E2065" t="s">
        <v>2072</v>
      </c>
      <c r="F2065" t="s"/>
      <c r="G2065" t="s"/>
      <c r="H2065" t="s"/>
      <c r="I2065" t="s"/>
      <c r="J2065" t="n">
        <v>0.0613</v>
      </c>
      <c r="K2065" t="n">
        <v>0.203</v>
      </c>
      <c r="L2065" t="n">
        <v>0.58</v>
      </c>
      <c r="M2065" t="n">
        <v>0.217</v>
      </c>
    </row>
    <row r="2066" spans="1:13">
      <c r="A2066" s="1">
        <f>HYPERLINK("http://www.twitter.com/NathanBLawrence/status/998943650750124033", "998943650750124033")</f>
        <v/>
      </c>
      <c r="B2066" s="2" t="n">
        <v>43242.63078703704</v>
      </c>
      <c r="C2066" t="n">
        <v>0</v>
      </c>
      <c r="D2066" t="n">
        <v>41</v>
      </c>
      <c r="E2066" t="s">
        <v>2073</v>
      </c>
      <c r="F2066" t="s"/>
      <c r="G2066" t="s"/>
      <c r="H2066" t="s"/>
      <c r="I2066" t="s"/>
      <c r="J2066" t="n">
        <v>0</v>
      </c>
      <c r="K2066" t="n">
        <v>0</v>
      </c>
      <c r="L2066" t="n">
        <v>1</v>
      </c>
      <c r="M2066" t="n">
        <v>0</v>
      </c>
    </row>
    <row r="2067" spans="1:13">
      <c r="A2067" s="1">
        <f>HYPERLINK("http://www.twitter.com/NathanBLawrence/status/998943599889928192", "998943599889928192")</f>
        <v/>
      </c>
      <c r="B2067" s="2" t="n">
        <v>43242.63064814815</v>
      </c>
      <c r="C2067" t="n">
        <v>0</v>
      </c>
      <c r="D2067" t="n">
        <v>203</v>
      </c>
      <c r="E2067" t="s">
        <v>2074</v>
      </c>
      <c r="F2067" t="s"/>
      <c r="G2067" t="s"/>
      <c r="H2067" t="s"/>
      <c r="I2067" t="s"/>
      <c r="J2067" t="n">
        <v>0.4588</v>
      </c>
      <c r="K2067" t="n">
        <v>0</v>
      </c>
      <c r="L2067" t="n">
        <v>0.8100000000000001</v>
      </c>
      <c r="M2067" t="n">
        <v>0.19</v>
      </c>
    </row>
    <row r="2068" spans="1:13">
      <c r="A2068" s="1">
        <f>HYPERLINK("http://www.twitter.com/NathanBLawrence/status/998943571972640768", "998943571972640768")</f>
        <v/>
      </c>
      <c r="B2068" s="2" t="n">
        <v>43242.63056712963</v>
      </c>
      <c r="C2068" t="n">
        <v>0</v>
      </c>
      <c r="D2068" t="n">
        <v>235</v>
      </c>
      <c r="E2068" t="s">
        <v>2075</v>
      </c>
      <c r="F2068">
        <f>HYPERLINK("http://pbs.twimg.com/media/DdzYlLcVAAAJttp.jpg", "http://pbs.twimg.com/media/DdzYlLcVAAAJttp.jpg")</f>
        <v/>
      </c>
      <c r="G2068" t="s"/>
      <c r="H2068" t="s"/>
      <c r="I2068" t="s"/>
      <c r="J2068" t="n">
        <v>0.0258</v>
      </c>
      <c r="K2068" t="n">
        <v>0.095</v>
      </c>
      <c r="L2068" t="n">
        <v>0.806</v>
      </c>
      <c r="M2068" t="n">
        <v>0.099</v>
      </c>
    </row>
    <row r="2069" spans="1:13">
      <c r="A2069" s="1">
        <f>HYPERLINK("http://www.twitter.com/NathanBLawrence/status/998943450493014016", "998943450493014016")</f>
        <v/>
      </c>
      <c r="B2069" s="2" t="n">
        <v>43242.63023148148</v>
      </c>
      <c r="C2069" t="n">
        <v>0</v>
      </c>
      <c r="D2069" t="n">
        <v>127</v>
      </c>
      <c r="E2069" t="s">
        <v>2076</v>
      </c>
      <c r="F2069" t="s"/>
      <c r="G2069" t="s"/>
      <c r="H2069" t="s"/>
      <c r="I2069" t="s"/>
      <c r="J2069" t="n">
        <v>0.0258</v>
      </c>
      <c r="K2069" t="n">
        <v>0</v>
      </c>
      <c r="L2069" t="n">
        <v>0.952</v>
      </c>
      <c r="M2069" t="n">
        <v>0.048</v>
      </c>
    </row>
    <row r="2070" spans="1:13">
      <c r="A2070" s="1">
        <f>HYPERLINK("http://www.twitter.com/NathanBLawrence/status/998943366489526273", "998943366489526273")</f>
        <v/>
      </c>
      <c r="B2070" s="2" t="n">
        <v>43242.63</v>
      </c>
      <c r="C2070" t="n">
        <v>0</v>
      </c>
      <c r="D2070" t="n">
        <v>114</v>
      </c>
      <c r="E2070" t="s">
        <v>2077</v>
      </c>
      <c r="F2070" t="s"/>
      <c r="G2070" t="s"/>
      <c r="H2070" t="s"/>
      <c r="I2070" t="s"/>
      <c r="J2070" t="n">
        <v>0</v>
      </c>
      <c r="K2070" t="n">
        <v>0</v>
      </c>
      <c r="L2070" t="n">
        <v>1</v>
      </c>
      <c r="M2070" t="n">
        <v>0</v>
      </c>
    </row>
    <row r="2071" spans="1:13">
      <c r="A2071" s="1">
        <f>HYPERLINK("http://www.twitter.com/NathanBLawrence/status/998943350098157569", "998943350098157569")</f>
        <v/>
      </c>
      <c r="B2071" s="2" t="n">
        <v>43242.6299537037</v>
      </c>
      <c r="C2071" t="n">
        <v>0</v>
      </c>
      <c r="D2071" t="n">
        <v>194</v>
      </c>
      <c r="E2071" t="s">
        <v>2078</v>
      </c>
      <c r="F2071" t="s"/>
      <c r="G2071" t="s"/>
      <c r="H2071" t="s"/>
      <c r="I2071" t="s"/>
      <c r="J2071" t="n">
        <v>0</v>
      </c>
      <c r="K2071" t="n">
        <v>0</v>
      </c>
      <c r="L2071" t="n">
        <v>1</v>
      </c>
      <c r="M2071" t="n">
        <v>0</v>
      </c>
    </row>
    <row r="2072" spans="1:13">
      <c r="A2072" s="1">
        <f>HYPERLINK("http://www.twitter.com/NathanBLawrence/status/998943304610930688", "998943304610930688")</f>
        <v/>
      </c>
      <c r="B2072" s="2" t="n">
        <v>43242.62982638889</v>
      </c>
      <c r="C2072" t="n">
        <v>0</v>
      </c>
      <c r="D2072" t="n">
        <v>40</v>
      </c>
      <c r="E2072" t="s">
        <v>2079</v>
      </c>
      <c r="F2072" t="s"/>
      <c r="G2072" t="s"/>
      <c r="H2072" t="s"/>
      <c r="I2072" t="s"/>
      <c r="J2072" t="n">
        <v>0.2732</v>
      </c>
      <c r="K2072" t="n">
        <v>0</v>
      </c>
      <c r="L2072" t="n">
        <v>0.87</v>
      </c>
      <c r="M2072" t="n">
        <v>0.13</v>
      </c>
    </row>
    <row r="2073" spans="1:13">
      <c r="A2073" s="1">
        <f>HYPERLINK("http://www.twitter.com/NathanBLawrence/status/998943267780734977", "998943267780734977")</f>
        <v/>
      </c>
      <c r="B2073" s="2" t="n">
        <v>43242.6297337963</v>
      </c>
      <c r="C2073" t="n">
        <v>1</v>
      </c>
      <c r="D2073" t="n">
        <v>0</v>
      </c>
      <c r="E2073" t="s">
        <v>2080</v>
      </c>
      <c r="F2073" t="s"/>
      <c r="G2073" t="s"/>
      <c r="H2073" t="s"/>
      <c r="I2073" t="s"/>
      <c r="J2073" t="n">
        <v>0.7568</v>
      </c>
      <c r="K2073" t="n">
        <v>0</v>
      </c>
      <c r="L2073" t="n">
        <v>0.77</v>
      </c>
      <c r="M2073" t="n">
        <v>0.23</v>
      </c>
    </row>
    <row r="2074" spans="1:13">
      <c r="A2074" s="1">
        <f>HYPERLINK("http://www.twitter.com/NathanBLawrence/status/998942631689424897", "998942631689424897")</f>
        <v/>
      </c>
      <c r="B2074" s="2" t="n">
        <v>43242.62797453703</v>
      </c>
      <c r="C2074" t="n">
        <v>0</v>
      </c>
      <c r="D2074" t="n">
        <v>47</v>
      </c>
      <c r="E2074" t="s">
        <v>2081</v>
      </c>
      <c r="F2074" t="s"/>
      <c r="G2074" t="s"/>
      <c r="H2074" t="s"/>
      <c r="I2074" t="s"/>
      <c r="J2074" t="n">
        <v>-0.3182</v>
      </c>
      <c r="K2074" t="n">
        <v>0.161</v>
      </c>
      <c r="L2074" t="n">
        <v>0.839</v>
      </c>
      <c r="M2074" t="n">
        <v>0</v>
      </c>
    </row>
    <row r="2075" spans="1:13">
      <c r="A2075" s="1">
        <f>HYPERLINK("http://www.twitter.com/NathanBLawrence/status/998942593508618240", "998942593508618240")</f>
        <v/>
      </c>
      <c r="B2075" s="2" t="n">
        <v>43242.62787037037</v>
      </c>
      <c r="C2075" t="n">
        <v>0</v>
      </c>
      <c r="D2075" t="n">
        <v>33</v>
      </c>
      <c r="E2075" t="s">
        <v>2082</v>
      </c>
      <c r="F2075" t="s"/>
      <c r="G2075" t="s"/>
      <c r="H2075" t="s"/>
      <c r="I2075" t="s"/>
      <c r="J2075" t="n">
        <v>0</v>
      </c>
      <c r="K2075" t="n">
        <v>0</v>
      </c>
      <c r="L2075" t="n">
        <v>1</v>
      </c>
      <c r="M2075" t="n">
        <v>0</v>
      </c>
    </row>
    <row r="2076" spans="1:13">
      <c r="A2076" s="1">
        <f>HYPERLINK("http://www.twitter.com/NathanBLawrence/status/998942564102365185", "998942564102365185")</f>
        <v/>
      </c>
      <c r="B2076" s="2" t="n">
        <v>43242.62778935185</v>
      </c>
      <c r="C2076" t="n">
        <v>0</v>
      </c>
      <c r="D2076" t="n">
        <v>20</v>
      </c>
      <c r="E2076" t="s">
        <v>2083</v>
      </c>
      <c r="F2076" t="s"/>
      <c r="G2076" t="s"/>
      <c r="H2076" t="s"/>
      <c r="I2076" t="s"/>
      <c r="J2076" t="n">
        <v>0.7096</v>
      </c>
      <c r="K2076" t="n">
        <v>0</v>
      </c>
      <c r="L2076" t="n">
        <v>0.704</v>
      </c>
      <c r="M2076" t="n">
        <v>0.296</v>
      </c>
    </row>
    <row r="2077" spans="1:13">
      <c r="A2077" s="1">
        <f>HYPERLINK("http://www.twitter.com/NathanBLawrence/status/998942115479670784", "998942115479670784")</f>
        <v/>
      </c>
      <c r="B2077" s="2" t="n">
        <v>43242.62655092592</v>
      </c>
      <c r="C2077" t="n">
        <v>0</v>
      </c>
      <c r="D2077" t="n">
        <v>30</v>
      </c>
      <c r="E2077" t="s">
        <v>2084</v>
      </c>
      <c r="F2077" t="s"/>
      <c r="G2077" t="s"/>
      <c r="H2077" t="s"/>
      <c r="I2077" t="s"/>
      <c r="J2077" t="n">
        <v>0.4767</v>
      </c>
      <c r="K2077" t="n">
        <v>0.146</v>
      </c>
      <c r="L2077" t="n">
        <v>0.5629999999999999</v>
      </c>
      <c r="M2077" t="n">
        <v>0.291</v>
      </c>
    </row>
    <row r="2078" spans="1:13">
      <c r="A2078" s="1">
        <f>HYPERLINK("http://www.twitter.com/NathanBLawrence/status/998942063113789440", "998942063113789440")</f>
        <v/>
      </c>
      <c r="B2078" s="2" t="n">
        <v>43242.62640046296</v>
      </c>
      <c r="C2078" t="n">
        <v>0</v>
      </c>
      <c r="D2078" t="n">
        <v>52</v>
      </c>
      <c r="E2078" t="s">
        <v>2085</v>
      </c>
      <c r="F2078" t="s"/>
      <c r="G2078" t="s"/>
      <c r="H2078" t="s"/>
      <c r="I2078" t="s"/>
      <c r="J2078" t="n">
        <v>0.6908</v>
      </c>
      <c r="K2078" t="n">
        <v>0</v>
      </c>
      <c r="L2078" t="n">
        <v>0.794</v>
      </c>
      <c r="M2078" t="n">
        <v>0.206</v>
      </c>
    </row>
    <row r="2079" spans="1:13">
      <c r="A2079" s="1">
        <f>HYPERLINK("http://www.twitter.com/NathanBLawrence/status/998942006268264454", "998942006268264454")</f>
        <v/>
      </c>
      <c r="B2079" s="2" t="n">
        <v>43242.62625</v>
      </c>
      <c r="C2079" t="n">
        <v>0</v>
      </c>
      <c r="D2079" t="n">
        <v>0</v>
      </c>
      <c r="E2079" t="s">
        <v>2086</v>
      </c>
      <c r="F2079" t="s"/>
      <c r="G2079" t="s"/>
      <c r="H2079" t="s"/>
      <c r="I2079" t="s"/>
      <c r="J2079" t="n">
        <v>0.3182</v>
      </c>
      <c r="K2079" t="n">
        <v>0</v>
      </c>
      <c r="L2079" t="n">
        <v>0.839</v>
      </c>
      <c r="M2079" t="n">
        <v>0.161</v>
      </c>
    </row>
    <row r="2080" spans="1:13">
      <c r="A2080" s="1">
        <f>HYPERLINK("http://www.twitter.com/NathanBLawrence/status/998941684540026880", "998941684540026880")</f>
        <v/>
      </c>
      <c r="B2080" s="2" t="n">
        <v>43242.62535879629</v>
      </c>
      <c r="C2080" t="n">
        <v>0</v>
      </c>
      <c r="D2080" t="n">
        <v>122</v>
      </c>
      <c r="E2080" t="s">
        <v>2087</v>
      </c>
      <c r="F2080" t="s"/>
      <c r="G2080" t="s"/>
      <c r="H2080" t="s"/>
      <c r="I2080" t="s"/>
      <c r="J2080" t="n">
        <v>0</v>
      </c>
      <c r="K2080" t="n">
        <v>0</v>
      </c>
      <c r="L2080" t="n">
        <v>1</v>
      </c>
      <c r="M2080" t="n">
        <v>0</v>
      </c>
    </row>
    <row r="2081" spans="1:13">
      <c r="A2081" s="1">
        <f>HYPERLINK("http://www.twitter.com/NathanBLawrence/status/998941659856625664", "998941659856625664")</f>
        <v/>
      </c>
      <c r="B2081" s="2" t="n">
        <v>43242.62528935185</v>
      </c>
      <c r="C2081" t="n">
        <v>0</v>
      </c>
      <c r="D2081" t="n">
        <v>1978</v>
      </c>
      <c r="E2081" t="s">
        <v>2088</v>
      </c>
      <c r="F2081" t="s"/>
      <c r="G2081" t="s"/>
      <c r="H2081" t="s"/>
      <c r="I2081" t="s"/>
      <c r="J2081" t="n">
        <v>0</v>
      </c>
      <c r="K2081" t="n">
        <v>0</v>
      </c>
      <c r="L2081" t="n">
        <v>1</v>
      </c>
      <c r="M2081" t="n">
        <v>0</v>
      </c>
    </row>
    <row r="2082" spans="1:13">
      <c r="A2082" s="1">
        <f>HYPERLINK("http://www.twitter.com/NathanBLawrence/status/998941535092781063", "998941535092781063")</f>
        <v/>
      </c>
      <c r="B2082" s="2" t="n">
        <v>43242.6249537037</v>
      </c>
      <c r="C2082" t="n">
        <v>0</v>
      </c>
      <c r="D2082" t="n">
        <v>540</v>
      </c>
      <c r="E2082" t="s">
        <v>2089</v>
      </c>
      <c r="F2082" t="s"/>
      <c r="G2082" t="s"/>
      <c r="H2082" t="s"/>
      <c r="I2082" t="s"/>
      <c r="J2082" t="n">
        <v>0.4019</v>
      </c>
      <c r="K2082" t="n">
        <v>0</v>
      </c>
      <c r="L2082" t="n">
        <v>0.649</v>
      </c>
      <c r="M2082" t="n">
        <v>0.351</v>
      </c>
    </row>
    <row r="2083" spans="1:13">
      <c r="A2083" s="1">
        <f>HYPERLINK("http://www.twitter.com/NathanBLawrence/status/998941428217794560", "998941428217794560")</f>
        <v/>
      </c>
      <c r="B2083" s="2" t="n">
        <v>43242.62465277778</v>
      </c>
      <c r="C2083" t="n">
        <v>0</v>
      </c>
      <c r="D2083" t="n">
        <v>0</v>
      </c>
      <c r="E2083" t="s">
        <v>2090</v>
      </c>
      <c r="F2083" t="s"/>
      <c r="G2083" t="s"/>
      <c r="H2083" t="s"/>
      <c r="I2083" t="s"/>
      <c r="J2083" t="n">
        <v>-0.3612</v>
      </c>
      <c r="K2083" t="n">
        <v>0.135</v>
      </c>
      <c r="L2083" t="n">
        <v>0.865</v>
      </c>
      <c r="M2083" t="n">
        <v>0</v>
      </c>
    </row>
    <row r="2084" spans="1:13">
      <c r="A2084" s="1">
        <f>HYPERLINK("http://www.twitter.com/NathanBLawrence/status/998940941988827136", "998940941988827136")</f>
        <v/>
      </c>
      <c r="B2084" s="2" t="n">
        <v>43242.62331018518</v>
      </c>
      <c r="C2084" t="n">
        <v>0</v>
      </c>
      <c r="D2084" t="n">
        <v>1049</v>
      </c>
      <c r="E2084" t="s">
        <v>2091</v>
      </c>
      <c r="F2084" t="s"/>
      <c r="G2084" t="s"/>
      <c r="H2084" t="s"/>
      <c r="I2084" t="s"/>
      <c r="J2084" t="n">
        <v>-0.0608</v>
      </c>
      <c r="K2084" t="n">
        <v>0.08500000000000001</v>
      </c>
      <c r="L2084" t="n">
        <v>0.839</v>
      </c>
      <c r="M2084" t="n">
        <v>0.076</v>
      </c>
    </row>
    <row r="2085" spans="1:13">
      <c r="A2085" s="1">
        <f>HYPERLINK("http://www.twitter.com/NathanBLawrence/status/998940895788625920", "998940895788625920")</f>
        <v/>
      </c>
      <c r="B2085" s="2" t="n">
        <v>43242.62318287037</v>
      </c>
      <c r="C2085" t="n">
        <v>0</v>
      </c>
      <c r="D2085" t="n">
        <v>448</v>
      </c>
      <c r="E2085" t="s">
        <v>2092</v>
      </c>
      <c r="F2085" t="s"/>
      <c r="G2085" t="s"/>
      <c r="H2085" t="s"/>
      <c r="I2085" t="s"/>
      <c r="J2085" t="n">
        <v>0</v>
      </c>
      <c r="K2085" t="n">
        <v>0</v>
      </c>
      <c r="L2085" t="n">
        <v>1</v>
      </c>
      <c r="M2085" t="n">
        <v>0</v>
      </c>
    </row>
    <row r="2086" spans="1:13">
      <c r="A2086" s="1">
        <f>HYPERLINK("http://www.twitter.com/NathanBLawrence/status/998940745703788544", "998940745703788544")</f>
        <v/>
      </c>
      <c r="B2086" s="2" t="n">
        <v>43242.62276620371</v>
      </c>
      <c r="C2086" t="n">
        <v>0</v>
      </c>
      <c r="D2086" t="n">
        <v>729</v>
      </c>
      <c r="E2086" t="s">
        <v>2093</v>
      </c>
      <c r="F2086" t="s"/>
      <c r="G2086" t="s"/>
      <c r="H2086" t="s"/>
      <c r="I2086" t="s"/>
      <c r="J2086" t="n">
        <v>0.0772</v>
      </c>
      <c r="K2086" t="n">
        <v>0.132</v>
      </c>
      <c r="L2086" t="n">
        <v>0.719</v>
      </c>
      <c r="M2086" t="n">
        <v>0.15</v>
      </c>
    </row>
    <row r="2087" spans="1:13">
      <c r="A2087" s="1">
        <f>HYPERLINK("http://www.twitter.com/NathanBLawrence/status/998940697972690945", "998940697972690945")</f>
        <v/>
      </c>
      <c r="B2087" s="2" t="n">
        <v>43242.62263888889</v>
      </c>
      <c r="C2087" t="n">
        <v>0</v>
      </c>
      <c r="D2087" t="n">
        <v>662</v>
      </c>
      <c r="E2087" t="s">
        <v>2094</v>
      </c>
      <c r="F2087" t="s"/>
      <c r="G2087" t="s"/>
      <c r="H2087" t="s"/>
      <c r="I2087" t="s"/>
      <c r="J2087" t="n">
        <v>0.128</v>
      </c>
      <c r="K2087" t="n">
        <v>0</v>
      </c>
      <c r="L2087" t="n">
        <v>0.9389999999999999</v>
      </c>
      <c r="M2087" t="n">
        <v>0.061</v>
      </c>
    </row>
    <row r="2088" spans="1:13">
      <c r="A2088" s="1">
        <f>HYPERLINK("http://www.twitter.com/NathanBLawrence/status/998937057232859136", "998937057232859136")</f>
        <v/>
      </c>
      <c r="B2088" s="2" t="n">
        <v>43242.6125925926</v>
      </c>
      <c r="C2088" t="n">
        <v>0</v>
      </c>
      <c r="D2088" t="n">
        <v>1312</v>
      </c>
      <c r="E2088" t="s">
        <v>2095</v>
      </c>
      <c r="F2088" t="s"/>
      <c r="G2088" t="s"/>
      <c r="H2088" t="s"/>
      <c r="I2088" t="s"/>
      <c r="J2088" t="n">
        <v>-0.5106000000000001</v>
      </c>
      <c r="K2088" t="n">
        <v>0.136</v>
      </c>
      <c r="L2088" t="n">
        <v>0.864</v>
      </c>
      <c r="M2088" t="n">
        <v>0</v>
      </c>
    </row>
    <row r="2089" spans="1:13">
      <c r="A2089" s="1">
        <f>HYPERLINK("http://www.twitter.com/NathanBLawrence/status/998932019957653504", "998932019957653504")</f>
        <v/>
      </c>
      <c r="B2089" s="2" t="n">
        <v>43242.59869212963</v>
      </c>
      <c r="C2089" t="n">
        <v>4</v>
      </c>
      <c r="D2089" t="n">
        <v>4</v>
      </c>
      <c r="E2089" t="s">
        <v>2096</v>
      </c>
      <c r="F2089" t="s"/>
      <c r="G2089" t="s"/>
      <c r="H2089" t="s"/>
      <c r="I2089" t="s"/>
      <c r="J2089" t="n">
        <v>0.5859</v>
      </c>
      <c r="K2089" t="n">
        <v>0</v>
      </c>
      <c r="L2089" t="n">
        <v>0.826</v>
      </c>
      <c r="M2089" t="n">
        <v>0.174</v>
      </c>
    </row>
    <row r="2090" spans="1:13">
      <c r="A2090" s="1">
        <f>HYPERLINK("http://www.twitter.com/NathanBLawrence/status/998931316514197505", "998931316514197505")</f>
        <v/>
      </c>
      <c r="B2090" s="2" t="n">
        <v>43242.59674768519</v>
      </c>
      <c r="C2090" t="n">
        <v>0</v>
      </c>
      <c r="D2090" t="n">
        <v>2</v>
      </c>
      <c r="E2090" t="s">
        <v>2097</v>
      </c>
      <c r="F2090" t="s"/>
      <c r="G2090" t="s"/>
      <c r="H2090" t="s"/>
      <c r="I2090" t="s"/>
      <c r="J2090" t="n">
        <v>0.5859</v>
      </c>
      <c r="K2090" t="n">
        <v>0</v>
      </c>
      <c r="L2090" t="n">
        <v>0.652</v>
      </c>
      <c r="M2090" t="n">
        <v>0.348</v>
      </c>
    </row>
    <row r="2091" spans="1:13">
      <c r="A2091" s="1">
        <f>HYPERLINK("http://www.twitter.com/NathanBLawrence/status/998931279335907328", "998931279335907328")</f>
        <v/>
      </c>
      <c r="B2091" s="2" t="n">
        <v>43242.59664351852</v>
      </c>
      <c r="C2091" t="n">
        <v>0</v>
      </c>
      <c r="D2091" t="n">
        <v>15033</v>
      </c>
      <c r="E2091" t="s">
        <v>2098</v>
      </c>
      <c r="F2091" t="s"/>
      <c r="G2091" t="s"/>
      <c r="H2091" t="s"/>
      <c r="I2091" t="s"/>
      <c r="J2091" t="n">
        <v>0.4158</v>
      </c>
      <c r="K2091" t="n">
        <v>0</v>
      </c>
      <c r="L2091" t="n">
        <v>0.873</v>
      </c>
      <c r="M2091" t="n">
        <v>0.127</v>
      </c>
    </row>
    <row r="2092" spans="1:13">
      <c r="A2092" s="1">
        <f>HYPERLINK("http://www.twitter.com/NathanBLawrence/status/998931217771847680", "998931217771847680")</f>
        <v/>
      </c>
      <c r="B2092" s="2" t="n">
        <v>43242.59648148148</v>
      </c>
      <c r="C2092" t="n">
        <v>0</v>
      </c>
      <c r="D2092" t="n">
        <v>37</v>
      </c>
      <c r="E2092" t="s">
        <v>2099</v>
      </c>
      <c r="F2092" t="s"/>
      <c r="G2092" t="s"/>
      <c r="H2092" t="s"/>
      <c r="I2092" t="s"/>
      <c r="J2092" t="n">
        <v>0</v>
      </c>
      <c r="K2092" t="n">
        <v>0</v>
      </c>
      <c r="L2092" t="n">
        <v>1</v>
      </c>
      <c r="M2092" t="n">
        <v>0</v>
      </c>
    </row>
    <row r="2093" spans="1:13">
      <c r="A2093" s="1">
        <f>HYPERLINK("http://www.twitter.com/NathanBLawrence/status/998931161463345152", "998931161463345152")</f>
        <v/>
      </c>
      <c r="B2093" s="2" t="n">
        <v>43242.59631944444</v>
      </c>
      <c r="C2093" t="n">
        <v>0</v>
      </c>
      <c r="D2093" t="n">
        <v>325</v>
      </c>
      <c r="E2093" t="s">
        <v>2100</v>
      </c>
      <c r="F2093" t="s"/>
      <c r="G2093" t="s"/>
      <c r="H2093" t="s"/>
      <c r="I2093" t="s"/>
      <c r="J2093" t="n">
        <v>-0.0516</v>
      </c>
      <c r="K2093" t="n">
        <v>0.243</v>
      </c>
      <c r="L2093" t="n">
        <v>0.522</v>
      </c>
      <c r="M2093" t="n">
        <v>0.235</v>
      </c>
    </row>
    <row r="2094" spans="1:13">
      <c r="A2094" s="1">
        <f>HYPERLINK("http://www.twitter.com/NathanBLawrence/status/998919512723517441", "998919512723517441")</f>
        <v/>
      </c>
      <c r="B2094" s="2" t="n">
        <v>43242.56417824074</v>
      </c>
      <c r="C2094" t="n">
        <v>0</v>
      </c>
      <c r="D2094" t="n">
        <v>416</v>
      </c>
      <c r="E2094" t="s">
        <v>2101</v>
      </c>
      <c r="F2094" t="s"/>
      <c r="G2094" t="s"/>
      <c r="H2094" t="s"/>
      <c r="I2094" t="s"/>
      <c r="J2094" t="n">
        <v>0.2924</v>
      </c>
      <c r="K2094" t="n">
        <v>0</v>
      </c>
      <c r="L2094" t="n">
        <v>0.913</v>
      </c>
      <c r="M2094" t="n">
        <v>0.08699999999999999</v>
      </c>
    </row>
    <row r="2095" spans="1:13">
      <c r="A2095" s="1">
        <f>HYPERLINK("http://www.twitter.com/NathanBLawrence/status/998919472403701760", "998919472403701760")</f>
        <v/>
      </c>
      <c r="B2095" s="2" t="n">
        <v>43242.5640625</v>
      </c>
      <c r="C2095" t="n">
        <v>0</v>
      </c>
      <c r="D2095" t="n">
        <v>650</v>
      </c>
      <c r="E2095" t="s">
        <v>2102</v>
      </c>
      <c r="F2095" t="s"/>
      <c r="G2095" t="s"/>
      <c r="H2095" t="s"/>
      <c r="I2095" t="s"/>
      <c r="J2095" t="n">
        <v>-0.25</v>
      </c>
      <c r="K2095" t="n">
        <v>0.077</v>
      </c>
      <c r="L2095" t="n">
        <v>0.923</v>
      </c>
      <c r="M2095" t="n">
        <v>0</v>
      </c>
    </row>
    <row r="2096" spans="1:13">
      <c r="A2096" s="1">
        <f>HYPERLINK("http://www.twitter.com/NathanBLawrence/status/998919434118057985", "998919434118057985")</f>
        <v/>
      </c>
      <c r="B2096" s="2" t="n">
        <v>43242.56395833333</v>
      </c>
      <c r="C2096" t="n">
        <v>0</v>
      </c>
      <c r="D2096" t="n">
        <v>607</v>
      </c>
      <c r="E2096" t="s">
        <v>2103</v>
      </c>
      <c r="F2096" t="s"/>
      <c r="G2096" t="s"/>
      <c r="H2096" t="s"/>
      <c r="I2096" t="s"/>
      <c r="J2096" t="n">
        <v>-0.296</v>
      </c>
      <c r="K2096" t="n">
        <v>0.095</v>
      </c>
      <c r="L2096" t="n">
        <v>0.905</v>
      </c>
      <c r="M2096" t="n">
        <v>0</v>
      </c>
    </row>
    <row r="2097" spans="1:13">
      <c r="A2097" s="1">
        <f>HYPERLINK("http://www.twitter.com/NathanBLawrence/status/998919423481253888", "998919423481253888")</f>
        <v/>
      </c>
      <c r="B2097" s="2" t="n">
        <v>43242.56393518519</v>
      </c>
      <c r="C2097" t="n">
        <v>0</v>
      </c>
      <c r="D2097" t="n">
        <v>2948</v>
      </c>
      <c r="E2097" t="s">
        <v>2104</v>
      </c>
      <c r="F2097" t="s"/>
      <c r="G2097" t="s"/>
      <c r="H2097" t="s"/>
      <c r="I2097" t="s"/>
      <c r="J2097" t="n">
        <v>-0.6908</v>
      </c>
      <c r="K2097" t="n">
        <v>0.199</v>
      </c>
      <c r="L2097" t="n">
        <v>0.801</v>
      </c>
      <c r="M2097" t="n">
        <v>0</v>
      </c>
    </row>
    <row r="2098" spans="1:13">
      <c r="A2098" s="1">
        <f>HYPERLINK("http://www.twitter.com/NathanBLawrence/status/998919334595612672", "998919334595612672")</f>
        <v/>
      </c>
      <c r="B2098" s="2" t="n">
        <v>43242.56369212963</v>
      </c>
      <c r="C2098" t="n">
        <v>0</v>
      </c>
      <c r="D2098" t="n">
        <v>1012</v>
      </c>
      <c r="E2098" t="s">
        <v>2105</v>
      </c>
      <c r="F2098" t="s"/>
      <c r="G2098" t="s"/>
      <c r="H2098" t="s"/>
      <c r="I2098" t="s"/>
      <c r="J2098" t="n">
        <v>0.4939</v>
      </c>
      <c r="K2098" t="n">
        <v>0.076</v>
      </c>
      <c r="L2098" t="n">
        <v>0.72</v>
      </c>
      <c r="M2098" t="n">
        <v>0.204</v>
      </c>
    </row>
    <row r="2099" spans="1:13">
      <c r="A2099" s="1">
        <f>HYPERLINK("http://www.twitter.com/NathanBLawrence/status/998919310318952448", "998919310318952448")</f>
        <v/>
      </c>
      <c r="B2099" s="2" t="n">
        <v>43242.56362268519</v>
      </c>
      <c r="C2099" t="n">
        <v>0</v>
      </c>
      <c r="D2099" t="n">
        <v>893</v>
      </c>
      <c r="E2099" t="s">
        <v>2106</v>
      </c>
      <c r="F2099" t="s"/>
      <c r="G2099" t="s"/>
      <c r="H2099" t="s"/>
      <c r="I2099" t="s"/>
      <c r="J2099" t="n">
        <v>-0.0857</v>
      </c>
      <c r="K2099" t="n">
        <v>0.053</v>
      </c>
      <c r="L2099" t="n">
        <v>0.947</v>
      </c>
      <c r="M2099" t="n">
        <v>0</v>
      </c>
    </row>
    <row r="2100" spans="1:13">
      <c r="A2100" s="1">
        <f>HYPERLINK("http://www.twitter.com/NathanBLawrence/status/998919247769362433", "998919247769362433")</f>
        <v/>
      </c>
      <c r="B2100" s="2" t="n">
        <v>43242.56344907408</v>
      </c>
      <c r="C2100" t="n">
        <v>0</v>
      </c>
      <c r="D2100" t="n">
        <v>1466</v>
      </c>
      <c r="E2100" t="s">
        <v>2107</v>
      </c>
      <c r="F2100" t="s"/>
      <c r="G2100" t="s"/>
      <c r="H2100" t="s"/>
      <c r="I2100" t="s"/>
      <c r="J2100" t="n">
        <v>0</v>
      </c>
      <c r="K2100" t="n">
        <v>0</v>
      </c>
      <c r="L2100" t="n">
        <v>1</v>
      </c>
      <c r="M2100" t="n">
        <v>0</v>
      </c>
    </row>
    <row r="2101" spans="1:13">
      <c r="A2101" s="1">
        <f>HYPERLINK("http://www.twitter.com/NathanBLawrence/status/998919150960631810", "998919150960631810")</f>
        <v/>
      </c>
      <c r="B2101" s="2" t="n">
        <v>43242.56318287037</v>
      </c>
      <c r="C2101" t="n">
        <v>0</v>
      </c>
      <c r="D2101" t="n">
        <v>502</v>
      </c>
      <c r="E2101" t="s">
        <v>2108</v>
      </c>
      <c r="F2101" t="s"/>
      <c r="G2101" t="s"/>
      <c r="H2101" t="s"/>
      <c r="I2101" t="s"/>
      <c r="J2101" t="n">
        <v>0</v>
      </c>
      <c r="K2101" t="n">
        <v>0</v>
      </c>
      <c r="L2101" t="n">
        <v>1</v>
      </c>
      <c r="M2101" t="n">
        <v>0</v>
      </c>
    </row>
    <row r="2102" spans="1:13">
      <c r="A2102" s="1">
        <f>HYPERLINK("http://www.twitter.com/NathanBLawrence/status/998918275584098304", "998918275584098304")</f>
        <v/>
      </c>
      <c r="B2102" s="2" t="n">
        <v>43242.56076388889</v>
      </c>
      <c r="C2102" t="n">
        <v>0</v>
      </c>
      <c r="D2102" t="n">
        <v>75</v>
      </c>
      <c r="E2102" t="s">
        <v>2109</v>
      </c>
      <c r="F2102">
        <f>HYPERLINK("https://video.twimg.com/ext_tw_video/998870513505124352/pu/vid/1280x720/1bLkjkz_Smqw0nd9.mp4?tag=3", "https://video.twimg.com/ext_tw_video/998870513505124352/pu/vid/1280x720/1bLkjkz_Smqw0nd9.mp4?tag=3")</f>
        <v/>
      </c>
      <c r="G2102" t="s"/>
      <c r="H2102" t="s"/>
      <c r="I2102" t="s"/>
      <c r="J2102" t="n">
        <v>0</v>
      </c>
      <c r="K2102" t="n">
        <v>0</v>
      </c>
      <c r="L2102" t="n">
        <v>1</v>
      </c>
      <c r="M2102" t="n">
        <v>0</v>
      </c>
    </row>
    <row r="2103" spans="1:13">
      <c r="A2103" s="1">
        <f>HYPERLINK("http://www.twitter.com/NathanBLawrence/status/998918133145579520", "998918133145579520")</f>
        <v/>
      </c>
      <c r="B2103" s="2" t="n">
        <v>43242.56037037037</v>
      </c>
      <c r="C2103" t="n">
        <v>0</v>
      </c>
      <c r="D2103" t="n">
        <v>14</v>
      </c>
      <c r="E2103" t="s">
        <v>2110</v>
      </c>
      <c r="F2103" t="s"/>
      <c r="G2103" t="s"/>
      <c r="H2103" t="s"/>
      <c r="I2103" t="s"/>
      <c r="J2103" t="n">
        <v>0.9499</v>
      </c>
      <c r="K2103" t="n">
        <v>0</v>
      </c>
      <c r="L2103" t="n">
        <v>0.472</v>
      </c>
      <c r="M2103" t="n">
        <v>0.528</v>
      </c>
    </row>
    <row r="2104" spans="1:13">
      <c r="A2104" s="1">
        <f>HYPERLINK("http://www.twitter.com/NathanBLawrence/status/998917792849068032", "998917792849068032")</f>
        <v/>
      </c>
      <c r="B2104" s="2" t="n">
        <v>43242.55943287037</v>
      </c>
      <c r="C2104" t="n">
        <v>0</v>
      </c>
      <c r="D2104" t="n">
        <v>3461</v>
      </c>
      <c r="E2104" t="s">
        <v>2111</v>
      </c>
      <c r="F2104" t="s"/>
      <c r="G2104" t="s"/>
      <c r="H2104" t="s"/>
      <c r="I2104" t="s"/>
      <c r="J2104" t="n">
        <v>-0.4767</v>
      </c>
      <c r="K2104" t="n">
        <v>0.151</v>
      </c>
      <c r="L2104" t="n">
        <v>0.849</v>
      </c>
      <c r="M2104" t="n">
        <v>0</v>
      </c>
    </row>
    <row r="2105" spans="1:13">
      <c r="A2105" s="1">
        <f>HYPERLINK("http://www.twitter.com/NathanBLawrence/status/998916855132819457", "998916855132819457")</f>
        <v/>
      </c>
      <c r="B2105" s="2" t="n">
        <v>43242.55684027778</v>
      </c>
      <c r="C2105" t="n">
        <v>0</v>
      </c>
      <c r="D2105" t="n">
        <v>2</v>
      </c>
      <c r="E2105" t="s">
        <v>2112</v>
      </c>
      <c r="F2105" t="s"/>
      <c r="G2105" t="s"/>
      <c r="H2105" t="s"/>
      <c r="I2105" t="s"/>
      <c r="J2105" t="n">
        <v>-0.7103</v>
      </c>
      <c r="K2105" t="n">
        <v>0.27</v>
      </c>
      <c r="L2105" t="n">
        <v>0.73</v>
      </c>
      <c r="M2105" t="n">
        <v>0</v>
      </c>
    </row>
    <row r="2106" spans="1:13">
      <c r="A2106" s="1">
        <f>HYPERLINK("http://www.twitter.com/NathanBLawrence/status/998916368597647360", "998916368597647360")</f>
        <v/>
      </c>
      <c r="B2106" s="2" t="n">
        <v>43242.55549768519</v>
      </c>
      <c r="C2106" t="n">
        <v>0</v>
      </c>
      <c r="D2106" t="n">
        <v>332</v>
      </c>
      <c r="E2106" t="s">
        <v>2113</v>
      </c>
      <c r="F2106">
        <f>HYPERLINK("http://pbs.twimg.com/media/DdwG-BQVAAA6zOE.jpg", "http://pbs.twimg.com/media/DdwG-BQVAAA6zOE.jpg")</f>
        <v/>
      </c>
      <c r="G2106">
        <f>HYPERLINK("http://pbs.twimg.com/media/DdwG-RNU0AE5Kqz.jpg", "http://pbs.twimg.com/media/DdwG-RNU0AE5Kqz.jpg")</f>
        <v/>
      </c>
      <c r="H2106">
        <f>HYPERLINK("http://pbs.twimg.com/media/DdwG-xNVQAACYwX.jpg", "http://pbs.twimg.com/media/DdwG-xNVQAACYwX.jpg")</f>
        <v/>
      </c>
      <c r="I2106">
        <f>HYPERLINK("http://pbs.twimg.com/media/DdwG_M8UwAAAP0T.jpg", "http://pbs.twimg.com/media/DdwG_M8UwAAAP0T.jpg")</f>
        <v/>
      </c>
      <c r="J2106" t="n">
        <v>0.3802</v>
      </c>
      <c r="K2106" t="n">
        <v>0</v>
      </c>
      <c r="L2106" t="n">
        <v>0.903</v>
      </c>
      <c r="M2106" t="n">
        <v>0.097</v>
      </c>
    </row>
    <row r="2107" spans="1:13">
      <c r="A2107" s="1">
        <f>HYPERLINK("http://www.twitter.com/NathanBLawrence/status/998916074585325569", "998916074585325569")</f>
        <v/>
      </c>
      <c r="B2107" s="2" t="n">
        <v>43242.5546875</v>
      </c>
      <c r="C2107" t="n">
        <v>0</v>
      </c>
      <c r="D2107" t="n">
        <v>220</v>
      </c>
      <c r="E2107" t="s">
        <v>2114</v>
      </c>
      <c r="F2107" t="s"/>
      <c r="G2107" t="s"/>
      <c r="H2107" t="s"/>
      <c r="I2107" t="s"/>
      <c r="J2107" t="n">
        <v>0</v>
      </c>
      <c r="K2107" t="n">
        <v>0</v>
      </c>
      <c r="L2107" t="n">
        <v>1</v>
      </c>
      <c r="M2107" t="n">
        <v>0</v>
      </c>
    </row>
    <row r="2108" spans="1:13">
      <c r="A2108" s="1">
        <f>HYPERLINK("http://www.twitter.com/NathanBLawrence/status/998914585414524928", "998914585414524928")</f>
        <v/>
      </c>
      <c r="B2108" s="2" t="n">
        <v>43242.5505787037</v>
      </c>
      <c r="C2108" t="n">
        <v>0</v>
      </c>
      <c r="D2108" t="n">
        <v>1</v>
      </c>
      <c r="E2108" t="s">
        <v>2115</v>
      </c>
      <c r="F2108">
        <f>HYPERLINK("http://pbs.twimg.com/media/Ddwtxw5V4AAUdVu.jpg", "http://pbs.twimg.com/media/Ddwtxw5V4AAUdVu.jpg")</f>
        <v/>
      </c>
      <c r="G2108" t="s"/>
      <c r="H2108" t="s"/>
      <c r="I2108" t="s"/>
      <c r="J2108" t="n">
        <v>0.893</v>
      </c>
      <c r="K2108" t="n">
        <v>0</v>
      </c>
      <c r="L2108" t="n">
        <v>0.606</v>
      </c>
      <c r="M2108" t="n">
        <v>0.394</v>
      </c>
    </row>
    <row r="2109" spans="1:13">
      <c r="A2109" s="1">
        <f>HYPERLINK("http://www.twitter.com/NathanBLawrence/status/998914191883948032", "998914191883948032")</f>
        <v/>
      </c>
      <c r="B2109" s="2" t="n">
        <v>43242.54949074074</v>
      </c>
      <c r="C2109" t="n">
        <v>0</v>
      </c>
      <c r="D2109" t="n">
        <v>1</v>
      </c>
      <c r="E2109" t="s">
        <v>2116</v>
      </c>
      <c r="F2109" t="s"/>
      <c r="G2109" t="s"/>
      <c r="H2109" t="s"/>
      <c r="I2109" t="s"/>
      <c r="J2109" t="n">
        <v>0.4926</v>
      </c>
      <c r="K2109" t="n">
        <v>0</v>
      </c>
      <c r="L2109" t="n">
        <v>0.834</v>
      </c>
      <c r="M2109" t="n">
        <v>0.166</v>
      </c>
    </row>
    <row r="2110" spans="1:13">
      <c r="A2110" s="1">
        <f>HYPERLINK("http://www.twitter.com/NathanBLawrence/status/998914154508451840", "998914154508451840")</f>
        <v/>
      </c>
      <c r="B2110" s="2" t="n">
        <v>43242.54939814815</v>
      </c>
      <c r="C2110" t="n">
        <v>0</v>
      </c>
      <c r="D2110" t="n">
        <v>228</v>
      </c>
      <c r="E2110" t="s">
        <v>2117</v>
      </c>
      <c r="F2110">
        <f>HYPERLINK("http://pbs.twimg.com/media/DdwsAoZVwAA3s_V.jpg", "http://pbs.twimg.com/media/DdwsAoZVwAA3s_V.jpg")</f>
        <v/>
      </c>
      <c r="G2110" t="s"/>
      <c r="H2110" t="s"/>
      <c r="I2110" t="s"/>
      <c r="J2110" t="n">
        <v>-0.5266999999999999</v>
      </c>
      <c r="K2110" t="n">
        <v>0.129</v>
      </c>
      <c r="L2110" t="n">
        <v>0.871</v>
      </c>
      <c r="M2110" t="n">
        <v>0</v>
      </c>
    </row>
    <row r="2111" spans="1:13">
      <c r="A2111" s="1">
        <f>HYPERLINK("http://www.twitter.com/NathanBLawrence/status/998908370877911040", "998908370877911040")</f>
        <v/>
      </c>
      <c r="B2111" s="2" t="n">
        <v>43242.5334375</v>
      </c>
      <c r="C2111" t="n">
        <v>0</v>
      </c>
      <c r="D2111" t="n">
        <v>7</v>
      </c>
      <c r="E2111" t="s">
        <v>2118</v>
      </c>
      <c r="F2111" t="s"/>
      <c r="G2111" t="s"/>
      <c r="H2111" t="s"/>
      <c r="I2111" t="s"/>
      <c r="J2111" t="n">
        <v>0</v>
      </c>
      <c r="K2111" t="n">
        <v>0</v>
      </c>
      <c r="L2111" t="n">
        <v>1</v>
      </c>
      <c r="M2111" t="n">
        <v>0</v>
      </c>
    </row>
    <row r="2112" spans="1:13">
      <c r="A2112" s="1">
        <f>HYPERLINK("http://www.twitter.com/NathanBLawrence/status/998908251956809729", "998908251956809729")</f>
        <v/>
      </c>
      <c r="B2112" s="2" t="n">
        <v>43242.53310185186</v>
      </c>
      <c r="C2112" t="n">
        <v>0</v>
      </c>
      <c r="D2112" t="n">
        <v>3</v>
      </c>
      <c r="E2112" t="s">
        <v>2119</v>
      </c>
      <c r="F2112" t="s"/>
      <c r="G2112" t="s"/>
      <c r="H2112" t="s"/>
      <c r="I2112" t="s"/>
      <c r="J2112" t="n">
        <v>-0.4404</v>
      </c>
      <c r="K2112" t="n">
        <v>0.192</v>
      </c>
      <c r="L2112" t="n">
        <v>0.728</v>
      </c>
      <c r="M2112" t="n">
        <v>0.08</v>
      </c>
    </row>
    <row r="2113" spans="1:13">
      <c r="A2113" s="1">
        <f>HYPERLINK("http://www.twitter.com/NathanBLawrence/status/998904238456672257", "998904238456672257")</f>
        <v/>
      </c>
      <c r="B2113" s="2" t="n">
        <v>43242.52202546296</v>
      </c>
      <c r="C2113" t="n">
        <v>0</v>
      </c>
      <c r="D2113" t="n">
        <v>0</v>
      </c>
      <c r="E2113" t="s">
        <v>2120</v>
      </c>
      <c r="F2113" t="s"/>
      <c r="G2113" t="s"/>
      <c r="H2113" t="s"/>
      <c r="I2113" t="s"/>
      <c r="J2113" t="n">
        <v>0</v>
      </c>
      <c r="K2113" t="n">
        <v>0</v>
      </c>
      <c r="L2113" t="n">
        <v>1</v>
      </c>
      <c r="M2113" t="n">
        <v>0</v>
      </c>
    </row>
    <row r="2114" spans="1:13">
      <c r="A2114" s="1">
        <f>HYPERLINK("http://www.twitter.com/NathanBLawrence/status/998899490156371968", "998899490156371968")</f>
        <v/>
      </c>
      <c r="B2114" s="2" t="n">
        <v>43242.50892361111</v>
      </c>
      <c r="C2114" t="n">
        <v>0</v>
      </c>
      <c r="D2114" t="n">
        <v>15</v>
      </c>
      <c r="E2114" t="s">
        <v>2121</v>
      </c>
      <c r="F2114" t="s"/>
      <c r="G2114" t="s"/>
      <c r="H2114" t="s"/>
      <c r="I2114" t="s"/>
      <c r="J2114" t="n">
        <v>-0.34</v>
      </c>
      <c r="K2114" t="n">
        <v>0.179</v>
      </c>
      <c r="L2114" t="n">
        <v>0.821</v>
      </c>
      <c r="M2114" t="n">
        <v>0</v>
      </c>
    </row>
    <row r="2115" spans="1:13">
      <c r="A2115" s="1">
        <f>HYPERLINK("http://www.twitter.com/NathanBLawrence/status/998899366525046784", "998899366525046784")</f>
        <v/>
      </c>
      <c r="B2115" s="2" t="n">
        <v>43242.50858796296</v>
      </c>
      <c r="C2115" t="n">
        <v>0</v>
      </c>
      <c r="D2115" t="n">
        <v>3</v>
      </c>
      <c r="E2115" t="s">
        <v>2122</v>
      </c>
      <c r="F2115" t="s"/>
      <c r="G2115" t="s"/>
      <c r="H2115" t="s"/>
      <c r="I2115" t="s"/>
      <c r="J2115" t="n">
        <v>-0.0772</v>
      </c>
      <c r="K2115" t="n">
        <v>0.061</v>
      </c>
      <c r="L2115" t="n">
        <v>0.9389999999999999</v>
      </c>
      <c r="M2115" t="n">
        <v>0</v>
      </c>
    </row>
    <row r="2116" spans="1:13">
      <c r="A2116" s="1">
        <f>HYPERLINK("http://www.twitter.com/NathanBLawrence/status/998898967667716097", "998898967667716097")</f>
        <v/>
      </c>
      <c r="B2116" s="2" t="n">
        <v>43242.50748842592</v>
      </c>
      <c r="C2116" t="n">
        <v>0</v>
      </c>
      <c r="D2116" t="n">
        <v>14</v>
      </c>
      <c r="E2116" t="s">
        <v>2123</v>
      </c>
      <c r="F2116" t="s"/>
      <c r="G2116" t="s"/>
      <c r="H2116" t="s"/>
      <c r="I2116" t="s"/>
      <c r="J2116" t="n">
        <v>0.5574</v>
      </c>
      <c r="K2116" t="n">
        <v>0</v>
      </c>
      <c r="L2116" t="n">
        <v>0.8129999999999999</v>
      </c>
      <c r="M2116" t="n">
        <v>0.187</v>
      </c>
    </row>
    <row r="2117" spans="1:13">
      <c r="A2117" s="1">
        <f>HYPERLINK("http://www.twitter.com/NathanBLawrence/status/998898889901125632", "998898889901125632")</f>
        <v/>
      </c>
      <c r="B2117" s="2" t="n">
        <v>43242.50726851852</v>
      </c>
      <c r="C2117" t="n">
        <v>0</v>
      </c>
      <c r="D2117" t="n">
        <v>47</v>
      </c>
      <c r="E2117" t="s">
        <v>2124</v>
      </c>
      <c r="F2117" t="s"/>
      <c r="G2117" t="s"/>
      <c r="H2117" t="s"/>
      <c r="I2117" t="s"/>
      <c r="J2117" t="n">
        <v>0</v>
      </c>
      <c r="K2117" t="n">
        <v>0</v>
      </c>
      <c r="L2117" t="n">
        <v>1</v>
      </c>
      <c r="M2117" t="n">
        <v>0</v>
      </c>
    </row>
    <row r="2118" spans="1:13">
      <c r="A2118" s="1">
        <f>HYPERLINK("http://www.twitter.com/NathanBLawrence/status/998886239578349568", "998886239578349568")</f>
        <v/>
      </c>
      <c r="B2118" s="2" t="n">
        <v>43242.47236111111</v>
      </c>
      <c r="C2118" t="n">
        <v>0</v>
      </c>
      <c r="D2118" t="n">
        <v>2907</v>
      </c>
      <c r="E2118" t="s">
        <v>2125</v>
      </c>
      <c r="F2118">
        <f>HYPERLINK("http://pbs.twimg.com/media/Ddu9IqgVAAAoABm.jpg", "http://pbs.twimg.com/media/Ddu9IqgVAAAoABm.jpg")</f>
        <v/>
      </c>
      <c r="G2118" t="s"/>
      <c r="H2118" t="s"/>
      <c r="I2118" t="s"/>
      <c r="J2118" t="n">
        <v>0</v>
      </c>
      <c r="K2118" t="n">
        <v>0</v>
      </c>
      <c r="L2118" t="n">
        <v>1</v>
      </c>
      <c r="M2118" t="n">
        <v>0</v>
      </c>
    </row>
    <row r="2119" spans="1:13">
      <c r="A2119" s="1">
        <f>HYPERLINK("http://www.twitter.com/NathanBLawrence/status/998886169718018048", "998886169718018048")</f>
        <v/>
      </c>
      <c r="B2119" s="2" t="n">
        <v>43242.47216435185</v>
      </c>
      <c r="C2119" t="n">
        <v>0</v>
      </c>
      <c r="D2119" t="n">
        <v>1972</v>
      </c>
      <c r="E2119" t="s">
        <v>2126</v>
      </c>
      <c r="F2119" t="s"/>
      <c r="G2119" t="s"/>
      <c r="H2119" t="s"/>
      <c r="I2119" t="s"/>
      <c r="J2119" t="n">
        <v>0.4019</v>
      </c>
      <c r="K2119" t="n">
        <v>0</v>
      </c>
      <c r="L2119" t="n">
        <v>0.886</v>
      </c>
      <c r="M2119" t="n">
        <v>0.114</v>
      </c>
    </row>
    <row r="2120" spans="1:13">
      <c r="A2120" s="1">
        <f>HYPERLINK("http://www.twitter.com/NathanBLawrence/status/998886129482035201", "998886129482035201")</f>
        <v/>
      </c>
      <c r="B2120" s="2" t="n">
        <v>43242.47206018519</v>
      </c>
      <c r="C2120" t="n">
        <v>0</v>
      </c>
      <c r="D2120" t="n">
        <v>638</v>
      </c>
      <c r="E2120" t="s">
        <v>2127</v>
      </c>
      <c r="F2120">
        <f>HYPERLINK("https://video.twimg.com/ext_tw_video/998764151953539072/pu/vid/720x720/IZiFIgFHuIhVIdnJ.mp4?tag=3", "https://video.twimg.com/ext_tw_video/998764151953539072/pu/vid/720x720/IZiFIgFHuIhVIdnJ.mp4?tag=3")</f>
        <v/>
      </c>
      <c r="G2120" t="s"/>
      <c r="H2120" t="s"/>
      <c r="I2120" t="s"/>
      <c r="J2120" t="n">
        <v>0</v>
      </c>
      <c r="K2120" t="n">
        <v>0</v>
      </c>
      <c r="L2120" t="n">
        <v>1</v>
      </c>
      <c r="M2120" t="n">
        <v>0</v>
      </c>
    </row>
    <row r="2121" spans="1:13">
      <c r="A2121" s="1">
        <f>HYPERLINK("http://www.twitter.com/NathanBLawrence/status/998885961735065600", "998885961735065600")</f>
        <v/>
      </c>
      <c r="B2121" s="2" t="n">
        <v>43242.47159722223</v>
      </c>
      <c r="C2121" t="n">
        <v>0</v>
      </c>
      <c r="D2121" t="n">
        <v>3</v>
      </c>
      <c r="E2121" t="s">
        <v>2128</v>
      </c>
      <c r="F2121">
        <f>HYPERLINK("http://pbs.twimg.com/media/DdvDPdnU0AEmK8w.jpg", "http://pbs.twimg.com/media/DdvDPdnU0AEmK8w.jpg")</f>
        <v/>
      </c>
      <c r="G2121" t="s"/>
      <c r="H2121" t="s"/>
      <c r="I2121" t="s"/>
      <c r="J2121" t="n">
        <v>0.7957</v>
      </c>
      <c r="K2121" t="n">
        <v>0.13</v>
      </c>
      <c r="L2121" t="n">
        <v>0.522</v>
      </c>
      <c r="M2121" t="n">
        <v>0.348</v>
      </c>
    </row>
    <row r="2122" spans="1:13">
      <c r="A2122" s="1">
        <f>HYPERLINK("http://www.twitter.com/NathanBLawrence/status/998885869787537408", "998885869787537408")</f>
        <v/>
      </c>
      <c r="B2122" s="2" t="n">
        <v>43242.47134259259</v>
      </c>
      <c r="C2122" t="n">
        <v>0</v>
      </c>
      <c r="D2122" t="n">
        <v>78</v>
      </c>
      <c r="E2122" t="s">
        <v>2129</v>
      </c>
      <c r="F2122">
        <f>HYPERLINK("https://video.twimg.com/amplify_video/998884411868307456/vid/480x360/2v-ZJF0qxPY4z15R.mp4?tag=2", "https://video.twimg.com/amplify_video/998884411868307456/vid/480x360/2v-ZJF0qxPY4z15R.mp4?tag=2")</f>
        <v/>
      </c>
      <c r="G2122" t="s"/>
      <c r="H2122" t="s"/>
      <c r="I2122" t="s"/>
      <c r="J2122" t="n">
        <v>0.1739</v>
      </c>
      <c r="K2122" t="n">
        <v>0.11</v>
      </c>
      <c r="L2122" t="n">
        <v>0.753</v>
      </c>
      <c r="M2122" t="n">
        <v>0.136</v>
      </c>
    </row>
    <row r="2123" spans="1:13">
      <c r="A2123" s="1">
        <f>HYPERLINK("http://www.twitter.com/NathanBLawrence/status/998885632146538498", "998885632146538498")</f>
        <v/>
      </c>
      <c r="B2123" s="2" t="n">
        <v>43242.47068287037</v>
      </c>
      <c r="C2123" t="n">
        <v>0</v>
      </c>
      <c r="D2123" t="n">
        <v>1</v>
      </c>
      <c r="E2123" t="s">
        <v>2130</v>
      </c>
      <c r="F2123" t="s"/>
      <c r="G2123" t="s"/>
      <c r="H2123" t="s"/>
      <c r="I2123" t="s"/>
      <c r="J2123" t="n">
        <v>0</v>
      </c>
      <c r="K2123" t="n">
        <v>0</v>
      </c>
      <c r="L2123" t="n">
        <v>1</v>
      </c>
      <c r="M2123" t="n">
        <v>0</v>
      </c>
    </row>
    <row r="2124" spans="1:13">
      <c r="A2124" s="1">
        <f>HYPERLINK("http://www.twitter.com/NathanBLawrence/status/998885465607540736", "998885465607540736")</f>
        <v/>
      </c>
      <c r="B2124" s="2" t="n">
        <v>43242.47023148148</v>
      </c>
      <c r="C2124" t="n">
        <v>0</v>
      </c>
      <c r="D2124" t="n">
        <v>3</v>
      </c>
      <c r="E2124" t="s">
        <v>2131</v>
      </c>
      <c r="F2124" t="s"/>
      <c r="G2124" t="s"/>
      <c r="H2124" t="s"/>
      <c r="I2124" t="s"/>
      <c r="J2124" t="n">
        <v>-0.128</v>
      </c>
      <c r="K2124" t="n">
        <v>0.131</v>
      </c>
      <c r="L2124" t="n">
        <v>0.717</v>
      </c>
      <c r="M2124" t="n">
        <v>0.152</v>
      </c>
    </row>
    <row r="2125" spans="1:13">
      <c r="A2125" s="1">
        <f>HYPERLINK("http://www.twitter.com/NathanBLawrence/status/998884643943469056", "998884643943469056")</f>
        <v/>
      </c>
      <c r="B2125" s="2" t="n">
        <v>43242.46796296296</v>
      </c>
      <c r="C2125" t="n">
        <v>0</v>
      </c>
      <c r="D2125" t="n">
        <v>0</v>
      </c>
      <c r="E2125" t="s">
        <v>2132</v>
      </c>
      <c r="F2125" t="s"/>
      <c r="G2125" t="s"/>
      <c r="H2125" t="s"/>
      <c r="I2125" t="s"/>
      <c r="J2125" t="n">
        <v>0</v>
      </c>
      <c r="K2125" t="n">
        <v>0</v>
      </c>
      <c r="L2125" t="n">
        <v>1</v>
      </c>
      <c r="M2125" t="n">
        <v>0</v>
      </c>
    </row>
    <row r="2126" spans="1:13">
      <c r="A2126" s="1">
        <f>HYPERLINK("http://www.twitter.com/NathanBLawrence/status/998771381742526464", "998771381742526464")</f>
        <v/>
      </c>
      <c r="B2126" s="2" t="n">
        <v>43242.15541666667</v>
      </c>
      <c r="C2126" t="n">
        <v>0</v>
      </c>
      <c r="D2126" t="n">
        <v>40</v>
      </c>
      <c r="E2126" t="s">
        <v>2133</v>
      </c>
      <c r="F2126" t="s"/>
      <c r="G2126" t="s"/>
      <c r="H2126" t="s"/>
      <c r="I2126" t="s"/>
      <c r="J2126" t="n">
        <v>0.1531</v>
      </c>
      <c r="K2126" t="n">
        <v>0</v>
      </c>
      <c r="L2126" t="n">
        <v>0.8139999999999999</v>
      </c>
      <c r="M2126" t="n">
        <v>0.186</v>
      </c>
    </row>
    <row r="2127" spans="1:13">
      <c r="A2127" s="1">
        <f>HYPERLINK("http://www.twitter.com/NathanBLawrence/status/998771338557915136", "998771338557915136")</f>
        <v/>
      </c>
      <c r="B2127" s="2" t="n">
        <v>43242.15530092592</v>
      </c>
      <c r="C2127" t="n">
        <v>0</v>
      </c>
      <c r="D2127" t="n">
        <v>288</v>
      </c>
      <c r="E2127" t="s">
        <v>2134</v>
      </c>
      <c r="F2127" t="s"/>
      <c r="G2127" t="s"/>
      <c r="H2127" t="s"/>
      <c r="I2127" t="s"/>
      <c r="J2127" t="n">
        <v>0.34</v>
      </c>
      <c r="K2127" t="n">
        <v>0</v>
      </c>
      <c r="L2127" t="n">
        <v>0.769</v>
      </c>
      <c r="M2127" t="n">
        <v>0.231</v>
      </c>
    </row>
    <row r="2128" spans="1:13">
      <c r="A2128" s="1">
        <f>HYPERLINK("http://www.twitter.com/NathanBLawrence/status/998771297508319233", "998771297508319233")</f>
        <v/>
      </c>
      <c r="B2128" s="2" t="n">
        <v>43242.15518518518</v>
      </c>
      <c r="C2128" t="n">
        <v>0</v>
      </c>
      <c r="D2128" t="n">
        <v>396</v>
      </c>
      <c r="E2128" t="s">
        <v>2135</v>
      </c>
      <c r="F2128" t="s"/>
      <c r="G2128" t="s"/>
      <c r="H2128" t="s"/>
      <c r="I2128" t="s"/>
      <c r="J2128" t="n">
        <v>0.2023</v>
      </c>
      <c r="K2128" t="n">
        <v>0</v>
      </c>
      <c r="L2128" t="n">
        <v>0.924</v>
      </c>
      <c r="M2128" t="n">
        <v>0.076</v>
      </c>
    </row>
    <row r="2129" spans="1:13">
      <c r="A2129" s="1">
        <f>HYPERLINK("http://www.twitter.com/NathanBLawrence/status/998771207158861824", "998771207158861824")</f>
        <v/>
      </c>
      <c r="B2129" s="2" t="n">
        <v>43242.15493055555</v>
      </c>
      <c r="C2129" t="n">
        <v>0</v>
      </c>
      <c r="D2129" t="n">
        <v>189</v>
      </c>
      <c r="E2129" t="s">
        <v>2136</v>
      </c>
      <c r="F2129" t="s"/>
      <c r="G2129" t="s"/>
      <c r="H2129" t="s"/>
      <c r="I2129" t="s"/>
      <c r="J2129" t="n">
        <v>0.1027</v>
      </c>
      <c r="K2129" t="n">
        <v>0.097</v>
      </c>
      <c r="L2129" t="n">
        <v>0.787</v>
      </c>
      <c r="M2129" t="n">
        <v>0.116</v>
      </c>
    </row>
    <row r="2130" spans="1:13">
      <c r="A2130" s="1">
        <f>HYPERLINK("http://www.twitter.com/NathanBLawrence/status/998771131925630976", "998771131925630976")</f>
        <v/>
      </c>
      <c r="B2130" s="2" t="n">
        <v>43242.15472222222</v>
      </c>
      <c r="C2130" t="n">
        <v>0</v>
      </c>
      <c r="D2130" t="n">
        <v>416</v>
      </c>
      <c r="E2130" t="s">
        <v>2137</v>
      </c>
      <c r="F2130" t="s"/>
      <c r="G2130" t="s"/>
      <c r="H2130" t="s"/>
      <c r="I2130" t="s"/>
      <c r="J2130" t="n">
        <v>0.4084</v>
      </c>
      <c r="K2130" t="n">
        <v>0</v>
      </c>
      <c r="L2130" t="n">
        <v>0.885</v>
      </c>
      <c r="M2130" t="n">
        <v>0.115</v>
      </c>
    </row>
    <row r="2131" spans="1:13">
      <c r="A2131" s="1">
        <f>HYPERLINK("http://www.twitter.com/NathanBLawrence/status/998771030553513985", "998771030553513985")</f>
        <v/>
      </c>
      <c r="B2131" s="2" t="n">
        <v>43242.15444444444</v>
      </c>
      <c r="C2131" t="n">
        <v>0</v>
      </c>
      <c r="D2131" t="n">
        <v>379</v>
      </c>
      <c r="E2131" t="s">
        <v>2138</v>
      </c>
      <c r="F2131">
        <f>HYPERLINK("https://video.twimg.com/amplify_video/998702360628260865/vid/1280x720/6QK2DjPxnRaP0y0D.mp4?tag=2", "https://video.twimg.com/amplify_video/998702360628260865/vid/1280x720/6QK2DjPxnRaP0y0D.mp4?tag=2")</f>
        <v/>
      </c>
      <c r="G2131" t="s"/>
      <c r="H2131" t="s"/>
      <c r="I2131" t="s"/>
      <c r="J2131" t="n">
        <v>0</v>
      </c>
      <c r="K2131" t="n">
        <v>0</v>
      </c>
      <c r="L2131" t="n">
        <v>1</v>
      </c>
      <c r="M2131" t="n">
        <v>0</v>
      </c>
    </row>
    <row r="2132" spans="1:13">
      <c r="A2132" s="1">
        <f>HYPERLINK("http://www.twitter.com/NathanBLawrence/status/998770960575721477", "998770960575721477")</f>
        <v/>
      </c>
      <c r="B2132" s="2" t="n">
        <v>43242.15424768518</v>
      </c>
      <c r="C2132" t="n">
        <v>0</v>
      </c>
      <c r="D2132" t="n">
        <v>72</v>
      </c>
      <c r="E2132" t="s">
        <v>2139</v>
      </c>
      <c r="F2132" t="s"/>
      <c r="G2132" t="s"/>
      <c r="H2132" t="s"/>
      <c r="I2132" t="s"/>
      <c r="J2132" t="n">
        <v>0.8364</v>
      </c>
      <c r="K2132" t="n">
        <v>0</v>
      </c>
      <c r="L2132" t="n">
        <v>0.611</v>
      </c>
      <c r="M2132" t="n">
        <v>0.389</v>
      </c>
    </row>
    <row r="2133" spans="1:13">
      <c r="A2133" s="1">
        <f>HYPERLINK("http://www.twitter.com/NathanBLawrence/status/998770818556551168", "998770818556551168")</f>
        <v/>
      </c>
      <c r="B2133" s="2" t="n">
        <v>43242.15386574074</v>
      </c>
      <c r="C2133" t="n">
        <v>0</v>
      </c>
      <c r="D2133" t="n">
        <v>241</v>
      </c>
      <c r="E2133" t="s">
        <v>2140</v>
      </c>
      <c r="F2133" t="s"/>
      <c r="G2133" t="s"/>
      <c r="H2133" t="s"/>
      <c r="I2133" t="s"/>
      <c r="J2133" t="n">
        <v>0</v>
      </c>
      <c r="K2133" t="n">
        <v>0</v>
      </c>
      <c r="L2133" t="n">
        <v>1</v>
      </c>
      <c r="M2133" t="n">
        <v>0</v>
      </c>
    </row>
    <row r="2134" spans="1:13">
      <c r="A2134" s="1">
        <f>HYPERLINK("http://www.twitter.com/NathanBLawrence/status/998770800030375936", "998770800030375936")</f>
        <v/>
      </c>
      <c r="B2134" s="2" t="n">
        <v>43242.15380787037</v>
      </c>
      <c r="C2134" t="n">
        <v>0</v>
      </c>
      <c r="D2134" t="n">
        <v>855</v>
      </c>
      <c r="E2134" t="s">
        <v>2141</v>
      </c>
      <c r="F2134" t="s"/>
      <c r="G2134" t="s"/>
      <c r="H2134" t="s"/>
      <c r="I2134" t="s"/>
      <c r="J2134" t="n">
        <v>0.5719</v>
      </c>
      <c r="K2134" t="n">
        <v>0.048</v>
      </c>
      <c r="L2134" t="n">
        <v>0.769</v>
      </c>
      <c r="M2134" t="n">
        <v>0.183</v>
      </c>
    </row>
    <row r="2135" spans="1:13">
      <c r="A2135" s="1">
        <f>HYPERLINK("http://www.twitter.com/NathanBLawrence/status/998770733806424069", "998770733806424069")</f>
        <v/>
      </c>
      <c r="B2135" s="2" t="n">
        <v>43242.15362268518</v>
      </c>
      <c r="C2135" t="n">
        <v>0</v>
      </c>
      <c r="D2135" t="n">
        <v>224</v>
      </c>
      <c r="E2135" t="s">
        <v>2142</v>
      </c>
      <c r="F2135" t="s"/>
      <c r="G2135" t="s"/>
      <c r="H2135" t="s"/>
      <c r="I2135" t="s"/>
      <c r="J2135" t="n">
        <v>-0.5106000000000001</v>
      </c>
      <c r="K2135" t="n">
        <v>0.163</v>
      </c>
      <c r="L2135" t="n">
        <v>0.837</v>
      </c>
      <c r="M2135" t="n">
        <v>0</v>
      </c>
    </row>
    <row r="2136" spans="1:13">
      <c r="A2136" s="1">
        <f>HYPERLINK("http://www.twitter.com/NathanBLawrence/status/998770531964018703", "998770531964018703")</f>
        <v/>
      </c>
      <c r="B2136" s="2" t="n">
        <v>43242.15306712963</v>
      </c>
      <c r="C2136" t="n">
        <v>0</v>
      </c>
      <c r="D2136" t="n">
        <v>576</v>
      </c>
      <c r="E2136" t="s">
        <v>2143</v>
      </c>
      <c r="F2136" t="s"/>
      <c r="G2136" t="s"/>
      <c r="H2136" t="s"/>
      <c r="I2136" t="s"/>
      <c r="J2136" t="n">
        <v>0</v>
      </c>
      <c r="K2136" t="n">
        <v>0</v>
      </c>
      <c r="L2136" t="n">
        <v>1</v>
      </c>
      <c r="M2136" t="n">
        <v>0</v>
      </c>
    </row>
    <row r="2137" spans="1:13">
      <c r="A2137" s="1">
        <f>HYPERLINK("http://www.twitter.com/NathanBLawrence/status/998770483121283072", "998770483121283072")</f>
        <v/>
      </c>
      <c r="B2137" s="2" t="n">
        <v>43242.15293981481</v>
      </c>
      <c r="C2137" t="n">
        <v>0</v>
      </c>
      <c r="D2137" t="n">
        <v>286</v>
      </c>
      <c r="E2137" t="s">
        <v>2144</v>
      </c>
      <c r="F2137" t="s"/>
      <c r="G2137" t="s"/>
      <c r="H2137" t="s"/>
      <c r="I2137" t="s"/>
      <c r="J2137" t="n">
        <v>0.2584</v>
      </c>
      <c r="K2137" t="n">
        <v>0</v>
      </c>
      <c r="L2137" t="n">
        <v>0.873</v>
      </c>
      <c r="M2137" t="n">
        <v>0.127</v>
      </c>
    </row>
    <row r="2138" spans="1:13">
      <c r="A2138" s="1">
        <f>HYPERLINK("http://www.twitter.com/NathanBLawrence/status/998770293089931264", "998770293089931264")</f>
        <v/>
      </c>
      <c r="B2138" s="2" t="n">
        <v>43242.1524074074</v>
      </c>
      <c r="C2138" t="n">
        <v>0</v>
      </c>
      <c r="D2138" t="n">
        <v>1956</v>
      </c>
      <c r="E2138" t="s">
        <v>2145</v>
      </c>
      <c r="F2138" t="s"/>
      <c r="G2138" t="s"/>
      <c r="H2138" t="s"/>
      <c r="I2138" t="s"/>
      <c r="J2138" t="n">
        <v>0.3597</v>
      </c>
      <c r="K2138" t="n">
        <v>0.116</v>
      </c>
      <c r="L2138" t="n">
        <v>0.6830000000000001</v>
      </c>
      <c r="M2138" t="n">
        <v>0.201</v>
      </c>
    </row>
    <row r="2139" spans="1:13">
      <c r="A2139" s="1">
        <f>HYPERLINK("http://www.twitter.com/NathanBLawrence/status/998770177176166400", "998770177176166400")</f>
        <v/>
      </c>
      <c r="B2139" s="2" t="n">
        <v>43242.1520949074</v>
      </c>
      <c r="C2139" t="n">
        <v>0</v>
      </c>
      <c r="D2139" t="n">
        <v>618</v>
      </c>
      <c r="E2139" t="s">
        <v>2146</v>
      </c>
      <c r="F2139" t="s"/>
      <c r="G2139" t="s"/>
      <c r="H2139" t="s"/>
      <c r="I2139" t="s"/>
      <c r="J2139" t="n">
        <v>0</v>
      </c>
      <c r="K2139" t="n">
        <v>0</v>
      </c>
      <c r="L2139" t="n">
        <v>1</v>
      </c>
      <c r="M2139" t="n">
        <v>0</v>
      </c>
    </row>
    <row r="2140" spans="1:13">
      <c r="A2140" s="1">
        <f>HYPERLINK("http://www.twitter.com/NathanBLawrence/status/998769938499276800", "998769938499276800")</f>
        <v/>
      </c>
      <c r="B2140" s="2" t="n">
        <v>43242.15143518519</v>
      </c>
      <c r="C2140" t="n">
        <v>0</v>
      </c>
      <c r="D2140" t="n">
        <v>679</v>
      </c>
      <c r="E2140" t="s">
        <v>2147</v>
      </c>
      <c r="F2140" t="s"/>
      <c r="G2140" t="s"/>
      <c r="H2140" t="s"/>
      <c r="I2140" t="s"/>
      <c r="J2140" t="n">
        <v>0.6705</v>
      </c>
      <c r="K2140" t="n">
        <v>0</v>
      </c>
      <c r="L2140" t="n">
        <v>0.792</v>
      </c>
      <c r="M2140" t="n">
        <v>0.208</v>
      </c>
    </row>
    <row r="2141" spans="1:13">
      <c r="A2141" s="1">
        <f>HYPERLINK("http://www.twitter.com/NathanBLawrence/status/998769885223227392", "998769885223227392")</f>
        <v/>
      </c>
      <c r="B2141" s="2" t="n">
        <v>43242.15128472223</v>
      </c>
      <c r="C2141" t="n">
        <v>0</v>
      </c>
      <c r="D2141" t="n">
        <v>598</v>
      </c>
      <c r="E2141" t="s">
        <v>2148</v>
      </c>
      <c r="F2141" t="s"/>
      <c r="G2141" t="s"/>
      <c r="H2141" t="s"/>
      <c r="I2141" t="s"/>
      <c r="J2141" t="n">
        <v>-0.6486</v>
      </c>
      <c r="K2141" t="n">
        <v>0.245</v>
      </c>
      <c r="L2141" t="n">
        <v>0.649</v>
      </c>
      <c r="M2141" t="n">
        <v>0.106</v>
      </c>
    </row>
    <row r="2142" spans="1:13">
      <c r="A2142" s="1">
        <f>HYPERLINK("http://www.twitter.com/NathanBLawrence/status/998769734022725633", "998769734022725633")</f>
        <v/>
      </c>
      <c r="B2142" s="2" t="n">
        <v>43242.15086805556</v>
      </c>
      <c r="C2142" t="n">
        <v>0</v>
      </c>
      <c r="D2142" t="n">
        <v>756</v>
      </c>
      <c r="E2142" t="s">
        <v>2149</v>
      </c>
      <c r="F2142" t="s"/>
      <c r="G2142" t="s"/>
      <c r="H2142" t="s"/>
      <c r="I2142" t="s"/>
      <c r="J2142" t="n">
        <v>-0.4588</v>
      </c>
      <c r="K2142" t="n">
        <v>0.12</v>
      </c>
      <c r="L2142" t="n">
        <v>0.88</v>
      </c>
      <c r="M2142" t="n">
        <v>0</v>
      </c>
    </row>
    <row r="2143" spans="1:13">
      <c r="A2143" s="1">
        <f>HYPERLINK("http://www.twitter.com/NathanBLawrence/status/998769506712465408", "998769506712465408")</f>
        <v/>
      </c>
      <c r="B2143" s="2" t="n">
        <v>43242.15024305556</v>
      </c>
      <c r="C2143" t="n">
        <v>0</v>
      </c>
      <c r="D2143" t="n">
        <v>777</v>
      </c>
      <c r="E2143" t="s">
        <v>2150</v>
      </c>
      <c r="F2143" t="s"/>
      <c r="G2143" t="s"/>
      <c r="H2143" t="s"/>
      <c r="I2143" t="s"/>
      <c r="J2143" t="n">
        <v>-0.5994</v>
      </c>
      <c r="K2143" t="n">
        <v>0.178</v>
      </c>
      <c r="L2143" t="n">
        <v>0.822</v>
      </c>
      <c r="M2143" t="n">
        <v>0</v>
      </c>
    </row>
    <row r="2144" spans="1:13">
      <c r="A2144" s="1">
        <f>HYPERLINK("http://www.twitter.com/NathanBLawrence/status/998767791615471617", "998767791615471617")</f>
        <v/>
      </c>
      <c r="B2144" s="2" t="n">
        <v>43242.14550925926</v>
      </c>
      <c r="C2144" t="n">
        <v>0</v>
      </c>
      <c r="D2144" t="n">
        <v>2576</v>
      </c>
      <c r="E2144" t="s">
        <v>2151</v>
      </c>
      <c r="F2144" t="s"/>
      <c r="G2144" t="s"/>
      <c r="H2144" t="s"/>
      <c r="I2144" t="s"/>
      <c r="J2144" t="n">
        <v>0</v>
      </c>
      <c r="K2144" t="n">
        <v>0</v>
      </c>
      <c r="L2144" t="n">
        <v>1</v>
      </c>
      <c r="M2144" t="n">
        <v>0</v>
      </c>
    </row>
    <row r="2145" spans="1:13">
      <c r="A2145" s="1">
        <f>HYPERLINK("http://www.twitter.com/NathanBLawrence/status/998767430133604353", "998767430133604353")</f>
        <v/>
      </c>
      <c r="B2145" s="2" t="n">
        <v>43242.14451388889</v>
      </c>
      <c r="C2145" t="n">
        <v>0</v>
      </c>
      <c r="D2145" t="n">
        <v>334</v>
      </c>
      <c r="E2145" t="s">
        <v>2152</v>
      </c>
      <c r="F2145">
        <f>HYPERLINK("http://pbs.twimg.com/media/Ddwj5KrVQAAvyJF.jpg", "http://pbs.twimg.com/media/Ddwj5KrVQAAvyJF.jpg")</f>
        <v/>
      </c>
      <c r="G2145" t="s"/>
      <c r="H2145" t="s"/>
      <c r="I2145" t="s"/>
      <c r="J2145" t="n">
        <v>0</v>
      </c>
      <c r="K2145" t="n">
        <v>0</v>
      </c>
      <c r="L2145" t="n">
        <v>1</v>
      </c>
      <c r="M2145" t="n">
        <v>0</v>
      </c>
    </row>
    <row r="2146" spans="1:13">
      <c r="A2146" s="1">
        <f>HYPERLINK("http://www.twitter.com/NathanBLawrence/status/998767342149566464", "998767342149566464")</f>
        <v/>
      </c>
      <c r="B2146" s="2" t="n">
        <v>43242.14427083333</v>
      </c>
      <c r="C2146" t="n">
        <v>0</v>
      </c>
      <c r="D2146" t="n">
        <v>751</v>
      </c>
      <c r="E2146" t="s">
        <v>2153</v>
      </c>
      <c r="F2146">
        <f>HYPERLINK("http://pbs.twimg.com/media/Ddw8_rHV4AAtsfs.jpg", "http://pbs.twimg.com/media/Ddw8_rHV4AAtsfs.jpg")</f>
        <v/>
      </c>
      <c r="G2146" t="s"/>
      <c r="H2146" t="s"/>
      <c r="I2146" t="s"/>
      <c r="J2146" t="n">
        <v>0.3612</v>
      </c>
      <c r="K2146" t="n">
        <v>0</v>
      </c>
      <c r="L2146" t="n">
        <v>0.878</v>
      </c>
      <c r="M2146" t="n">
        <v>0.122</v>
      </c>
    </row>
    <row r="2147" spans="1:13">
      <c r="A2147" s="1">
        <f>HYPERLINK("http://www.twitter.com/NathanBLawrence/status/998767265184141312", "998767265184141312")</f>
        <v/>
      </c>
      <c r="B2147" s="2" t="n">
        <v>43242.14405092593</v>
      </c>
      <c r="C2147" t="n">
        <v>0</v>
      </c>
      <c r="D2147" t="n">
        <v>555</v>
      </c>
      <c r="E2147" t="s">
        <v>2154</v>
      </c>
      <c r="F2147" t="s"/>
      <c r="G2147" t="s"/>
      <c r="H2147" t="s"/>
      <c r="I2147" t="s"/>
      <c r="J2147" t="n">
        <v>0</v>
      </c>
      <c r="K2147" t="n">
        <v>0</v>
      </c>
      <c r="L2147" t="n">
        <v>1</v>
      </c>
      <c r="M2147" t="n">
        <v>0</v>
      </c>
    </row>
    <row r="2148" spans="1:13">
      <c r="A2148" s="1">
        <f>HYPERLINK("http://www.twitter.com/NathanBLawrence/status/998767177791692800", "998767177791692800")</f>
        <v/>
      </c>
      <c r="B2148" s="2" t="n">
        <v>43242.14381944444</v>
      </c>
      <c r="C2148" t="n">
        <v>0</v>
      </c>
      <c r="D2148" t="n">
        <v>9</v>
      </c>
      <c r="E2148" t="s">
        <v>2155</v>
      </c>
      <c r="F2148" t="s"/>
      <c r="G2148" t="s"/>
      <c r="H2148" t="s"/>
      <c r="I2148" t="s"/>
      <c r="J2148" t="n">
        <v>0.5106000000000001</v>
      </c>
      <c r="K2148" t="n">
        <v>0</v>
      </c>
      <c r="L2148" t="n">
        <v>0.864</v>
      </c>
      <c r="M2148" t="n">
        <v>0.136</v>
      </c>
    </row>
    <row r="2149" spans="1:13">
      <c r="A2149" s="1">
        <f>HYPERLINK("http://www.twitter.com/NathanBLawrence/status/998767087521759233", "998767087521759233")</f>
        <v/>
      </c>
      <c r="B2149" s="2" t="n">
        <v>43242.14356481482</v>
      </c>
      <c r="C2149" t="n">
        <v>0</v>
      </c>
      <c r="D2149" t="n">
        <v>6</v>
      </c>
      <c r="E2149" t="s">
        <v>2156</v>
      </c>
      <c r="F2149" t="s"/>
      <c r="G2149" t="s"/>
      <c r="H2149" t="s"/>
      <c r="I2149" t="s"/>
      <c r="J2149" t="n">
        <v>0.631</v>
      </c>
      <c r="K2149" t="n">
        <v>0</v>
      </c>
      <c r="L2149" t="n">
        <v>0.745</v>
      </c>
      <c r="M2149" t="n">
        <v>0.255</v>
      </c>
    </row>
    <row r="2150" spans="1:13">
      <c r="A2150" s="1">
        <f>HYPERLINK("http://www.twitter.com/NathanBLawrence/status/998767052830728195", "998767052830728195")</f>
        <v/>
      </c>
      <c r="B2150" s="2" t="n">
        <v>43242.14347222223</v>
      </c>
      <c r="C2150" t="n">
        <v>0</v>
      </c>
      <c r="D2150" t="n">
        <v>21</v>
      </c>
      <c r="E2150" t="s">
        <v>2157</v>
      </c>
      <c r="F2150" t="s"/>
      <c r="G2150" t="s"/>
      <c r="H2150" t="s"/>
      <c r="I2150" t="s"/>
      <c r="J2150" t="n">
        <v>0.1531</v>
      </c>
      <c r="K2150" t="n">
        <v>0</v>
      </c>
      <c r="L2150" t="n">
        <v>0.9320000000000001</v>
      </c>
      <c r="M2150" t="n">
        <v>0.068</v>
      </c>
    </row>
    <row r="2151" spans="1:13">
      <c r="A2151" s="1">
        <f>HYPERLINK("http://www.twitter.com/NathanBLawrence/status/998767007381237760", "998767007381237760")</f>
        <v/>
      </c>
      <c r="B2151" s="2" t="n">
        <v>43242.14334490741</v>
      </c>
      <c r="C2151" t="n">
        <v>0</v>
      </c>
      <c r="D2151" t="n">
        <v>90</v>
      </c>
      <c r="E2151" t="s">
        <v>2158</v>
      </c>
      <c r="F2151" t="s"/>
      <c r="G2151" t="s"/>
      <c r="H2151" t="s"/>
      <c r="I2151" t="s"/>
      <c r="J2151" t="n">
        <v>-0.5574</v>
      </c>
      <c r="K2151" t="n">
        <v>0.187</v>
      </c>
      <c r="L2151" t="n">
        <v>0.8129999999999999</v>
      </c>
      <c r="M2151" t="n">
        <v>0</v>
      </c>
    </row>
    <row r="2152" spans="1:13">
      <c r="A2152" s="1">
        <f>HYPERLINK("http://www.twitter.com/NathanBLawrence/status/998766990562127872", "998766990562127872")</f>
        <v/>
      </c>
      <c r="B2152" s="2" t="n">
        <v>43242.14329861111</v>
      </c>
      <c r="C2152" t="n">
        <v>0</v>
      </c>
      <c r="D2152" t="n">
        <v>2</v>
      </c>
      <c r="E2152" t="s">
        <v>2159</v>
      </c>
      <c r="F2152" t="s"/>
      <c r="G2152" t="s"/>
      <c r="H2152" t="s"/>
      <c r="I2152" t="s"/>
      <c r="J2152" t="n">
        <v>0.1986</v>
      </c>
      <c r="K2152" t="n">
        <v>0</v>
      </c>
      <c r="L2152" t="n">
        <v>0.6909999999999999</v>
      </c>
      <c r="M2152" t="n">
        <v>0.309</v>
      </c>
    </row>
    <row r="2153" spans="1:13">
      <c r="A2153" s="1">
        <f>HYPERLINK("http://www.twitter.com/NathanBLawrence/status/998766977920438272", "998766977920438272")</f>
        <v/>
      </c>
      <c r="B2153" s="2" t="n">
        <v>43242.14326388889</v>
      </c>
      <c r="C2153" t="n">
        <v>0</v>
      </c>
      <c r="D2153" t="n">
        <v>3586</v>
      </c>
      <c r="E2153" t="s">
        <v>2160</v>
      </c>
      <c r="F2153" t="s"/>
      <c r="G2153" t="s"/>
      <c r="H2153" t="s"/>
      <c r="I2153" t="s"/>
      <c r="J2153" t="n">
        <v>-0.3597</v>
      </c>
      <c r="K2153" t="n">
        <v>0.122</v>
      </c>
      <c r="L2153" t="n">
        <v>0.878</v>
      </c>
      <c r="M2153" t="n">
        <v>0</v>
      </c>
    </row>
    <row r="2154" spans="1:13">
      <c r="A2154" s="1">
        <f>HYPERLINK("http://www.twitter.com/NathanBLawrence/status/998766934345834496", "998766934345834496")</f>
        <v/>
      </c>
      <c r="B2154" s="2" t="n">
        <v>43242.14313657407</v>
      </c>
      <c r="C2154" t="n">
        <v>0</v>
      </c>
      <c r="D2154" t="n">
        <v>2050</v>
      </c>
      <c r="E2154" t="s">
        <v>2161</v>
      </c>
      <c r="F2154" t="s"/>
      <c r="G2154" t="s"/>
      <c r="H2154" t="s"/>
      <c r="I2154" t="s"/>
      <c r="J2154" t="n">
        <v>-0.2263</v>
      </c>
      <c r="K2154" t="n">
        <v>0.083</v>
      </c>
      <c r="L2154" t="n">
        <v>0.917</v>
      </c>
      <c r="M2154" t="n">
        <v>0</v>
      </c>
    </row>
    <row r="2155" spans="1:13">
      <c r="A2155" s="1">
        <f>HYPERLINK("http://www.twitter.com/NathanBLawrence/status/998766866003841025", "998766866003841025")</f>
        <v/>
      </c>
      <c r="B2155" s="2" t="n">
        <v>43242.14295138889</v>
      </c>
      <c r="C2155" t="n">
        <v>0</v>
      </c>
      <c r="D2155" t="n">
        <v>1264</v>
      </c>
      <c r="E2155" t="s">
        <v>2162</v>
      </c>
      <c r="F2155" t="s"/>
      <c r="G2155" t="s"/>
      <c r="H2155" t="s"/>
      <c r="I2155" t="s"/>
      <c r="J2155" t="n">
        <v>0.7662</v>
      </c>
      <c r="K2155" t="n">
        <v>0</v>
      </c>
      <c r="L2155" t="n">
        <v>0.664</v>
      </c>
      <c r="M2155" t="n">
        <v>0.336</v>
      </c>
    </row>
    <row r="2156" spans="1:13">
      <c r="A2156" s="1">
        <f>HYPERLINK("http://www.twitter.com/NathanBLawrence/status/998766192398651393", "998766192398651393")</f>
        <v/>
      </c>
      <c r="B2156" s="2" t="n">
        <v>43242.14109953704</v>
      </c>
      <c r="C2156" t="n">
        <v>0</v>
      </c>
      <c r="D2156" t="n">
        <v>144</v>
      </c>
      <c r="E2156" t="s">
        <v>2163</v>
      </c>
      <c r="F2156" t="s"/>
      <c r="G2156" t="s"/>
      <c r="H2156" t="s"/>
      <c r="I2156" t="s"/>
      <c r="J2156" t="n">
        <v>-0.4767</v>
      </c>
      <c r="K2156" t="n">
        <v>0.237</v>
      </c>
      <c r="L2156" t="n">
        <v>0.763</v>
      </c>
      <c r="M2156" t="n">
        <v>0</v>
      </c>
    </row>
    <row r="2157" spans="1:13">
      <c r="A2157" s="1">
        <f>HYPERLINK("http://www.twitter.com/NathanBLawrence/status/998762392849993729", "998762392849993729")</f>
        <v/>
      </c>
      <c r="B2157" s="2" t="n">
        <v>43242.13061342593</v>
      </c>
      <c r="C2157" t="n">
        <v>0</v>
      </c>
      <c r="D2157" t="n">
        <v>0</v>
      </c>
      <c r="E2157" t="s">
        <v>2164</v>
      </c>
      <c r="F2157" t="s"/>
      <c r="G2157" t="s"/>
      <c r="H2157" t="s"/>
      <c r="I2157" t="s"/>
      <c r="J2157" t="n">
        <v>0</v>
      </c>
      <c r="K2157" t="n">
        <v>0</v>
      </c>
      <c r="L2157" t="n">
        <v>1</v>
      </c>
      <c r="M2157" t="n">
        <v>0</v>
      </c>
    </row>
    <row r="2158" spans="1:13">
      <c r="A2158" s="1">
        <f>HYPERLINK("http://www.twitter.com/NathanBLawrence/status/998761652366512128", "998761652366512128")</f>
        <v/>
      </c>
      <c r="B2158" s="2" t="n">
        <v>43242.12856481481</v>
      </c>
      <c r="C2158" t="n">
        <v>0</v>
      </c>
      <c r="D2158" t="n">
        <v>0</v>
      </c>
      <c r="E2158" t="s">
        <v>2165</v>
      </c>
      <c r="F2158" t="s"/>
      <c r="G2158" t="s"/>
      <c r="H2158" t="s"/>
      <c r="I2158" t="s"/>
      <c r="J2158" t="n">
        <v>0</v>
      </c>
      <c r="K2158" t="n">
        <v>0</v>
      </c>
      <c r="L2158" t="n">
        <v>1</v>
      </c>
      <c r="M2158" t="n">
        <v>0</v>
      </c>
    </row>
    <row r="2159" spans="1:13">
      <c r="A2159" s="1">
        <f>HYPERLINK("http://www.twitter.com/NathanBLawrence/status/998758600196739074", "998758600196739074")</f>
        <v/>
      </c>
      <c r="B2159" s="2" t="n">
        <v>43242.12013888889</v>
      </c>
      <c r="C2159" t="n">
        <v>0</v>
      </c>
      <c r="D2159" t="n">
        <v>1045</v>
      </c>
      <c r="E2159" t="s">
        <v>2166</v>
      </c>
      <c r="F2159" t="s"/>
      <c r="G2159" t="s"/>
      <c r="H2159" t="s"/>
      <c r="I2159" t="s"/>
      <c r="J2159" t="n">
        <v>0.25</v>
      </c>
      <c r="K2159" t="n">
        <v>0.083</v>
      </c>
      <c r="L2159" t="n">
        <v>0.794</v>
      </c>
      <c r="M2159" t="n">
        <v>0.123</v>
      </c>
    </row>
    <row r="2160" spans="1:13">
      <c r="A2160" s="1">
        <f>HYPERLINK("http://www.twitter.com/NathanBLawrence/status/998758548204027911", "998758548204027911")</f>
        <v/>
      </c>
      <c r="B2160" s="2" t="n">
        <v>43242.12</v>
      </c>
      <c r="C2160" t="n">
        <v>0</v>
      </c>
      <c r="D2160" t="n">
        <v>8268</v>
      </c>
      <c r="E2160" t="s">
        <v>2167</v>
      </c>
      <c r="F2160" t="s"/>
      <c r="G2160" t="s"/>
      <c r="H2160" t="s"/>
      <c r="I2160" t="s"/>
      <c r="J2160" t="n">
        <v>0.4767</v>
      </c>
      <c r="K2160" t="n">
        <v>0</v>
      </c>
      <c r="L2160" t="n">
        <v>0.866</v>
      </c>
      <c r="M2160" t="n">
        <v>0.134</v>
      </c>
    </row>
    <row r="2161" spans="1:13">
      <c r="A2161" s="1">
        <f>HYPERLINK("http://www.twitter.com/NathanBLawrence/status/998758502129692673", "998758502129692673")</f>
        <v/>
      </c>
      <c r="B2161" s="2" t="n">
        <v>43242.11987268519</v>
      </c>
      <c r="C2161" t="n">
        <v>0</v>
      </c>
      <c r="D2161" t="n">
        <v>29292</v>
      </c>
      <c r="E2161" t="s">
        <v>2168</v>
      </c>
      <c r="F2161" t="s"/>
      <c r="G2161" t="s"/>
      <c r="H2161" t="s"/>
      <c r="I2161" t="s"/>
      <c r="J2161" t="n">
        <v>0</v>
      </c>
      <c r="K2161" t="n">
        <v>0</v>
      </c>
      <c r="L2161" t="n">
        <v>1</v>
      </c>
      <c r="M2161" t="n">
        <v>0</v>
      </c>
    </row>
    <row r="2162" spans="1:13">
      <c r="A2162" s="1">
        <f>HYPERLINK("http://www.twitter.com/NathanBLawrence/status/998758312966524928", "998758312966524928")</f>
        <v/>
      </c>
      <c r="B2162" s="2" t="n">
        <v>43242.11935185185</v>
      </c>
      <c r="C2162" t="n">
        <v>0</v>
      </c>
      <c r="D2162" t="n">
        <v>0</v>
      </c>
      <c r="E2162" t="s">
        <v>2169</v>
      </c>
      <c r="F2162" t="s"/>
      <c r="G2162" t="s"/>
      <c r="H2162" t="s"/>
      <c r="I2162" t="s"/>
      <c r="J2162" t="n">
        <v>-0.4767</v>
      </c>
      <c r="K2162" t="n">
        <v>0.124</v>
      </c>
      <c r="L2162" t="n">
        <v>0.876</v>
      </c>
      <c r="M2162" t="n">
        <v>0</v>
      </c>
    </row>
    <row r="2163" spans="1:13">
      <c r="A2163" s="1">
        <f>HYPERLINK("http://www.twitter.com/NathanBLawrence/status/998757879015501825", "998757879015501825")</f>
        <v/>
      </c>
      <c r="B2163" s="2" t="n">
        <v>43242.11815972222</v>
      </c>
      <c r="C2163" t="n">
        <v>0</v>
      </c>
      <c r="D2163" t="n">
        <v>0</v>
      </c>
      <c r="E2163" t="s">
        <v>2170</v>
      </c>
      <c r="F2163" t="s"/>
      <c r="G2163" t="s"/>
      <c r="H2163" t="s"/>
      <c r="I2163" t="s"/>
      <c r="J2163" t="n">
        <v>0.5584</v>
      </c>
      <c r="K2163" t="n">
        <v>0.159</v>
      </c>
      <c r="L2163" t="n">
        <v>0.612</v>
      </c>
      <c r="M2163" t="n">
        <v>0.229</v>
      </c>
    </row>
    <row r="2164" spans="1:13">
      <c r="A2164" s="1">
        <f>HYPERLINK("http://www.twitter.com/NathanBLawrence/status/998757226373373952", "998757226373373952")</f>
        <v/>
      </c>
      <c r="B2164" s="2" t="n">
        <v>43242.11635416667</v>
      </c>
      <c r="C2164" t="n">
        <v>0</v>
      </c>
      <c r="D2164" t="n">
        <v>1</v>
      </c>
      <c r="E2164" t="s">
        <v>2171</v>
      </c>
      <c r="F2164" t="s"/>
      <c r="G2164" t="s"/>
      <c r="H2164" t="s"/>
      <c r="I2164" t="s"/>
      <c r="J2164" t="n">
        <v>0</v>
      </c>
      <c r="K2164" t="n">
        <v>0</v>
      </c>
      <c r="L2164" t="n">
        <v>1</v>
      </c>
      <c r="M2164" t="n">
        <v>0</v>
      </c>
    </row>
    <row r="2165" spans="1:13">
      <c r="A2165" s="1">
        <f>HYPERLINK("http://www.twitter.com/NathanBLawrence/status/998756871505883136", "998756871505883136")</f>
        <v/>
      </c>
      <c r="B2165" s="2" t="n">
        <v>43242.11537037037</v>
      </c>
      <c r="C2165" t="n">
        <v>0</v>
      </c>
      <c r="D2165" t="n">
        <v>0</v>
      </c>
      <c r="E2165" t="s">
        <v>2172</v>
      </c>
      <c r="F2165" t="s"/>
      <c r="G2165" t="s"/>
      <c r="H2165" t="s"/>
      <c r="I2165" t="s"/>
      <c r="J2165" t="n">
        <v>0.3802</v>
      </c>
      <c r="K2165" t="n">
        <v>0.098</v>
      </c>
      <c r="L2165" t="n">
        <v>0.702</v>
      </c>
      <c r="M2165" t="n">
        <v>0.199</v>
      </c>
    </row>
    <row r="2166" spans="1:13">
      <c r="A2166" s="1">
        <f>HYPERLINK("http://www.twitter.com/NathanBLawrence/status/998756099342983168", "998756099342983168")</f>
        <v/>
      </c>
      <c r="B2166" s="2" t="n">
        <v>43242.11324074074</v>
      </c>
      <c r="C2166" t="n">
        <v>0</v>
      </c>
      <c r="D2166" t="n">
        <v>0</v>
      </c>
      <c r="E2166" t="s">
        <v>2173</v>
      </c>
      <c r="F2166" t="s"/>
      <c r="G2166" t="s"/>
      <c r="H2166" t="s"/>
      <c r="I2166" t="s"/>
      <c r="J2166" t="n">
        <v>0</v>
      </c>
      <c r="K2166" t="n">
        <v>0</v>
      </c>
      <c r="L2166" t="n">
        <v>1</v>
      </c>
      <c r="M2166" t="n">
        <v>0</v>
      </c>
    </row>
    <row r="2167" spans="1:13">
      <c r="A2167" s="1">
        <f>HYPERLINK("http://www.twitter.com/NathanBLawrence/status/998755539214655488", "998755539214655488")</f>
        <v/>
      </c>
      <c r="B2167" s="2" t="n">
        <v>43242.11170138889</v>
      </c>
      <c r="C2167" t="n">
        <v>0</v>
      </c>
      <c r="D2167" t="n">
        <v>1065</v>
      </c>
      <c r="E2167" t="s">
        <v>2174</v>
      </c>
      <c r="F2167" t="s"/>
      <c r="G2167" t="s"/>
      <c r="H2167" t="s"/>
      <c r="I2167" t="s"/>
      <c r="J2167" t="n">
        <v>0</v>
      </c>
      <c r="K2167" t="n">
        <v>0</v>
      </c>
      <c r="L2167" t="n">
        <v>1</v>
      </c>
      <c r="M2167" t="n">
        <v>0</v>
      </c>
    </row>
    <row r="2168" spans="1:13">
      <c r="A2168" s="1">
        <f>HYPERLINK("http://www.twitter.com/NathanBLawrence/status/998755229683372032", "998755229683372032")</f>
        <v/>
      </c>
      <c r="B2168" s="2" t="n">
        <v>43242.11084490741</v>
      </c>
      <c r="C2168" t="n">
        <v>0</v>
      </c>
      <c r="D2168" t="n">
        <v>0</v>
      </c>
      <c r="E2168" t="s">
        <v>2175</v>
      </c>
      <c r="F2168">
        <f>HYPERLINK("http://pbs.twimg.com/media/DdxKlNQV4AASk02.jpg", "http://pbs.twimg.com/media/DdxKlNQV4AASk02.jpg")</f>
        <v/>
      </c>
      <c r="G2168" t="s"/>
      <c r="H2168" t="s"/>
      <c r="I2168" t="s"/>
      <c r="J2168" t="n">
        <v>0.5266999999999999</v>
      </c>
      <c r="K2168" t="n">
        <v>0</v>
      </c>
      <c r="L2168" t="n">
        <v>0.822</v>
      </c>
      <c r="M2168" t="n">
        <v>0.178</v>
      </c>
    </row>
    <row r="2169" spans="1:13">
      <c r="A2169" s="1">
        <f>HYPERLINK("http://www.twitter.com/NathanBLawrence/status/998754626815053826", "998754626815053826")</f>
        <v/>
      </c>
      <c r="B2169" s="2" t="n">
        <v>43242.10917824074</v>
      </c>
      <c r="C2169" t="n">
        <v>0</v>
      </c>
      <c r="D2169" t="n">
        <v>1</v>
      </c>
      <c r="E2169" t="s">
        <v>2176</v>
      </c>
      <c r="F2169">
        <f>HYPERLINK("http://pbs.twimg.com/media/DdwHsaaVwAAyGz3.jpg", "http://pbs.twimg.com/media/DdwHsaaVwAAyGz3.jpg")</f>
        <v/>
      </c>
      <c r="G2169">
        <f>HYPERLINK("http://pbs.twimg.com/media/DdwHsaWVwAAOVh-.jpg", "http://pbs.twimg.com/media/DdwHsaWVwAAOVh-.jpg")</f>
        <v/>
      </c>
      <c r="H2169" t="s"/>
      <c r="I2169" t="s"/>
      <c r="J2169" t="n">
        <v>0</v>
      </c>
      <c r="K2169" t="n">
        <v>0</v>
      </c>
      <c r="L2169" t="n">
        <v>1</v>
      </c>
      <c r="M2169" t="n">
        <v>0</v>
      </c>
    </row>
    <row r="2170" spans="1:13">
      <c r="A2170" s="1">
        <f>HYPERLINK("http://www.twitter.com/NathanBLawrence/status/998754539053383681", "998754539053383681")</f>
        <v/>
      </c>
      <c r="B2170" s="2" t="n">
        <v>43242.10893518518</v>
      </c>
      <c r="C2170" t="n">
        <v>0</v>
      </c>
      <c r="D2170" t="n">
        <v>2</v>
      </c>
      <c r="E2170" t="s">
        <v>2177</v>
      </c>
      <c r="F2170" t="s"/>
      <c r="G2170" t="s"/>
      <c r="H2170" t="s"/>
      <c r="I2170" t="s"/>
      <c r="J2170" t="n">
        <v>0.4215</v>
      </c>
      <c r="K2170" t="n">
        <v>0.108</v>
      </c>
      <c r="L2170" t="n">
        <v>0.667</v>
      </c>
      <c r="M2170" t="n">
        <v>0.225</v>
      </c>
    </row>
    <row r="2171" spans="1:13">
      <c r="A2171" s="1">
        <f>HYPERLINK("http://www.twitter.com/NathanBLawrence/status/998754315945857030", "998754315945857030")</f>
        <v/>
      </c>
      <c r="B2171" s="2" t="n">
        <v>43242.10832175926</v>
      </c>
      <c r="C2171" t="n">
        <v>0</v>
      </c>
      <c r="D2171" t="n">
        <v>1</v>
      </c>
      <c r="E2171" t="s">
        <v>2178</v>
      </c>
      <c r="F2171" t="s"/>
      <c r="G2171" t="s"/>
      <c r="H2171" t="s"/>
      <c r="I2171" t="s"/>
      <c r="J2171" t="n">
        <v>0</v>
      </c>
      <c r="K2171" t="n">
        <v>0</v>
      </c>
      <c r="L2171" t="n">
        <v>1</v>
      </c>
      <c r="M2171" t="n">
        <v>0</v>
      </c>
    </row>
    <row r="2172" spans="1:13">
      <c r="A2172" s="1">
        <f>HYPERLINK("http://www.twitter.com/NathanBLawrence/status/998753928874549249", "998753928874549249")</f>
        <v/>
      </c>
      <c r="B2172" s="2" t="n">
        <v>43242.10725694444</v>
      </c>
      <c r="C2172" t="n">
        <v>0</v>
      </c>
      <c r="D2172" t="n">
        <v>2</v>
      </c>
      <c r="E2172" t="s">
        <v>2179</v>
      </c>
      <c r="F2172" t="s"/>
      <c r="G2172" t="s"/>
      <c r="H2172" t="s"/>
      <c r="I2172" t="s"/>
      <c r="J2172" t="n">
        <v>-0.296</v>
      </c>
      <c r="K2172" t="n">
        <v>0.109</v>
      </c>
      <c r="L2172" t="n">
        <v>0.891</v>
      </c>
      <c r="M2172" t="n">
        <v>0</v>
      </c>
    </row>
    <row r="2173" spans="1:13">
      <c r="A2173" s="1">
        <f>HYPERLINK("http://www.twitter.com/NathanBLawrence/status/998753895332696065", "998753895332696065")</f>
        <v/>
      </c>
      <c r="B2173" s="2" t="n">
        <v>43242.10716435185</v>
      </c>
      <c r="C2173" t="n">
        <v>0</v>
      </c>
      <c r="D2173" t="n">
        <v>2</v>
      </c>
      <c r="E2173" t="s">
        <v>2180</v>
      </c>
      <c r="F2173" t="s"/>
      <c r="G2173" t="s"/>
      <c r="H2173" t="s"/>
      <c r="I2173" t="s"/>
      <c r="J2173" t="n">
        <v>0.5719</v>
      </c>
      <c r="K2173" t="n">
        <v>0.104</v>
      </c>
      <c r="L2173" t="n">
        <v>0.643</v>
      </c>
      <c r="M2173" t="n">
        <v>0.253</v>
      </c>
    </row>
    <row r="2174" spans="1:13">
      <c r="A2174" s="1">
        <f>HYPERLINK("http://www.twitter.com/NathanBLawrence/status/998753635323596800", "998753635323596800")</f>
        <v/>
      </c>
      <c r="B2174" s="2" t="n">
        <v>43242.10644675926</v>
      </c>
      <c r="C2174" t="n">
        <v>0</v>
      </c>
      <c r="D2174" t="n">
        <v>3028</v>
      </c>
      <c r="E2174" t="s">
        <v>2181</v>
      </c>
      <c r="F2174" t="s"/>
      <c r="G2174" t="s"/>
      <c r="H2174" t="s"/>
      <c r="I2174" t="s"/>
      <c r="J2174" t="n">
        <v>0.4939</v>
      </c>
      <c r="K2174" t="n">
        <v>0</v>
      </c>
      <c r="L2174" t="n">
        <v>0.868</v>
      </c>
      <c r="M2174" t="n">
        <v>0.132</v>
      </c>
    </row>
    <row r="2175" spans="1:13">
      <c r="A2175" s="1">
        <f>HYPERLINK("http://www.twitter.com/NathanBLawrence/status/998753520768741376", "998753520768741376")</f>
        <v/>
      </c>
      <c r="B2175" s="2" t="n">
        <v>43242.10612268518</v>
      </c>
      <c r="C2175" t="n">
        <v>0</v>
      </c>
      <c r="D2175" t="n">
        <v>3076</v>
      </c>
      <c r="E2175" t="s">
        <v>2182</v>
      </c>
      <c r="F2175">
        <f>HYPERLINK("http://pbs.twimg.com/media/DdwG6urVAAAaIUl.jpg", "http://pbs.twimg.com/media/DdwG6urVAAAaIUl.jpg")</f>
        <v/>
      </c>
      <c r="G2175">
        <f>HYPERLINK("http://pbs.twimg.com/media/DdwHPBwV4AAZCNy.jpg", "http://pbs.twimg.com/media/DdwHPBwV4AAZCNy.jpg")</f>
        <v/>
      </c>
      <c r="H2175" t="s"/>
      <c r="I2175" t="s"/>
      <c r="J2175" t="n">
        <v>0.1027</v>
      </c>
      <c r="K2175" t="n">
        <v>0.192</v>
      </c>
      <c r="L2175" t="n">
        <v>0.602</v>
      </c>
      <c r="M2175" t="n">
        <v>0.207</v>
      </c>
    </row>
    <row r="2176" spans="1:13">
      <c r="A2176" s="1">
        <f>HYPERLINK("http://www.twitter.com/NathanBLawrence/status/998707127890972672", "998707127890972672")</f>
        <v/>
      </c>
      <c r="B2176" s="2" t="n">
        <v>43241.97811342592</v>
      </c>
      <c r="C2176" t="n">
        <v>0</v>
      </c>
      <c r="D2176" t="n">
        <v>5160</v>
      </c>
      <c r="E2176" t="s">
        <v>2183</v>
      </c>
      <c r="F2176" t="s"/>
      <c r="G2176" t="s"/>
      <c r="H2176" t="s"/>
      <c r="I2176" t="s"/>
      <c r="J2176" t="n">
        <v>0.0258</v>
      </c>
      <c r="K2176" t="n">
        <v>0</v>
      </c>
      <c r="L2176" t="n">
        <v>0.948</v>
      </c>
      <c r="M2176" t="n">
        <v>0.052</v>
      </c>
    </row>
    <row r="2177" spans="1:13">
      <c r="A2177" s="1">
        <f>HYPERLINK("http://www.twitter.com/NathanBLawrence/status/998707061813862401", "998707061813862401")</f>
        <v/>
      </c>
      <c r="B2177" s="2" t="n">
        <v>43241.97792824074</v>
      </c>
      <c r="C2177" t="n">
        <v>0</v>
      </c>
      <c r="D2177" t="n">
        <v>797</v>
      </c>
      <c r="E2177" t="s">
        <v>2184</v>
      </c>
      <c r="F2177" t="s"/>
      <c r="G2177" t="s"/>
      <c r="H2177" t="s"/>
      <c r="I2177" t="s"/>
      <c r="J2177" t="n">
        <v>0</v>
      </c>
      <c r="K2177" t="n">
        <v>0</v>
      </c>
      <c r="L2177" t="n">
        <v>1</v>
      </c>
      <c r="M2177" t="n">
        <v>0</v>
      </c>
    </row>
    <row r="2178" spans="1:13">
      <c r="A2178" s="1">
        <f>HYPERLINK("http://www.twitter.com/NathanBLawrence/status/998707032910901248", "998707032910901248")</f>
        <v/>
      </c>
      <c r="B2178" s="2" t="n">
        <v>43241.97784722222</v>
      </c>
      <c r="C2178" t="n">
        <v>0</v>
      </c>
      <c r="D2178" t="n">
        <v>304</v>
      </c>
      <c r="E2178" t="s">
        <v>2185</v>
      </c>
      <c r="F2178" t="s"/>
      <c r="G2178" t="s"/>
      <c r="H2178" t="s"/>
      <c r="I2178" t="s"/>
      <c r="J2178" t="n">
        <v>-0.3612</v>
      </c>
      <c r="K2178" t="n">
        <v>0.107</v>
      </c>
      <c r="L2178" t="n">
        <v>0.843</v>
      </c>
      <c r="M2178" t="n">
        <v>0.05</v>
      </c>
    </row>
    <row r="2179" spans="1:13">
      <c r="A2179" s="1">
        <f>HYPERLINK("http://www.twitter.com/NathanBLawrence/status/998706996680495104", "998706996680495104")</f>
        <v/>
      </c>
      <c r="B2179" s="2" t="n">
        <v>43241.97774305556</v>
      </c>
      <c r="C2179" t="n">
        <v>0</v>
      </c>
      <c r="D2179" t="n">
        <v>3870</v>
      </c>
      <c r="E2179" t="s">
        <v>2186</v>
      </c>
      <c r="F2179" t="s"/>
      <c r="G2179" t="s"/>
      <c r="H2179" t="s"/>
      <c r="I2179" t="s"/>
      <c r="J2179" t="n">
        <v>-0.7579</v>
      </c>
      <c r="K2179" t="n">
        <v>0.228</v>
      </c>
      <c r="L2179" t="n">
        <v>0.772</v>
      </c>
      <c r="M2179" t="n">
        <v>0</v>
      </c>
    </row>
    <row r="2180" spans="1:13">
      <c r="A2180" s="1">
        <f>HYPERLINK("http://www.twitter.com/NathanBLawrence/status/998706921489289216", "998706921489289216")</f>
        <v/>
      </c>
      <c r="B2180" s="2" t="n">
        <v>43241.97753472222</v>
      </c>
      <c r="C2180" t="n">
        <v>0</v>
      </c>
      <c r="D2180" t="n">
        <v>787</v>
      </c>
      <c r="E2180" t="s">
        <v>2187</v>
      </c>
      <c r="F2180" t="s"/>
      <c r="G2180" t="s"/>
      <c r="H2180" t="s"/>
      <c r="I2180" t="s"/>
      <c r="J2180" t="n">
        <v>0.1621</v>
      </c>
      <c r="K2180" t="n">
        <v>0.113</v>
      </c>
      <c r="L2180" t="n">
        <v>0.747</v>
      </c>
      <c r="M2180" t="n">
        <v>0.141</v>
      </c>
    </row>
    <row r="2181" spans="1:13">
      <c r="A2181" s="1">
        <f>HYPERLINK("http://www.twitter.com/NathanBLawrence/status/998706754300137472", "998706754300137472")</f>
        <v/>
      </c>
      <c r="B2181" s="2" t="n">
        <v>43241.97707175926</v>
      </c>
      <c r="C2181" t="n">
        <v>0</v>
      </c>
      <c r="D2181" t="n">
        <v>1962</v>
      </c>
      <c r="E2181" t="s">
        <v>2188</v>
      </c>
      <c r="F2181" t="s"/>
      <c r="G2181" t="s"/>
      <c r="H2181" t="s"/>
      <c r="I2181" t="s"/>
      <c r="J2181" t="n">
        <v>0</v>
      </c>
      <c r="K2181" t="n">
        <v>0</v>
      </c>
      <c r="L2181" t="n">
        <v>1</v>
      </c>
      <c r="M2181" t="n">
        <v>0</v>
      </c>
    </row>
    <row r="2182" spans="1:13">
      <c r="A2182" s="1">
        <f>HYPERLINK("http://www.twitter.com/NathanBLawrence/status/998706304343531520", "998706304343531520")</f>
        <v/>
      </c>
      <c r="B2182" s="2" t="n">
        <v>43241.97583333333</v>
      </c>
      <c r="C2182" t="n">
        <v>0</v>
      </c>
      <c r="D2182" t="n">
        <v>16</v>
      </c>
      <c r="E2182" t="s">
        <v>2189</v>
      </c>
      <c r="F2182" t="s"/>
      <c r="G2182" t="s"/>
      <c r="H2182" t="s"/>
      <c r="I2182" t="s"/>
      <c r="J2182" t="n">
        <v>0</v>
      </c>
      <c r="K2182" t="n">
        <v>0</v>
      </c>
      <c r="L2182" t="n">
        <v>1</v>
      </c>
      <c r="M2182" t="n">
        <v>0</v>
      </c>
    </row>
    <row r="2183" spans="1:13">
      <c r="A2183" s="1">
        <f>HYPERLINK("http://www.twitter.com/NathanBLawrence/status/998706288468078594", "998706288468078594")</f>
        <v/>
      </c>
      <c r="B2183" s="2" t="n">
        <v>43241.97578703704</v>
      </c>
      <c r="C2183" t="n">
        <v>0</v>
      </c>
      <c r="D2183" t="n">
        <v>104</v>
      </c>
      <c r="E2183" t="s">
        <v>2190</v>
      </c>
      <c r="F2183" t="s"/>
      <c r="G2183" t="s"/>
      <c r="H2183" t="s"/>
      <c r="I2183" t="s"/>
      <c r="J2183" t="n">
        <v>0</v>
      </c>
      <c r="K2183" t="n">
        <v>0</v>
      </c>
      <c r="L2183" t="n">
        <v>1</v>
      </c>
      <c r="M2183" t="n">
        <v>0</v>
      </c>
    </row>
    <row r="2184" spans="1:13">
      <c r="A2184" s="1">
        <f>HYPERLINK("http://www.twitter.com/NathanBLawrence/status/998706108612136961", "998706108612136961")</f>
        <v/>
      </c>
      <c r="B2184" s="2" t="n">
        <v>43241.97530092593</v>
      </c>
      <c r="C2184" t="n">
        <v>0</v>
      </c>
      <c r="D2184" t="n">
        <v>468</v>
      </c>
      <c r="E2184" t="s">
        <v>2191</v>
      </c>
      <c r="F2184" t="s"/>
      <c r="G2184" t="s"/>
      <c r="H2184" t="s"/>
      <c r="I2184" t="s"/>
      <c r="J2184" t="n">
        <v>0</v>
      </c>
      <c r="K2184" t="n">
        <v>0</v>
      </c>
      <c r="L2184" t="n">
        <v>1</v>
      </c>
      <c r="M2184" t="n">
        <v>0</v>
      </c>
    </row>
    <row r="2185" spans="1:13">
      <c r="A2185" s="1">
        <f>HYPERLINK("http://www.twitter.com/NathanBLawrence/status/998706047773741056", "998706047773741056")</f>
        <v/>
      </c>
      <c r="B2185" s="2" t="n">
        <v>43241.97512731481</v>
      </c>
      <c r="C2185" t="n">
        <v>0</v>
      </c>
      <c r="D2185" t="n">
        <v>4802</v>
      </c>
      <c r="E2185" t="s">
        <v>2192</v>
      </c>
      <c r="F2185">
        <f>HYPERLINK("http://pbs.twimg.com/media/Ddv3zf3X0AEzFOx.jpg", "http://pbs.twimg.com/media/Ddv3zf3X0AEzFOx.jpg")</f>
        <v/>
      </c>
      <c r="G2185" t="s"/>
      <c r="H2185" t="s"/>
      <c r="I2185" t="s"/>
      <c r="J2185" t="n">
        <v>0</v>
      </c>
      <c r="K2185" t="n">
        <v>0</v>
      </c>
      <c r="L2185" t="n">
        <v>1</v>
      </c>
      <c r="M2185" t="n">
        <v>0</v>
      </c>
    </row>
    <row r="2186" spans="1:13">
      <c r="A2186" s="1">
        <f>HYPERLINK("http://www.twitter.com/NathanBLawrence/status/998706032951078912", "998706032951078912")</f>
        <v/>
      </c>
      <c r="B2186" s="2" t="n">
        <v>43241.97508101852</v>
      </c>
      <c r="C2186" t="n">
        <v>0</v>
      </c>
      <c r="D2186" t="n">
        <v>8</v>
      </c>
      <c r="E2186" t="s">
        <v>2193</v>
      </c>
      <c r="F2186" t="s"/>
      <c r="G2186" t="s"/>
      <c r="H2186" t="s"/>
      <c r="I2186" t="s"/>
      <c r="J2186" t="n">
        <v>0</v>
      </c>
      <c r="K2186" t="n">
        <v>0</v>
      </c>
      <c r="L2186" t="n">
        <v>1</v>
      </c>
      <c r="M2186" t="n">
        <v>0</v>
      </c>
    </row>
    <row r="2187" spans="1:13">
      <c r="A2187" s="1">
        <f>HYPERLINK("http://www.twitter.com/NathanBLawrence/status/998706019751677952", "998706019751677952")</f>
        <v/>
      </c>
      <c r="B2187" s="2" t="n">
        <v>43241.9750462963</v>
      </c>
      <c r="C2187" t="n">
        <v>0</v>
      </c>
      <c r="D2187" t="n">
        <v>15</v>
      </c>
      <c r="E2187" t="s">
        <v>2194</v>
      </c>
      <c r="F2187" t="s"/>
      <c r="G2187" t="s"/>
      <c r="H2187" t="s"/>
      <c r="I2187" t="s"/>
      <c r="J2187" t="n">
        <v>0</v>
      </c>
      <c r="K2187" t="n">
        <v>0</v>
      </c>
      <c r="L2187" t="n">
        <v>1</v>
      </c>
      <c r="M2187" t="n">
        <v>0</v>
      </c>
    </row>
    <row r="2188" spans="1:13">
      <c r="A2188" s="1">
        <f>HYPERLINK("http://www.twitter.com/NathanBLawrence/status/998705923391664128", "998705923391664128")</f>
        <v/>
      </c>
      <c r="B2188" s="2" t="n">
        <v>43241.97478009259</v>
      </c>
      <c r="C2188" t="n">
        <v>0</v>
      </c>
      <c r="D2188" t="n">
        <v>4274</v>
      </c>
      <c r="E2188" t="s">
        <v>2195</v>
      </c>
      <c r="F2188" t="s"/>
      <c r="G2188" t="s"/>
      <c r="H2188" t="s"/>
      <c r="I2188" t="s"/>
      <c r="J2188" t="n">
        <v>0.3612</v>
      </c>
      <c r="K2188" t="n">
        <v>0</v>
      </c>
      <c r="L2188" t="n">
        <v>0.839</v>
      </c>
      <c r="M2188" t="n">
        <v>0.161</v>
      </c>
    </row>
    <row r="2189" spans="1:13">
      <c r="A2189" s="1">
        <f>HYPERLINK("http://www.twitter.com/NathanBLawrence/status/998705848208719873", "998705848208719873")</f>
        <v/>
      </c>
      <c r="B2189" s="2" t="n">
        <v>43241.97457175926</v>
      </c>
      <c r="C2189" t="n">
        <v>0</v>
      </c>
      <c r="D2189" t="n">
        <v>243</v>
      </c>
      <c r="E2189" t="s">
        <v>2196</v>
      </c>
      <c r="F2189" t="s"/>
      <c r="G2189" t="s"/>
      <c r="H2189" t="s"/>
      <c r="I2189" t="s"/>
      <c r="J2189" t="n">
        <v>-0.34</v>
      </c>
      <c r="K2189" t="n">
        <v>0.112</v>
      </c>
      <c r="L2189" t="n">
        <v>0.888</v>
      </c>
      <c r="M2189" t="n">
        <v>0</v>
      </c>
    </row>
    <row r="2190" spans="1:13">
      <c r="A2190" s="1">
        <f>HYPERLINK("http://www.twitter.com/NathanBLawrence/status/998705678343696385", "998705678343696385")</f>
        <v/>
      </c>
      <c r="B2190" s="2" t="n">
        <v>43241.9741087963</v>
      </c>
      <c r="C2190" t="n">
        <v>0</v>
      </c>
      <c r="D2190" t="n">
        <v>674</v>
      </c>
      <c r="E2190" t="s">
        <v>2197</v>
      </c>
      <c r="F2190" t="s"/>
      <c r="G2190" t="s"/>
      <c r="H2190" t="s"/>
      <c r="I2190" t="s"/>
      <c r="J2190" t="n">
        <v>0.8541</v>
      </c>
      <c r="K2190" t="n">
        <v>0</v>
      </c>
      <c r="L2190" t="n">
        <v>0.67</v>
      </c>
      <c r="M2190" t="n">
        <v>0.33</v>
      </c>
    </row>
    <row r="2191" spans="1:13">
      <c r="A2191" s="1">
        <f>HYPERLINK("http://www.twitter.com/NathanBLawrence/status/998705656071950337", "998705656071950337")</f>
        <v/>
      </c>
      <c r="B2191" s="2" t="n">
        <v>43241.97405092593</v>
      </c>
      <c r="C2191" t="n">
        <v>0</v>
      </c>
      <c r="D2191" t="n">
        <v>347</v>
      </c>
      <c r="E2191" t="s">
        <v>2198</v>
      </c>
      <c r="F2191" t="s"/>
      <c r="G2191" t="s"/>
      <c r="H2191" t="s"/>
      <c r="I2191" t="s"/>
      <c r="J2191" t="n">
        <v>-0.1779</v>
      </c>
      <c r="K2191" t="n">
        <v>0.117</v>
      </c>
      <c r="L2191" t="n">
        <v>0.792</v>
      </c>
      <c r="M2191" t="n">
        <v>0.091</v>
      </c>
    </row>
    <row r="2192" spans="1:13">
      <c r="A2192" s="1">
        <f>HYPERLINK("http://www.twitter.com/NathanBLawrence/status/998705632726388736", "998705632726388736")</f>
        <v/>
      </c>
      <c r="B2192" s="2" t="n">
        <v>43241.97398148148</v>
      </c>
      <c r="C2192" t="n">
        <v>0</v>
      </c>
      <c r="D2192" t="n">
        <v>505</v>
      </c>
      <c r="E2192" t="s">
        <v>2199</v>
      </c>
      <c r="F2192" t="s"/>
      <c r="G2192" t="s"/>
      <c r="H2192" t="s"/>
      <c r="I2192" t="s"/>
      <c r="J2192" t="n">
        <v>-0.7096</v>
      </c>
      <c r="K2192" t="n">
        <v>0.229</v>
      </c>
      <c r="L2192" t="n">
        <v>0.707</v>
      </c>
      <c r="M2192" t="n">
        <v>0.064</v>
      </c>
    </row>
    <row r="2193" spans="1:13">
      <c r="A2193" s="1">
        <f>HYPERLINK("http://www.twitter.com/NathanBLawrence/status/998705439188705281", "998705439188705281")</f>
        <v/>
      </c>
      <c r="B2193" s="2" t="n">
        <v>43241.97344907407</v>
      </c>
      <c r="C2193" t="n">
        <v>0</v>
      </c>
      <c r="D2193" t="n">
        <v>965</v>
      </c>
      <c r="E2193" t="s">
        <v>2200</v>
      </c>
      <c r="F2193" t="s"/>
      <c r="G2193" t="s"/>
      <c r="H2193" t="s"/>
      <c r="I2193" t="s"/>
      <c r="J2193" t="n">
        <v>-0.3612</v>
      </c>
      <c r="K2193" t="n">
        <v>0.161</v>
      </c>
      <c r="L2193" t="n">
        <v>0.839</v>
      </c>
      <c r="M2193" t="n">
        <v>0</v>
      </c>
    </row>
    <row r="2194" spans="1:13">
      <c r="A2194" s="1">
        <f>HYPERLINK("http://www.twitter.com/NathanBLawrence/status/998705299480555523", "998705299480555523")</f>
        <v/>
      </c>
      <c r="B2194" s="2" t="n">
        <v>43241.97306712963</v>
      </c>
      <c r="C2194" t="n">
        <v>0</v>
      </c>
      <c r="D2194" t="n">
        <v>1</v>
      </c>
      <c r="E2194" t="s">
        <v>2201</v>
      </c>
      <c r="F2194" t="s"/>
      <c r="G2194" t="s"/>
      <c r="H2194" t="s"/>
      <c r="I2194" t="s"/>
      <c r="J2194" t="n">
        <v>0.296</v>
      </c>
      <c r="K2194" t="n">
        <v>0</v>
      </c>
      <c r="L2194" t="n">
        <v>0.901</v>
      </c>
      <c r="M2194" t="n">
        <v>0.099</v>
      </c>
    </row>
    <row r="2195" spans="1:13">
      <c r="A2195" s="1">
        <f>HYPERLINK("http://www.twitter.com/NathanBLawrence/status/998691391977984000", "998691391977984000")</f>
        <v/>
      </c>
      <c r="B2195" s="2" t="n">
        <v>43241.9346875</v>
      </c>
      <c r="C2195" t="n">
        <v>0</v>
      </c>
      <c r="D2195" t="n">
        <v>0</v>
      </c>
      <c r="E2195" t="s">
        <v>2202</v>
      </c>
      <c r="F2195" t="s"/>
      <c r="G2195" t="s"/>
      <c r="H2195" t="s"/>
      <c r="I2195" t="s"/>
      <c r="J2195" t="n">
        <v>0.5749</v>
      </c>
      <c r="K2195" t="n">
        <v>0.101</v>
      </c>
      <c r="L2195" t="n">
        <v>0.671</v>
      </c>
      <c r="M2195" t="n">
        <v>0.228</v>
      </c>
    </row>
    <row r="2196" spans="1:13">
      <c r="A2196" s="1">
        <f>HYPERLINK("http://www.twitter.com/NathanBLawrence/status/998690659073699841", "998690659073699841")</f>
        <v/>
      </c>
      <c r="B2196" s="2" t="n">
        <v>43241.93266203703</v>
      </c>
      <c r="C2196" t="n">
        <v>0</v>
      </c>
      <c r="D2196" t="n">
        <v>2886</v>
      </c>
      <c r="E2196" t="s">
        <v>2203</v>
      </c>
      <c r="F2196" t="s"/>
      <c r="G2196" t="s"/>
      <c r="H2196" t="s"/>
      <c r="I2196" t="s"/>
      <c r="J2196" t="n">
        <v>-0.9118000000000001</v>
      </c>
      <c r="K2196" t="n">
        <v>0.37</v>
      </c>
      <c r="L2196" t="n">
        <v>0.59</v>
      </c>
      <c r="M2196" t="n">
        <v>0.04</v>
      </c>
    </row>
    <row r="2197" spans="1:13">
      <c r="A2197" s="1">
        <f>HYPERLINK("http://www.twitter.com/NathanBLawrence/status/998690340373696512", "998690340373696512")</f>
        <v/>
      </c>
      <c r="B2197" s="2" t="n">
        <v>43241.93178240741</v>
      </c>
      <c r="C2197" t="n">
        <v>0</v>
      </c>
      <c r="D2197" t="n">
        <v>243</v>
      </c>
      <c r="E2197" t="s">
        <v>2204</v>
      </c>
      <c r="F2197" t="s"/>
      <c r="G2197" t="s"/>
      <c r="H2197" t="s"/>
      <c r="I2197" t="s"/>
      <c r="J2197" t="n">
        <v>0</v>
      </c>
      <c r="K2197" t="n">
        <v>0</v>
      </c>
      <c r="L2197" t="n">
        <v>1</v>
      </c>
      <c r="M2197" t="n">
        <v>0</v>
      </c>
    </row>
    <row r="2198" spans="1:13">
      <c r="A2198" s="1">
        <f>HYPERLINK("http://www.twitter.com/NathanBLawrence/status/998690283180167168", "998690283180167168")</f>
        <v/>
      </c>
      <c r="B2198" s="2" t="n">
        <v>43241.93162037037</v>
      </c>
      <c r="C2198" t="n">
        <v>0</v>
      </c>
      <c r="D2198" t="n">
        <v>55</v>
      </c>
      <c r="E2198" t="s">
        <v>2205</v>
      </c>
      <c r="F2198" t="s"/>
      <c r="G2198" t="s"/>
      <c r="H2198" t="s"/>
      <c r="I2198" t="s"/>
      <c r="J2198" t="n">
        <v>0.8225</v>
      </c>
      <c r="K2198" t="n">
        <v>0.101</v>
      </c>
      <c r="L2198" t="n">
        <v>0.549</v>
      </c>
      <c r="M2198" t="n">
        <v>0.35</v>
      </c>
    </row>
    <row r="2199" spans="1:13">
      <c r="A2199" s="1">
        <f>HYPERLINK("http://www.twitter.com/NathanBLawrence/status/998690266298093569", "998690266298093569")</f>
        <v/>
      </c>
      <c r="B2199" s="2" t="n">
        <v>43241.93157407407</v>
      </c>
      <c r="C2199" t="n">
        <v>0</v>
      </c>
      <c r="D2199" t="n">
        <v>556</v>
      </c>
      <c r="E2199" t="s">
        <v>2206</v>
      </c>
      <c r="F2199" t="s"/>
      <c r="G2199" t="s"/>
      <c r="H2199" t="s"/>
      <c r="I2199" t="s"/>
      <c r="J2199" t="n">
        <v>0.3391</v>
      </c>
      <c r="K2199" t="n">
        <v>0</v>
      </c>
      <c r="L2199" t="n">
        <v>0.866</v>
      </c>
      <c r="M2199" t="n">
        <v>0.134</v>
      </c>
    </row>
    <row r="2200" spans="1:13">
      <c r="A2200" s="1">
        <f>HYPERLINK("http://www.twitter.com/NathanBLawrence/status/998690266264547328", "998690266264547328")</f>
        <v/>
      </c>
      <c r="B2200" s="2" t="n">
        <v>43241.93157407407</v>
      </c>
      <c r="C2200" t="n">
        <v>0</v>
      </c>
      <c r="D2200" t="n">
        <v>115</v>
      </c>
      <c r="E2200" t="s">
        <v>2207</v>
      </c>
      <c r="F2200" t="s"/>
      <c r="G2200" t="s"/>
      <c r="H2200" t="s"/>
      <c r="I2200" t="s"/>
      <c r="J2200" t="n">
        <v>0.5106000000000001</v>
      </c>
      <c r="K2200" t="n">
        <v>0.116</v>
      </c>
      <c r="L2200" t="n">
        <v>0.627</v>
      </c>
      <c r="M2200" t="n">
        <v>0.257</v>
      </c>
    </row>
    <row r="2201" spans="1:13">
      <c r="A2201" s="1">
        <f>HYPERLINK("http://www.twitter.com/NathanBLawrence/status/998665097231896576", "998665097231896576")</f>
        <v/>
      </c>
      <c r="B2201" s="2" t="n">
        <v>43241.86212962963</v>
      </c>
      <c r="C2201" t="n">
        <v>0</v>
      </c>
      <c r="D2201" t="n">
        <v>9</v>
      </c>
      <c r="E2201" t="s">
        <v>2208</v>
      </c>
      <c r="F2201" t="s"/>
      <c r="G2201" t="s"/>
      <c r="H2201" t="s"/>
      <c r="I2201" t="s"/>
      <c r="J2201" t="n">
        <v>0.9186</v>
      </c>
      <c r="K2201" t="n">
        <v>0</v>
      </c>
      <c r="L2201" t="n">
        <v>0.581</v>
      </c>
      <c r="M2201" t="n">
        <v>0.419</v>
      </c>
    </row>
    <row r="2202" spans="1:13">
      <c r="A2202" s="1">
        <f>HYPERLINK("http://www.twitter.com/NathanBLawrence/status/998663787375931392", "998663787375931392")</f>
        <v/>
      </c>
      <c r="B2202" s="2" t="n">
        <v>43241.85850694445</v>
      </c>
      <c r="C2202" t="n">
        <v>0</v>
      </c>
      <c r="D2202" t="n">
        <v>213</v>
      </c>
      <c r="E2202" t="s">
        <v>2209</v>
      </c>
      <c r="F2202" t="s"/>
      <c r="G2202" t="s"/>
      <c r="H2202" t="s"/>
      <c r="I2202" t="s"/>
      <c r="J2202" t="n">
        <v>-0.4902</v>
      </c>
      <c r="K2202" t="n">
        <v>0.121</v>
      </c>
      <c r="L2202" t="n">
        <v>0.879</v>
      </c>
      <c r="M2202" t="n">
        <v>0</v>
      </c>
    </row>
    <row r="2203" spans="1:13">
      <c r="A2203" s="1">
        <f>HYPERLINK("http://www.twitter.com/NathanBLawrence/status/998663787367583746", "998663787367583746")</f>
        <v/>
      </c>
      <c r="B2203" s="2" t="n">
        <v>43241.85850694445</v>
      </c>
      <c r="C2203" t="n">
        <v>0</v>
      </c>
      <c r="D2203" t="n">
        <v>179</v>
      </c>
      <c r="E2203" t="s">
        <v>2210</v>
      </c>
      <c r="F2203" t="s"/>
      <c r="G2203" t="s"/>
      <c r="H2203" t="s"/>
      <c r="I2203" t="s"/>
      <c r="J2203" t="n">
        <v>0.0772</v>
      </c>
      <c r="K2203" t="n">
        <v>0.102</v>
      </c>
      <c r="L2203" t="n">
        <v>0.784</v>
      </c>
      <c r="M2203" t="n">
        <v>0.114</v>
      </c>
    </row>
    <row r="2204" spans="1:13">
      <c r="A2204" s="1">
        <f>HYPERLINK("http://www.twitter.com/NathanBLawrence/status/998663476280258560", "998663476280258560")</f>
        <v/>
      </c>
      <c r="B2204" s="2" t="n">
        <v>43241.85765046296</v>
      </c>
      <c r="C2204" t="n">
        <v>0</v>
      </c>
      <c r="D2204" t="n">
        <v>615</v>
      </c>
      <c r="E2204" t="s">
        <v>2211</v>
      </c>
      <c r="F2204" t="s"/>
      <c r="G2204" t="s"/>
      <c r="H2204" t="s"/>
      <c r="I2204" t="s"/>
      <c r="J2204" t="n">
        <v>0.4215</v>
      </c>
      <c r="K2204" t="n">
        <v>0</v>
      </c>
      <c r="L2204" t="n">
        <v>0.833</v>
      </c>
      <c r="M2204" t="n">
        <v>0.167</v>
      </c>
    </row>
    <row r="2205" spans="1:13">
      <c r="A2205" s="1">
        <f>HYPERLINK("http://www.twitter.com/NathanBLawrence/status/998663472358547456", "998663472358547456")</f>
        <v/>
      </c>
      <c r="B2205" s="2" t="n">
        <v>43241.85763888889</v>
      </c>
      <c r="C2205" t="n">
        <v>0</v>
      </c>
      <c r="D2205" t="n">
        <v>822</v>
      </c>
      <c r="E2205" t="s">
        <v>2212</v>
      </c>
      <c r="F2205" t="s"/>
      <c r="G2205" t="s"/>
      <c r="H2205" t="s"/>
      <c r="I2205" t="s"/>
      <c r="J2205" t="n">
        <v>0.4284</v>
      </c>
      <c r="K2205" t="n">
        <v>0</v>
      </c>
      <c r="L2205" t="n">
        <v>0.839</v>
      </c>
      <c r="M2205" t="n">
        <v>0.161</v>
      </c>
    </row>
    <row r="2206" spans="1:13">
      <c r="A2206" s="1">
        <f>HYPERLINK("http://www.twitter.com/NathanBLawrence/status/998663121022672896", "998663121022672896")</f>
        <v/>
      </c>
      <c r="B2206" s="2" t="n">
        <v>43241.85666666667</v>
      </c>
      <c r="C2206" t="n">
        <v>0</v>
      </c>
      <c r="D2206" t="n">
        <v>2684</v>
      </c>
      <c r="E2206" t="s">
        <v>2213</v>
      </c>
      <c r="F2206" t="s"/>
      <c r="G2206" t="s"/>
      <c r="H2206" t="s"/>
      <c r="I2206" t="s"/>
      <c r="J2206" t="n">
        <v>0.3818</v>
      </c>
      <c r="K2206" t="n">
        <v>0</v>
      </c>
      <c r="L2206" t="n">
        <v>0.89</v>
      </c>
      <c r="M2206" t="n">
        <v>0.11</v>
      </c>
    </row>
    <row r="2207" spans="1:13">
      <c r="A2207" s="1">
        <f>HYPERLINK("http://www.twitter.com/NathanBLawrence/status/998663120997552133", "998663120997552133")</f>
        <v/>
      </c>
      <c r="B2207" s="2" t="n">
        <v>43241.85666666667</v>
      </c>
      <c r="C2207" t="n">
        <v>0</v>
      </c>
      <c r="D2207" t="n">
        <v>130</v>
      </c>
      <c r="E2207" t="s">
        <v>2214</v>
      </c>
      <c r="F2207" t="s"/>
      <c r="G2207" t="s"/>
      <c r="H2207" t="s"/>
      <c r="I2207" t="s"/>
      <c r="J2207" t="n">
        <v>0</v>
      </c>
      <c r="K2207" t="n">
        <v>0</v>
      </c>
      <c r="L2207" t="n">
        <v>1</v>
      </c>
      <c r="M2207" t="n">
        <v>0</v>
      </c>
    </row>
    <row r="2208" spans="1:13">
      <c r="A2208" s="1">
        <f>HYPERLINK("http://www.twitter.com/NathanBLawrence/status/998661602479083523", "998661602479083523")</f>
        <v/>
      </c>
      <c r="B2208" s="2" t="n">
        <v>43241.85247685185</v>
      </c>
      <c r="C2208" t="n">
        <v>1</v>
      </c>
      <c r="D2208" t="n">
        <v>0</v>
      </c>
      <c r="E2208" t="s">
        <v>2215</v>
      </c>
      <c r="F2208" t="s"/>
      <c r="G2208" t="s"/>
      <c r="H2208" t="s"/>
      <c r="I2208" t="s"/>
      <c r="J2208" t="n">
        <v>0.4753</v>
      </c>
      <c r="K2208" t="n">
        <v>0.045</v>
      </c>
      <c r="L2208" t="n">
        <v>0.842</v>
      </c>
      <c r="M2208" t="n">
        <v>0.113</v>
      </c>
    </row>
    <row r="2209" spans="1:13">
      <c r="A2209" s="1">
        <f>HYPERLINK("http://www.twitter.com/NathanBLawrence/status/998661023182807040", "998661023182807040")</f>
        <v/>
      </c>
      <c r="B2209" s="2" t="n">
        <v>43241.85087962963</v>
      </c>
      <c r="C2209" t="n">
        <v>0</v>
      </c>
      <c r="D2209" t="n">
        <v>91</v>
      </c>
      <c r="E2209" t="s">
        <v>2216</v>
      </c>
      <c r="F2209">
        <f>HYPERLINK("http://pbs.twimg.com/media/DdqbNzUV4AAZ5Wl.jpg", "http://pbs.twimg.com/media/DdqbNzUV4AAZ5Wl.jpg")</f>
        <v/>
      </c>
      <c r="G2209">
        <f>HYPERLINK("http://pbs.twimg.com/media/DdqbOR-U8AAF4vR.jpg", "http://pbs.twimg.com/media/DdqbOR-U8AAF4vR.jpg")</f>
        <v/>
      </c>
      <c r="H2209" t="s"/>
      <c r="I2209" t="s"/>
      <c r="J2209" t="n">
        <v>0.4215</v>
      </c>
      <c r="K2209" t="n">
        <v>0.08400000000000001</v>
      </c>
      <c r="L2209" t="n">
        <v>0.725</v>
      </c>
      <c r="M2209" t="n">
        <v>0.191</v>
      </c>
    </row>
    <row r="2210" spans="1:13">
      <c r="A2210" s="1">
        <f>HYPERLINK("http://www.twitter.com/NathanBLawrence/status/998660265511194624", "998660265511194624")</f>
        <v/>
      </c>
      <c r="B2210" s="2" t="n">
        <v>43241.8487962963</v>
      </c>
      <c r="C2210" t="n">
        <v>0</v>
      </c>
      <c r="D2210" t="n">
        <v>37</v>
      </c>
      <c r="E2210" t="s">
        <v>2217</v>
      </c>
      <c r="F2210" t="s"/>
      <c r="G2210" t="s"/>
      <c r="H2210" t="s"/>
      <c r="I2210" t="s"/>
      <c r="J2210" t="n">
        <v>0</v>
      </c>
      <c r="K2210" t="n">
        <v>0</v>
      </c>
      <c r="L2210" t="n">
        <v>1</v>
      </c>
      <c r="M2210" t="n">
        <v>0</v>
      </c>
    </row>
    <row r="2211" spans="1:13">
      <c r="A2211" s="1">
        <f>HYPERLINK("http://www.twitter.com/NathanBLawrence/status/998659981628137473", "998659981628137473")</f>
        <v/>
      </c>
      <c r="B2211" s="2" t="n">
        <v>43241.84800925926</v>
      </c>
      <c r="C2211" t="n">
        <v>0</v>
      </c>
      <c r="D2211" t="n">
        <v>10</v>
      </c>
      <c r="E2211" t="s">
        <v>2218</v>
      </c>
      <c r="F2211" t="s"/>
      <c r="G2211" t="s"/>
      <c r="H2211" t="s"/>
      <c r="I2211" t="s"/>
      <c r="J2211" t="n">
        <v>0</v>
      </c>
      <c r="K2211" t="n">
        <v>0</v>
      </c>
      <c r="L2211" t="n">
        <v>1</v>
      </c>
      <c r="M2211" t="n">
        <v>0</v>
      </c>
    </row>
    <row r="2212" spans="1:13">
      <c r="A2212" s="1">
        <f>HYPERLINK("http://www.twitter.com/NathanBLawrence/status/998659967543664640", "998659967543664640")</f>
        <v/>
      </c>
      <c r="B2212" s="2" t="n">
        <v>43241.84797453704</v>
      </c>
      <c r="C2212" t="n">
        <v>0</v>
      </c>
      <c r="D2212" t="n">
        <v>116</v>
      </c>
      <c r="E2212" t="s">
        <v>2219</v>
      </c>
      <c r="F2212" t="s"/>
      <c r="G2212" t="s"/>
      <c r="H2212" t="s"/>
      <c r="I2212" t="s"/>
      <c r="J2212" t="n">
        <v>0</v>
      </c>
      <c r="K2212" t="n">
        <v>0</v>
      </c>
      <c r="L2212" t="n">
        <v>1</v>
      </c>
      <c r="M2212" t="n">
        <v>0</v>
      </c>
    </row>
    <row r="2213" spans="1:13">
      <c r="A2213" s="1">
        <f>HYPERLINK("http://www.twitter.com/NathanBLawrence/status/998659875185004545", "998659875185004545")</f>
        <v/>
      </c>
      <c r="B2213" s="2" t="n">
        <v>43241.8477199074</v>
      </c>
      <c r="C2213" t="n">
        <v>0</v>
      </c>
      <c r="D2213" t="n">
        <v>1219</v>
      </c>
      <c r="E2213" t="s">
        <v>2220</v>
      </c>
      <c r="F2213" t="s"/>
      <c r="G2213" t="s"/>
      <c r="H2213" t="s"/>
      <c r="I2213" t="s"/>
      <c r="J2213" t="n">
        <v>-0.5255</v>
      </c>
      <c r="K2213" t="n">
        <v>0.124</v>
      </c>
      <c r="L2213" t="n">
        <v>0.876</v>
      </c>
      <c r="M2213" t="n">
        <v>0</v>
      </c>
    </row>
    <row r="2214" spans="1:13">
      <c r="A2214" s="1">
        <f>HYPERLINK("http://www.twitter.com/NathanBLawrence/status/998659736064184321", "998659736064184321")</f>
        <v/>
      </c>
      <c r="B2214" s="2" t="n">
        <v>43241.84732638889</v>
      </c>
      <c r="C2214" t="n">
        <v>0</v>
      </c>
      <c r="D2214" t="n">
        <v>615</v>
      </c>
      <c r="E2214" t="s">
        <v>2221</v>
      </c>
      <c r="F2214" t="s"/>
      <c r="G2214" t="s"/>
      <c r="H2214" t="s"/>
      <c r="I2214" t="s"/>
      <c r="J2214" t="n">
        <v>0</v>
      </c>
      <c r="K2214" t="n">
        <v>0</v>
      </c>
      <c r="L2214" t="n">
        <v>1</v>
      </c>
      <c r="M2214" t="n">
        <v>0</v>
      </c>
    </row>
    <row r="2215" spans="1:13">
      <c r="A2215" s="1">
        <f>HYPERLINK("http://www.twitter.com/NathanBLawrence/status/998659352776101888", "998659352776101888")</f>
        <v/>
      </c>
      <c r="B2215" s="2" t="n">
        <v>43241.84627314815</v>
      </c>
      <c r="C2215" t="n">
        <v>0</v>
      </c>
      <c r="D2215" t="n">
        <v>562</v>
      </c>
      <c r="E2215" t="s">
        <v>2222</v>
      </c>
      <c r="F2215">
        <f>HYPERLINK("http://pbs.twimg.com/media/Ddpz9keU8AEmGNr.jpg", "http://pbs.twimg.com/media/Ddpz9keU8AEmGNr.jpg")</f>
        <v/>
      </c>
      <c r="G2215" t="s"/>
      <c r="H2215" t="s"/>
      <c r="I2215" t="s"/>
      <c r="J2215" t="n">
        <v>0</v>
      </c>
      <c r="K2215" t="n">
        <v>0</v>
      </c>
      <c r="L2215" t="n">
        <v>1</v>
      </c>
      <c r="M2215" t="n">
        <v>0</v>
      </c>
    </row>
    <row r="2216" spans="1:13">
      <c r="A2216" s="1">
        <f>HYPERLINK("http://www.twitter.com/NathanBLawrence/status/998659067710267392", "998659067710267392")</f>
        <v/>
      </c>
      <c r="B2216" s="2" t="n">
        <v>43241.84548611111</v>
      </c>
      <c r="C2216" t="n">
        <v>0</v>
      </c>
      <c r="D2216" t="n">
        <v>676</v>
      </c>
      <c r="E2216" t="s">
        <v>2223</v>
      </c>
      <c r="F2216" t="s"/>
      <c r="G2216" t="s"/>
      <c r="H2216" t="s"/>
      <c r="I2216" t="s"/>
      <c r="J2216" t="n">
        <v>0</v>
      </c>
      <c r="K2216" t="n">
        <v>0</v>
      </c>
      <c r="L2216" t="n">
        <v>1</v>
      </c>
      <c r="M2216" t="n">
        <v>0</v>
      </c>
    </row>
    <row r="2217" spans="1:13">
      <c r="A2217" s="1">
        <f>HYPERLINK("http://www.twitter.com/NathanBLawrence/status/998658945790238721", "998658945790238721")</f>
        <v/>
      </c>
      <c r="B2217" s="2" t="n">
        <v>43241.84515046296</v>
      </c>
      <c r="C2217" t="n">
        <v>0</v>
      </c>
      <c r="D2217" t="n">
        <v>861</v>
      </c>
      <c r="E2217" t="s">
        <v>2224</v>
      </c>
      <c r="F2217">
        <f>HYPERLINK("http://pbs.twimg.com/media/Ddpx0OfVAAEU7Q9.jpg", "http://pbs.twimg.com/media/Ddpx0OfVAAEU7Q9.jpg")</f>
        <v/>
      </c>
      <c r="G2217" t="s"/>
      <c r="H2217" t="s"/>
      <c r="I2217" t="s"/>
      <c r="J2217" t="n">
        <v>-0.4696</v>
      </c>
      <c r="K2217" t="n">
        <v>0.117</v>
      </c>
      <c r="L2217" t="n">
        <v>0.883</v>
      </c>
      <c r="M2217" t="n">
        <v>0</v>
      </c>
    </row>
    <row r="2218" spans="1:13">
      <c r="A2218" s="1">
        <f>HYPERLINK("http://www.twitter.com/NathanBLawrence/status/998657269435977728", "998657269435977728")</f>
        <v/>
      </c>
      <c r="B2218" s="2" t="n">
        <v>43241.84052083334</v>
      </c>
      <c r="C2218" t="n">
        <v>0</v>
      </c>
      <c r="D2218" t="n">
        <v>352</v>
      </c>
      <c r="E2218" t="s">
        <v>2225</v>
      </c>
      <c r="F2218" t="s"/>
      <c r="G2218" t="s"/>
      <c r="H2218" t="s"/>
      <c r="I2218" t="s"/>
      <c r="J2218" t="n">
        <v>0.4019</v>
      </c>
      <c r="K2218" t="n">
        <v>0</v>
      </c>
      <c r="L2218" t="n">
        <v>0.886</v>
      </c>
      <c r="M2218" t="n">
        <v>0.114</v>
      </c>
    </row>
    <row r="2219" spans="1:13">
      <c r="A2219" s="1">
        <f>HYPERLINK("http://www.twitter.com/NathanBLawrence/status/998655745427234816", "998655745427234816")</f>
        <v/>
      </c>
      <c r="B2219" s="2" t="n">
        <v>43241.83631944445</v>
      </c>
      <c r="C2219" t="n">
        <v>0</v>
      </c>
      <c r="D2219" t="n">
        <v>3722</v>
      </c>
      <c r="E2219" t="s">
        <v>2226</v>
      </c>
      <c r="F2219" t="s"/>
      <c r="G2219" t="s"/>
      <c r="H2219" t="s"/>
      <c r="I2219" t="s"/>
      <c r="J2219" t="n">
        <v>0</v>
      </c>
      <c r="K2219" t="n">
        <v>0</v>
      </c>
      <c r="L2219" t="n">
        <v>1</v>
      </c>
      <c r="M2219" t="n">
        <v>0</v>
      </c>
    </row>
    <row r="2220" spans="1:13">
      <c r="A2220" s="1">
        <f>HYPERLINK("http://www.twitter.com/NathanBLawrence/status/998655599301873666", "998655599301873666")</f>
        <v/>
      </c>
      <c r="B2220" s="2" t="n">
        <v>43241.83591435185</v>
      </c>
      <c r="C2220" t="n">
        <v>0</v>
      </c>
      <c r="D2220" t="n">
        <v>107</v>
      </c>
      <c r="E2220" t="s">
        <v>2227</v>
      </c>
      <c r="F2220">
        <f>HYPERLINK("http://pbs.twimg.com/media/DduToMRV0AAHlpf.jpg", "http://pbs.twimg.com/media/DduToMRV0AAHlpf.jpg")</f>
        <v/>
      </c>
      <c r="G2220" t="s"/>
      <c r="H2220" t="s"/>
      <c r="I2220" t="s"/>
      <c r="J2220" t="n">
        <v>0.9042</v>
      </c>
      <c r="K2220" t="n">
        <v>0</v>
      </c>
      <c r="L2220" t="n">
        <v>0.582</v>
      </c>
      <c r="M2220" t="n">
        <v>0.418</v>
      </c>
    </row>
    <row r="2221" spans="1:13">
      <c r="A2221" s="1">
        <f>HYPERLINK("http://www.twitter.com/NathanBLawrence/status/998655458025013248", "998655458025013248")</f>
        <v/>
      </c>
      <c r="B2221" s="2" t="n">
        <v>43241.83552083333</v>
      </c>
      <c r="C2221" t="n">
        <v>0</v>
      </c>
      <c r="D2221" t="n">
        <v>80</v>
      </c>
      <c r="E2221" t="s">
        <v>2228</v>
      </c>
      <c r="F2221" t="s"/>
      <c r="G2221" t="s"/>
      <c r="H2221" t="s"/>
      <c r="I2221" t="s"/>
      <c r="J2221" t="n">
        <v>-0.7184</v>
      </c>
      <c r="K2221" t="n">
        <v>0.304</v>
      </c>
      <c r="L2221" t="n">
        <v>0.696</v>
      </c>
      <c r="M2221" t="n">
        <v>0</v>
      </c>
    </row>
    <row r="2222" spans="1:13">
      <c r="A2222" s="1">
        <f>HYPERLINK("http://www.twitter.com/NathanBLawrence/status/998655376122961920", "998655376122961920")</f>
        <v/>
      </c>
      <c r="B2222" s="2" t="n">
        <v>43241.83530092592</v>
      </c>
      <c r="C2222" t="n">
        <v>0</v>
      </c>
      <c r="D2222" t="n">
        <v>4</v>
      </c>
      <c r="E2222" t="s">
        <v>2229</v>
      </c>
      <c r="F2222" t="s"/>
      <c r="G2222" t="s"/>
      <c r="H2222" t="s"/>
      <c r="I2222" t="s"/>
      <c r="J2222" t="n">
        <v>0</v>
      </c>
      <c r="K2222" t="n">
        <v>0</v>
      </c>
      <c r="L2222" t="n">
        <v>1</v>
      </c>
      <c r="M2222" t="n">
        <v>0</v>
      </c>
    </row>
    <row r="2223" spans="1:13">
      <c r="A2223" s="1">
        <f>HYPERLINK("http://www.twitter.com/NathanBLawrence/status/998655293788704769", "998655293788704769")</f>
        <v/>
      </c>
      <c r="B2223" s="2" t="n">
        <v>43241.83506944445</v>
      </c>
      <c r="C2223" t="n">
        <v>0</v>
      </c>
      <c r="D2223" t="n">
        <v>383</v>
      </c>
      <c r="E2223" t="s">
        <v>2230</v>
      </c>
      <c r="F2223">
        <f>HYPERLINK("http://pbs.twimg.com/media/DdvN_xzUwAIjRYE.jpg", "http://pbs.twimg.com/media/DdvN_xzUwAIjRYE.jpg")</f>
        <v/>
      </c>
      <c r="G2223" t="s"/>
      <c r="H2223" t="s"/>
      <c r="I2223" t="s"/>
      <c r="J2223" t="n">
        <v>-0.34</v>
      </c>
      <c r="K2223" t="n">
        <v>0.118</v>
      </c>
      <c r="L2223" t="n">
        <v>0.882</v>
      </c>
      <c r="M2223" t="n">
        <v>0</v>
      </c>
    </row>
    <row r="2224" spans="1:13">
      <c r="A2224" s="1">
        <f>HYPERLINK("http://www.twitter.com/NathanBLawrence/status/998653114596102144", "998653114596102144")</f>
        <v/>
      </c>
      <c r="B2224" s="2" t="n">
        <v>43241.8290625</v>
      </c>
      <c r="C2224" t="n">
        <v>0</v>
      </c>
      <c r="D2224" t="n">
        <v>322</v>
      </c>
      <c r="E2224" t="s">
        <v>2231</v>
      </c>
      <c r="F2224" t="s"/>
      <c r="G2224" t="s"/>
      <c r="H2224" t="s"/>
      <c r="I2224" t="s"/>
      <c r="J2224" t="n">
        <v>-0.7744</v>
      </c>
      <c r="K2224" t="n">
        <v>0.279</v>
      </c>
      <c r="L2224" t="n">
        <v>0.721</v>
      </c>
      <c r="M2224" t="n">
        <v>0</v>
      </c>
    </row>
    <row r="2225" spans="1:13">
      <c r="A2225" s="1">
        <f>HYPERLINK("http://www.twitter.com/NathanBLawrence/status/998652963303428098", "998652963303428098")</f>
        <v/>
      </c>
      <c r="B2225" s="2" t="n">
        <v>43241.82864583333</v>
      </c>
      <c r="C2225" t="n">
        <v>0</v>
      </c>
      <c r="D2225" t="n">
        <v>1468</v>
      </c>
      <c r="E2225" t="s">
        <v>2232</v>
      </c>
      <c r="F2225" t="s"/>
      <c r="G2225" t="s"/>
      <c r="H2225" t="s"/>
      <c r="I2225" t="s"/>
      <c r="J2225" t="n">
        <v>0.1984</v>
      </c>
      <c r="K2225" t="n">
        <v>0.176</v>
      </c>
      <c r="L2225" t="n">
        <v>0.6919999999999999</v>
      </c>
      <c r="M2225" t="n">
        <v>0.132</v>
      </c>
    </row>
    <row r="2226" spans="1:13">
      <c r="A2226" s="1">
        <f>HYPERLINK("http://www.twitter.com/NathanBLawrence/status/998652508468862977", "998652508468862977")</f>
        <v/>
      </c>
      <c r="B2226" s="2" t="n">
        <v>43241.82738425926</v>
      </c>
      <c r="C2226" t="n">
        <v>0</v>
      </c>
      <c r="D2226" t="n">
        <v>2717</v>
      </c>
      <c r="E2226" t="s">
        <v>2233</v>
      </c>
      <c r="F2226" t="s"/>
      <c r="G2226" t="s"/>
      <c r="H2226" t="s"/>
      <c r="I2226" t="s"/>
      <c r="J2226" t="n">
        <v>-0.0276</v>
      </c>
      <c r="K2226" t="n">
        <v>0.11</v>
      </c>
      <c r="L2226" t="n">
        <v>0.785</v>
      </c>
      <c r="M2226" t="n">
        <v>0.106</v>
      </c>
    </row>
    <row r="2227" spans="1:13">
      <c r="A2227" s="1">
        <f>HYPERLINK("http://www.twitter.com/NathanBLawrence/status/998652472372678661", "998652472372678661")</f>
        <v/>
      </c>
      <c r="B2227" s="2" t="n">
        <v>43241.82729166667</v>
      </c>
      <c r="C2227" t="n">
        <v>0</v>
      </c>
      <c r="D2227" t="n">
        <v>3</v>
      </c>
      <c r="E2227" t="s">
        <v>2234</v>
      </c>
      <c r="F2227" t="s"/>
      <c r="G2227" t="s"/>
      <c r="H2227" t="s"/>
      <c r="I2227" t="s"/>
      <c r="J2227" t="n">
        <v>0</v>
      </c>
      <c r="K2227" t="n">
        <v>0</v>
      </c>
      <c r="L2227" t="n">
        <v>1</v>
      </c>
      <c r="M2227" t="n">
        <v>0</v>
      </c>
    </row>
    <row r="2228" spans="1:13">
      <c r="A2228" s="1">
        <f>HYPERLINK("http://www.twitter.com/NathanBLawrence/status/998652195183775749", "998652195183775749")</f>
        <v/>
      </c>
      <c r="B2228" s="2" t="n">
        <v>43241.82652777778</v>
      </c>
      <c r="C2228" t="n">
        <v>0</v>
      </c>
      <c r="D2228" t="n">
        <v>224</v>
      </c>
      <c r="E2228" t="s">
        <v>2235</v>
      </c>
      <c r="F2228">
        <f>HYPERLINK("http://pbs.twimg.com/media/DdvrrPeV4AA3IsB.jpg", "http://pbs.twimg.com/media/DdvrrPeV4AA3IsB.jpg")</f>
        <v/>
      </c>
      <c r="G2228" t="s"/>
      <c r="H2228" t="s"/>
      <c r="I2228" t="s"/>
      <c r="J2228" t="n">
        <v>0.7717000000000001</v>
      </c>
      <c r="K2228" t="n">
        <v>0</v>
      </c>
      <c r="L2228" t="n">
        <v>0.749</v>
      </c>
      <c r="M2228" t="n">
        <v>0.251</v>
      </c>
    </row>
    <row r="2229" spans="1:13">
      <c r="A2229" s="1">
        <f>HYPERLINK("http://www.twitter.com/NathanBLawrence/status/998652100895703041", "998652100895703041")</f>
        <v/>
      </c>
      <c r="B2229" s="2" t="n">
        <v>43241.82626157408</v>
      </c>
      <c r="C2229" t="n">
        <v>0</v>
      </c>
      <c r="D2229" t="n">
        <v>3</v>
      </c>
      <c r="E2229" t="s">
        <v>2236</v>
      </c>
      <c r="F2229" t="s"/>
      <c r="G2229" t="s"/>
      <c r="H2229" t="s"/>
      <c r="I2229" t="s"/>
      <c r="J2229" t="n">
        <v>0.4019</v>
      </c>
      <c r="K2229" t="n">
        <v>0</v>
      </c>
      <c r="L2229" t="n">
        <v>0.847</v>
      </c>
      <c r="M2229" t="n">
        <v>0.153</v>
      </c>
    </row>
    <row r="2230" spans="1:13">
      <c r="A2230" s="1">
        <f>HYPERLINK("http://www.twitter.com/NathanBLawrence/status/998652014480457728", "998652014480457728")</f>
        <v/>
      </c>
      <c r="B2230" s="2" t="n">
        <v>43241.82601851852</v>
      </c>
      <c r="C2230" t="n">
        <v>0</v>
      </c>
      <c r="D2230" t="n">
        <v>4</v>
      </c>
      <c r="E2230" t="s">
        <v>2237</v>
      </c>
      <c r="F2230" t="s"/>
      <c r="G2230" t="s"/>
      <c r="H2230" t="s"/>
      <c r="I2230" t="s"/>
      <c r="J2230" t="n">
        <v>0.3182</v>
      </c>
      <c r="K2230" t="n">
        <v>0</v>
      </c>
      <c r="L2230" t="n">
        <v>0.867</v>
      </c>
      <c r="M2230" t="n">
        <v>0.133</v>
      </c>
    </row>
    <row r="2231" spans="1:13">
      <c r="A2231" s="1">
        <f>HYPERLINK("http://www.twitter.com/NathanBLawrence/status/998651894473150466", "998651894473150466")</f>
        <v/>
      </c>
      <c r="B2231" s="2" t="n">
        <v>43241.82569444444</v>
      </c>
      <c r="C2231" t="n">
        <v>0</v>
      </c>
      <c r="D2231" t="n">
        <v>71</v>
      </c>
      <c r="E2231" t="s">
        <v>2238</v>
      </c>
      <c r="F2231" t="s"/>
      <c r="G2231" t="s"/>
      <c r="H2231" t="s"/>
      <c r="I2231" t="s"/>
      <c r="J2231" t="n">
        <v>0.0772</v>
      </c>
      <c r="K2231" t="n">
        <v>0.234</v>
      </c>
      <c r="L2231" t="n">
        <v>0.457</v>
      </c>
      <c r="M2231" t="n">
        <v>0.309</v>
      </c>
    </row>
    <row r="2232" spans="1:13">
      <c r="A2232" s="1">
        <f>HYPERLINK("http://www.twitter.com/NathanBLawrence/status/998651877318451200", "998651877318451200")</f>
        <v/>
      </c>
      <c r="B2232" s="2" t="n">
        <v>43241.82564814815</v>
      </c>
      <c r="C2232" t="n">
        <v>0</v>
      </c>
      <c r="D2232" t="n">
        <v>54</v>
      </c>
      <c r="E2232" t="s">
        <v>2239</v>
      </c>
      <c r="F2232" t="s"/>
      <c r="G2232" t="s"/>
      <c r="H2232" t="s"/>
      <c r="I2232" t="s"/>
      <c r="J2232" t="n">
        <v>0</v>
      </c>
      <c r="K2232" t="n">
        <v>0</v>
      </c>
      <c r="L2232" t="n">
        <v>1</v>
      </c>
      <c r="M2232" t="n">
        <v>0</v>
      </c>
    </row>
    <row r="2233" spans="1:13">
      <c r="A2233" s="1">
        <f>HYPERLINK("http://www.twitter.com/NathanBLawrence/status/998651861539356672", "998651861539356672")</f>
        <v/>
      </c>
      <c r="B2233" s="2" t="n">
        <v>43241.82560185185</v>
      </c>
      <c r="C2233" t="n">
        <v>0</v>
      </c>
      <c r="D2233" t="n">
        <v>97</v>
      </c>
      <c r="E2233" t="s">
        <v>2240</v>
      </c>
      <c r="F2233" t="s"/>
      <c r="G2233" t="s"/>
      <c r="H2233" t="s"/>
      <c r="I2233" t="s"/>
      <c r="J2233" t="n">
        <v>0.3612</v>
      </c>
      <c r="K2233" t="n">
        <v>0</v>
      </c>
      <c r="L2233" t="n">
        <v>0.906</v>
      </c>
      <c r="M2233" t="n">
        <v>0.094</v>
      </c>
    </row>
    <row r="2234" spans="1:13">
      <c r="A2234" s="1">
        <f>HYPERLINK("http://www.twitter.com/NathanBLawrence/status/998651620014657540", "998651620014657540")</f>
        <v/>
      </c>
      <c r="B2234" s="2" t="n">
        <v>43241.82493055556</v>
      </c>
      <c r="C2234" t="n">
        <v>0</v>
      </c>
      <c r="D2234" t="n">
        <v>241</v>
      </c>
      <c r="E2234" t="s">
        <v>2241</v>
      </c>
      <c r="F2234">
        <f>HYPERLINK("http://pbs.twimg.com/media/DduPp6JU0AA95sd.jpg", "http://pbs.twimg.com/media/DduPp6JU0AA95sd.jpg")</f>
        <v/>
      </c>
      <c r="G2234" t="s"/>
      <c r="H2234" t="s"/>
      <c r="I2234" t="s"/>
      <c r="J2234" t="n">
        <v>0</v>
      </c>
      <c r="K2234" t="n">
        <v>0</v>
      </c>
      <c r="L2234" t="n">
        <v>1</v>
      </c>
      <c r="M2234" t="n">
        <v>0</v>
      </c>
    </row>
    <row r="2235" spans="1:13">
      <c r="A2235" s="1">
        <f>HYPERLINK("http://www.twitter.com/NathanBLawrence/status/998651540486475779", "998651540486475779")</f>
        <v/>
      </c>
      <c r="B2235" s="2" t="n">
        <v>43241.82471064815</v>
      </c>
      <c r="C2235" t="n">
        <v>0</v>
      </c>
      <c r="D2235" t="n">
        <v>11</v>
      </c>
      <c r="E2235" t="s">
        <v>2242</v>
      </c>
      <c r="F2235">
        <f>HYPERLINK("http://pbs.twimg.com/media/Ddvqio7V4AAG4YO.jpg", "http://pbs.twimg.com/media/Ddvqio7V4AAG4YO.jpg")</f>
        <v/>
      </c>
      <c r="G2235" t="s"/>
      <c r="H2235" t="s"/>
      <c r="I2235" t="s"/>
      <c r="J2235" t="n">
        <v>0</v>
      </c>
      <c r="K2235" t="n">
        <v>0</v>
      </c>
      <c r="L2235" t="n">
        <v>1</v>
      </c>
      <c r="M2235" t="n">
        <v>0</v>
      </c>
    </row>
    <row r="2236" spans="1:13">
      <c r="A2236" s="1">
        <f>HYPERLINK("http://www.twitter.com/NathanBLawrence/status/998651349570072577", "998651349570072577")</f>
        <v/>
      </c>
      <c r="B2236" s="2" t="n">
        <v>43241.82418981481</v>
      </c>
      <c r="C2236" t="n">
        <v>0</v>
      </c>
      <c r="D2236" t="n">
        <v>3662</v>
      </c>
      <c r="E2236" t="s">
        <v>2243</v>
      </c>
      <c r="F2236" t="s"/>
      <c r="G2236" t="s"/>
      <c r="H2236" t="s"/>
      <c r="I2236" t="s"/>
      <c r="J2236" t="n">
        <v>0</v>
      </c>
      <c r="K2236" t="n">
        <v>0</v>
      </c>
      <c r="L2236" t="n">
        <v>1</v>
      </c>
      <c r="M2236" t="n">
        <v>0</v>
      </c>
    </row>
    <row r="2237" spans="1:13">
      <c r="A2237" s="1">
        <f>HYPERLINK("http://www.twitter.com/NathanBLawrence/status/998649184994635776", "998649184994635776")</f>
        <v/>
      </c>
      <c r="B2237" s="2" t="n">
        <v>43241.81821759259</v>
      </c>
      <c r="C2237" t="n">
        <v>0</v>
      </c>
      <c r="D2237" t="n">
        <v>2</v>
      </c>
      <c r="E2237" t="s">
        <v>2244</v>
      </c>
      <c r="F2237" t="s"/>
      <c r="G2237" t="s"/>
      <c r="H2237" t="s"/>
      <c r="I2237" t="s"/>
      <c r="J2237" t="n">
        <v>-0.3597</v>
      </c>
      <c r="K2237" t="n">
        <v>0.219</v>
      </c>
      <c r="L2237" t="n">
        <v>0.608</v>
      </c>
      <c r="M2237" t="n">
        <v>0.173</v>
      </c>
    </row>
    <row r="2238" spans="1:13">
      <c r="A2238" s="1">
        <f>HYPERLINK("http://www.twitter.com/NathanBLawrence/status/998649150924345344", "998649150924345344")</f>
        <v/>
      </c>
      <c r="B2238" s="2" t="n">
        <v>43241.818125</v>
      </c>
      <c r="C2238" t="n">
        <v>0</v>
      </c>
      <c r="D2238" t="n">
        <v>7</v>
      </c>
      <c r="E2238" t="s">
        <v>2245</v>
      </c>
      <c r="F2238" t="s"/>
      <c r="G2238" t="s"/>
      <c r="H2238" t="s"/>
      <c r="I2238" t="s"/>
      <c r="J2238" t="n">
        <v>0.7003</v>
      </c>
      <c r="K2238" t="n">
        <v>0</v>
      </c>
      <c r="L2238" t="n">
        <v>0.775</v>
      </c>
      <c r="M2238" t="n">
        <v>0.225</v>
      </c>
    </row>
    <row r="2239" spans="1:13">
      <c r="A2239" s="1">
        <f>HYPERLINK("http://www.twitter.com/NathanBLawrence/status/998647744393875457", "998647744393875457")</f>
        <v/>
      </c>
      <c r="B2239" s="2" t="n">
        <v>43241.81423611111</v>
      </c>
      <c r="C2239" t="n">
        <v>0</v>
      </c>
      <c r="D2239" t="n">
        <v>1</v>
      </c>
      <c r="E2239" t="s">
        <v>2246</v>
      </c>
      <c r="F2239" t="s"/>
      <c r="G2239" t="s"/>
      <c r="H2239" t="s"/>
      <c r="I2239" t="s"/>
      <c r="J2239" t="n">
        <v>-0.3736</v>
      </c>
      <c r="K2239" t="n">
        <v>0.096</v>
      </c>
      <c r="L2239" t="n">
        <v>0.904</v>
      </c>
      <c r="M2239" t="n">
        <v>0</v>
      </c>
    </row>
    <row r="2240" spans="1:13">
      <c r="A2240" s="1">
        <f>HYPERLINK("http://www.twitter.com/NathanBLawrence/status/998647673849860097", "998647673849860097")</f>
        <v/>
      </c>
      <c r="B2240" s="2" t="n">
        <v>43241.81405092592</v>
      </c>
      <c r="C2240" t="n">
        <v>0</v>
      </c>
      <c r="D2240" t="n">
        <v>7</v>
      </c>
      <c r="E2240" t="s">
        <v>2247</v>
      </c>
      <c r="F2240" t="s"/>
      <c r="G2240" t="s"/>
      <c r="H2240" t="s"/>
      <c r="I2240" t="s"/>
      <c r="J2240" t="n">
        <v>-0.4588</v>
      </c>
      <c r="K2240" t="n">
        <v>0.148</v>
      </c>
      <c r="L2240" t="n">
        <v>0.772</v>
      </c>
      <c r="M2240" t="n">
        <v>0.081</v>
      </c>
    </row>
    <row r="2241" spans="1:13">
      <c r="A2241" s="1">
        <f>HYPERLINK("http://www.twitter.com/NathanBLawrence/status/998647229471772672", "998647229471772672")</f>
        <v/>
      </c>
      <c r="B2241" s="2" t="n">
        <v>43241.81282407408</v>
      </c>
      <c r="C2241" t="n">
        <v>1</v>
      </c>
      <c r="D2241" t="n">
        <v>0</v>
      </c>
      <c r="E2241" t="s">
        <v>2248</v>
      </c>
      <c r="F2241" t="s"/>
      <c r="G2241" t="s"/>
      <c r="H2241" t="s"/>
      <c r="I2241" t="s"/>
      <c r="J2241" t="n">
        <v>0</v>
      </c>
      <c r="K2241" t="n">
        <v>0</v>
      </c>
      <c r="L2241" t="n">
        <v>1</v>
      </c>
      <c r="M2241" t="n">
        <v>0</v>
      </c>
    </row>
    <row r="2242" spans="1:13">
      <c r="A2242" s="1">
        <f>HYPERLINK("http://www.twitter.com/NathanBLawrence/status/998646922532589568", "998646922532589568")</f>
        <v/>
      </c>
      <c r="B2242" s="2" t="n">
        <v>43241.81196759259</v>
      </c>
      <c r="C2242" t="n">
        <v>4</v>
      </c>
      <c r="D2242" t="n">
        <v>3</v>
      </c>
      <c r="E2242" t="s">
        <v>2249</v>
      </c>
      <c r="F2242" t="s"/>
      <c r="G2242" t="s"/>
      <c r="H2242" t="s"/>
      <c r="I2242" t="s"/>
      <c r="J2242" t="n">
        <v>-0.5256</v>
      </c>
      <c r="K2242" t="n">
        <v>0.07199999999999999</v>
      </c>
      <c r="L2242" t="n">
        <v>0.928</v>
      </c>
      <c r="M2242" t="n">
        <v>0</v>
      </c>
    </row>
    <row r="2243" spans="1:13">
      <c r="A2243" s="1">
        <f>HYPERLINK("http://www.twitter.com/NathanBLawrence/status/998646339616505856", "998646339616505856")</f>
        <v/>
      </c>
      <c r="B2243" s="2" t="n">
        <v>43241.8103587963</v>
      </c>
      <c r="C2243" t="n">
        <v>0</v>
      </c>
      <c r="D2243" t="n">
        <v>0</v>
      </c>
      <c r="E2243" t="s">
        <v>2250</v>
      </c>
      <c r="F2243" t="s"/>
      <c r="G2243" t="s"/>
      <c r="H2243" t="s"/>
      <c r="I2243" t="s"/>
      <c r="J2243" t="n">
        <v>-0.296</v>
      </c>
      <c r="K2243" t="n">
        <v>0.058</v>
      </c>
      <c r="L2243" t="n">
        <v>0.9419999999999999</v>
      </c>
      <c r="M2243" t="n">
        <v>0</v>
      </c>
    </row>
    <row r="2244" spans="1:13">
      <c r="A2244" s="1">
        <f>HYPERLINK("http://www.twitter.com/NathanBLawrence/status/998640916821889025", "998640916821889025")</f>
        <v/>
      </c>
      <c r="B2244" s="2" t="n">
        <v>43241.79540509259</v>
      </c>
      <c r="C2244" t="n">
        <v>0</v>
      </c>
      <c r="D2244" t="n">
        <v>18</v>
      </c>
      <c r="E2244" t="s">
        <v>2251</v>
      </c>
      <c r="F2244" t="s"/>
      <c r="G2244" t="s"/>
      <c r="H2244" t="s"/>
      <c r="I2244" t="s"/>
      <c r="J2244" t="n">
        <v>-0.6486</v>
      </c>
      <c r="K2244" t="n">
        <v>0.325</v>
      </c>
      <c r="L2244" t="n">
        <v>0.675</v>
      </c>
      <c r="M2244" t="n">
        <v>0</v>
      </c>
    </row>
    <row r="2245" spans="1:13">
      <c r="A2245" s="1">
        <f>HYPERLINK("http://www.twitter.com/NathanBLawrence/status/998640898945835010", "998640898945835010")</f>
        <v/>
      </c>
      <c r="B2245" s="2" t="n">
        <v>43241.79534722222</v>
      </c>
      <c r="C2245" t="n">
        <v>0</v>
      </c>
      <c r="D2245" t="n">
        <v>200</v>
      </c>
      <c r="E2245" t="s">
        <v>2252</v>
      </c>
      <c r="F2245" t="s"/>
      <c r="G2245" t="s"/>
      <c r="H2245" t="s"/>
      <c r="I2245" t="s"/>
      <c r="J2245" t="n">
        <v>-0.7661</v>
      </c>
      <c r="K2245" t="n">
        <v>0.299</v>
      </c>
      <c r="L2245" t="n">
        <v>0.617</v>
      </c>
      <c r="M2245" t="n">
        <v>0.08400000000000001</v>
      </c>
    </row>
    <row r="2246" spans="1:13">
      <c r="A2246" s="1">
        <f>HYPERLINK("http://www.twitter.com/NathanBLawrence/status/998640843018915840", "998640843018915840")</f>
        <v/>
      </c>
      <c r="B2246" s="2" t="n">
        <v>43241.79519675926</v>
      </c>
      <c r="C2246" t="n">
        <v>0</v>
      </c>
      <c r="D2246" t="n">
        <v>36</v>
      </c>
      <c r="E2246" t="s">
        <v>2253</v>
      </c>
      <c r="F2246" t="s"/>
      <c r="G2246" t="s"/>
      <c r="H2246" t="s"/>
      <c r="I2246" t="s"/>
      <c r="J2246" t="n">
        <v>0.1531</v>
      </c>
      <c r="K2246" t="n">
        <v>0.08799999999999999</v>
      </c>
      <c r="L2246" t="n">
        <v>0.802</v>
      </c>
      <c r="M2246" t="n">
        <v>0.111</v>
      </c>
    </row>
    <row r="2247" spans="1:13">
      <c r="A2247" s="1">
        <f>HYPERLINK("http://www.twitter.com/NathanBLawrence/status/998640783367528448", "998640783367528448")</f>
        <v/>
      </c>
      <c r="B2247" s="2" t="n">
        <v>43241.79503472222</v>
      </c>
      <c r="C2247" t="n">
        <v>0</v>
      </c>
      <c r="D2247" t="n">
        <v>396</v>
      </c>
      <c r="E2247" t="s">
        <v>2254</v>
      </c>
      <c r="F2247">
        <f>HYPERLINK("http://pbs.twimg.com/media/Ddp6uIpUQAArydz.jpg", "http://pbs.twimg.com/media/Ddp6uIpUQAArydz.jpg")</f>
        <v/>
      </c>
      <c r="G2247" t="s"/>
      <c r="H2247" t="s"/>
      <c r="I2247" t="s"/>
      <c r="J2247" t="n">
        <v>0</v>
      </c>
      <c r="K2247" t="n">
        <v>0</v>
      </c>
      <c r="L2247" t="n">
        <v>1</v>
      </c>
      <c r="M2247" t="n">
        <v>0</v>
      </c>
    </row>
    <row r="2248" spans="1:13">
      <c r="A2248" s="1">
        <f>HYPERLINK("http://www.twitter.com/NathanBLawrence/status/998640448678842368", "998640448678842368")</f>
        <v/>
      </c>
      <c r="B2248" s="2" t="n">
        <v>43241.7941087963</v>
      </c>
      <c r="C2248" t="n">
        <v>0</v>
      </c>
      <c r="D2248" t="n">
        <v>83</v>
      </c>
      <c r="E2248" t="s">
        <v>2255</v>
      </c>
      <c r="F2248">
        <f>HYPERLINK("http://pbs.twimg.com/media/Dduy-rhVQAAwFAC.jpg", "http://pbs.twimg.com/media/Dduy-rhVQAAwFAC.jpg")</f>
        <v/>
      </c>
      <c r="G2248" t="s"/>
      <c r="H2248" t="s"/>
      <c r="I2248" t="s"/>
      <c r="J2248" t="n">
        <v>-0.6249</v>
      </c>
      <c r="K2248" t="n">
        <v>0.175</v>
      </c>
      <c r="L2248" t="n">
        <v>0.825</v>
      </c>
      <c r="M2248" t="n">
        <v>0</v>
      </c>
    </row>
    <row r="2249" spans="1:13">
      <c r="A2249" s="1">
        <f>HYPERLINK("http://www.twitter.com/NathanBLawrence/status/998631747322605568", "998631747322605568")</f>
        <v/>
      </c>
      <c r="B2249" s="2" t="n">
        <v>43241.77009259259</v>
      </c>
      <c r="C2249" t="n">
        <v>0</v>
      </c>
      <c r="D2249" t="n">
        <v>0</v>
      </c>
      <c r="E2249" t="s">
        <v>2256</v>
      </c>
      <c r="F2249" t="s"/>
      <c r="G2249" t="s"/>
      <c r="H2249" t="s"/>
      <c r="I2249" t="s"/>
      <c r="J2249" t="n">
        <v>0</v>
      </c>
      <c r="K2249" t="n">
        <v>0</v>
      </c>
      <c r="L2249" t="n">
        <v>1</v>
      </c>
      <c r="M2249" t="n">
        <v>0</v>
      </c>
    </row>
    <row r="2250" spans="1:13">
      <c r="A2250" s="1">
        <f>HYPERLINK("http://www.twitter.com/NathanBLawrence/status/998631603877408768", "998631603877408768")</f>
        <v/>
      </c>
      <c r="B2250" s="2" t="n">
        <v>43241.76969907407</v>
      </c>
      <c r="C2250" t="n">
        <v>1</v>
      </c>
      <c r="D2250" t="n">
        <v>0</v>
      </c>
      <c r="E2250" t="s">
        <v>2257</v>
      </c>
      <c r="F2250" t="s"/>
      <c r="G2250" t="s"/>
      <c r="H2250" t="s"/>
      <c r="I2250" t="s"/>
      <c r="J2250" t="n">
        <v>0</v>
      </c>
      <c r="K2250" t="n">
        <v>0</v>
      </c>
      <c r="L2250" t="n">
        <v>1</v>
      </c>
      <c r="M2250" t="n">
        <v>0</v>
      </c>
    </row>
    <row r="2251" spans="1:13">
      <c r="A2251" s="1">
        <f>HYPERLINK("http://www.twitter.com/NathanBLawrence/status/998630747639513089", "998630747639513089")</f>
        <v/>
      </c>
      <c r="B2251" s="2" t="n">
        <v>43241.76733796296</v>
      </c>
      <c r="C2251" t="n">
        <v>0</v>
      </c>
      <c r="D2251" t="n">
        <v>0</v>
      </c>
      <c r="E2251" t="s">
        <v>2258</v>
      </c>
      <c r="F2251" t="s"/>
      <c r="G2251" t="s"/>
      <c r="H2251" t="s"/>
      <c r="I2251" t="s"/>
      <c r="J2251" t="n">
        <v>0</v>
      </c>
      <c r="K2251" t="n">
        <v>0</v>
      </c>
      <c r="L2251" t="n">
        <v>1</v>
      </c>
      <c r="M2251" t="n">
        <v>0</v>
      </c>
    </row>
    <row r="2252" spans="1:13">
      <c r="A2252" s="1">
        <f>HYPERLINK("http://www.twitter.com/NathanBLawrence/status/998628203626450944", "998628203626450944")</f>
        <v/>
      </c>
      <c r="B2252" s="2" t="n">
        <v>43241.76032407407</v>
      </c>
      <c r="C2252" t="n">
        <v>0</v>
      </c>
      <c r="D2252" t="n">
        <v>22</v>
      </c>
      <c r="E2252" t="s">
        <v>2259</v>
      </c>
      <c r="F2252" t="s"/>
      <c r="G2252" t="s"/>
      <c r="H2252" t="s"/>
      <c r="I2252" t="s"/>
      <c r="J2252" t="n">
        <v>-0.1027</v>
      </c>
      <c r="K2252" t="n">
        <v>0.057</v>
      </c>
      <c r="L2252" t="n">
        <v>0.9429999999999999</v>
      </c>
      <c r="M2252" t="n">
        <v>0</v>
      </c>
    </row>
    <row r="2253" spans="1:13">
      <c r="A2253" s="1">
        <f>HYPERLINK("http://www.twitter.com/NathanBLawrence/status/998627744333357057", "998627744333357057")</f>
        <v/>
      </c>
      <c r="B2253" s="2" t="n">
        <v>43241.75905092592</v>
      </c>
      <c r="C2253" t="n">
        <v>0</v>
      </c>
      <c r="D2253" t="n">
        <v>1</v>
      </c>
      <c r="E2253" t="s">
        <v>2260</v>
      </c>
      <c r="F2253" t="s"/>
      <c r="G2253" t="s"/>
      <c r="H2253" t="s"/>
      <c r="I2253" t="s"/>
      <c r="J2253" t="n">
        <v>0</v>
      </c>
      <c r="K2253" t="n">
        <v>0</v>
      </c>
      <c r="L2253" t="n">
        <v>1</v>
      </c>
      <c r="M2253" t="n">
        <v>0</v>
      </c>
    </row>
    <row r="2254" spans="1:13">
      <c r="A2254" s="1">
        <f>HYPERLINK("http://www.twitter.com/NathanBLawrence/status/998627656961789953", "998627656961789953")</f>
        <v/>
      </c>
      <c r="B2254" s="2" t="n">
        <v>43241.75880787037</v>
      </c>
      <c r="C2254" t="n">
        <v>0</v>
      </c>
      <c r="D2254" t="n">
        <v>1</v>
      </c>
      <c r="E2254" t="s">
        <v>2261</v>
      </c>
      <c r="F2254" t="s"/>
      <c r="G2254" t="s"/>
      <c r="H2254" t="s"/>
      <c r="I2254" t="s"/>
      <c r="J2254" t="n">
        <v>0.837</v>
      </c>
      <c r="K2254" t="n">
        <v>0</v>
      </c>
      <c r="L2254" t="n">
        <v>0.702</v>
      </c>
      <c r="M2254" t="n">
        <v>0.298</v>
      </c>
    </row>
    <row r="2255" spans="1:13">
      <c r="A2255" s="1">
        <f>HYPERLINK("http://www.twitter.com/NathanBLawrence/status/998627637030457345", "998627637030457345")</f>
        <v/>
      </c>
      <c r="B2255" s="2" t="n">
        <v>43241.75875</v>
      </c>
      <c r="C2255" t="n">
        <v>0</v>
      </c>
      <c r="D2255" t="n">
        <v>1</v>
      </c>
      <c r="E2255" t="s">
        <v>2262</v>
      </c>
      <c r="F2255" t="s"/>
      <c r="G2255" t="s"/>
      <c r="H2255" t="s"/>
      <c r="I2255" t="s"/>
      <c r="J2255" t="n">
        <v>0.8591</v>
      </c>
      <c r="K2255" t="n">
        <v>0</v>
      </c>
      <c r="L2255" t="n">
        <v>0.612</v>
      </c>
      <c r="M2255" t="n">
        <v>0.388</v>
      </c>
    </row>
    <row r="2256" spans="1:13">
      <c r="A2256" s="1">
        <f>HYPERLINK("http://www.twitter.com/NathanBLawrence/status/998627590167584768", "998627590167584768")</f>
        <v/>
      </c>
      <c r="B2256" s="2" t="n">
        <v>43241.75862268519</v>
      </c>
      <c r="C2256" t="n">
        <v>0</v>
      </c>
      <c r="D2256" t="n">
        <v>2</v>
      </c>
      <c r="E2256" t="s">
        <v>2263</v>
      </c>
      <c r="F2256" t="s"/>
      <c r="G2256" t="s"/>
      <c r="H2256" t="s"/>
      <c r="I2256" t="s"/>
      <c r="J2256" t="n">
        <v>0.9041</v>
      </c>
      <c r="K2256" t="n">
        <v>0</v>
      </c>
      <c r="L2256" t="n">
        <v>0.5679999999999999</v>
      </c>
      <c r="M2256" t="n">
        <v>0.432</v>
      </c>
    </row>
    <row r="2257" spans="1:13">
      <c r="A2257" s="1">
        <f>HYPERLINK("http://www.twitter.com/NathanBLawrence/status/998627566696194049", "998627566696194049")</f>
        <v/>
      </c>
      <c r="B2257" s="2" t="n">
        <v>43241.75856481482</v>
      </c>
      <c r="C2257" t="n">
        <v>0</v>
      </c>
      <c r="D2257" t="n">
        <v>1</v>
      </c>
      <c r="E2257" t="s">
        <v>2264</v>
      </c>
      <c r="F2257" t="s"/>
      <c r="G2257" t="s"/>
      <c r="H2257" t="s"/>
      <c r="I2257" t="s"/>
      <c r="J2257" t="n">
        <v>0.5563</v>
      </c>
      <c r="K2257" t="n">
        <v>0</v>
      </c>
      <c r="L2257" t="n">
        <v>0.6899999999999999</v>
      </c>
      <c r="M2257" t="n">
        <v>0.31</v>
      </c>
    </row>
    <row r="2258" spans="1:13">
      <c r="A2258" s="1">
        <f>HYPERLINK("http://www.twitter.com/NathanBLawrence/status/998627541782024195", "998627541782024195")</f>
        <v/>
      </c>
      <c r="B2258" s="2" t="n">
        <v>43241.75849537037</v>
      </c>
      <c r="C2258" t="n">
        <v>0</v>
      </c>
      <c r="D2258" t="n">
        <v>1</v>
      </c>
      <c r="E2258" t="s">
        <v>2265</v>
      </c>
      <c r="F2258" t="s"/>
      <c r="G2258" t="s"/>
      <c r="H2258" t="s"/>
      <c r="I2258" t="s"/>
      <c r="J2258" t="n">
        <v>0.9169</v>
      </c>
      <c r="K2258" t="n">
        <v>0</v>
      </c>
      <c r="L2258" t="n">
        <v>0.59</v>
      </c>
      <c r="M2258" t="n">
        <v>0.41</v>
      </c>
    </row>
    <row r="2259" spans="1:13">
      <c r="A2259" s="1">
        <f>HYPERLINK("http://www.twitter.com/NathanBLawrence/status/998627519845855233", "998627519845855233")</f>
        <v/>
      </c>
      <c r="B2259" s="2" t="n">
        <v>43241.75842592592</v>
      </c>
      <c r="C2259" t="n">
        <v>0</v>
      </c>
      <c r="D2259" t="n">
        <v>1</v>
      </c>
      <c r="E2259" t="s">
        <v>2266</v>
      </c>
      <c r="F2259" t="s"/>
      <c r="G2259" t="s"/>
      <c r="H2259" t="s"/>
      <c r="I2259" t="s"/>
      <c r="J2259" t="n">
        <v>0.8552999999999999</v>
      </c>
      <c r="K2259" t="n">
        <v>0</v>
      </c>
      <c r="L2259" t="n">
        <v>0.621</v>
      </c>
      <c r="M2259" t="n">
        <v>0.379</v>
      </c>
    </row>
    <row r="2260" spans="1:13">
      <c r="A2260" s="1">
        <f>HYPERLINK("http://www.twitter.com/NathanBLawrence/status/998627464522993664", "998627464522993664")</f>
        <v/>
      </c>
      <c r="B2260" s="2" t="n">
        <v>43241.75827546296</v>
      </c>
      <c r="C2260" t="n">
        <v>0</v>
      </c>
      <c r="D2260" t="n">
        <v>2</v>
      </c>
      <c r="E2260" t="s">
        <v>2267</v>
      </c>
      <c r="F2260" t="s"/>
      <c r="G2260" t="s"/>
      <c r="H2260" t="s"/>
      <c r="I2260" t="s"/>
      <c r="J2260" t="n">
        <v>0.6523</v>
      </c>
      <c r="K2260" t="n">
        <v>0.078</v>
      </c>
      <c r="L2260" t="n">
        <v>0.6899999999999999</v>
      </c>
      <c r="M2260" t="n">
        <v>0.232</v>
      </c>
    </row>
    <row r="2261" spans="1:13">
      <c r="A2261" s="1">
        <f>HYPERLINK("http://www.twitter.com/NathanBLawrence/status/998627441693294598", "998627441693294598")</f>
        <v/>
      </c>
      <c r="B2261" s="2" t="n">
        <v>43241.75821759259</v>
      </c>
      <c r="C2261" t="n">
        <v>0</v>
      </c>
      <c r="D2261" t="n">
        <v>1</v>
      </c>
      <c r="E2261" t="s">
        <v>2268</v>
      </c>
      <c r="F2261" t="s"/>
      <c r="G2261" t="s"/>
      <c r="H2261" t="s"/>
      <c r="I2261" t="s"/>
      <c r="J2261" t="n">
        <v>0.3182</v>
      </c>
      <c r="K2261" t="n">
        <v>0</v>
      </c>
      <c r="L2261" t="n">
        <v>0.881</v>
      </c>
      <c r="M2261" t="n">
        <v>0.119</v>
      </c>
    </row>
    <row r="2262" spans="1:13">
      <c r="A2262" s="1">
        <f>HYPERLINK("http://www.twitter.com/NathanBLawrence/status/998627415852224512", "998627415852224512")</f>
        <v/>
      </c>
      <c r="B2262" s="2" t="n">
        <v>43241.75814814815</v>
      </c>
      <c r="C2262" t="n">
        <v>0</v>
      </c>
      <c r="D2262" t="n">
        <v>367</v>
      </c>
      <c r="E2262" t="s">
        <v>2269</v>
      </c>
      <c r="F2262" t="s"/>
      <c r="G2262" t="s"/>
      <c r="H2262" t="s"/>
      <c r="I2262" t="s"/>
      <c r="J2262" t="n">
        <v>-0.5106000000000001</v>
      </c>
      <c r="K2262" t="n">
        <v>0.121</v>
      </c>
      <c r="L2262" t="n">
        <v>0.879</v>
      </c>
      <c r="M2262" t="n">
        <v>0</v>
      </c>
    </row>
    <row r="2263" spans="1:13">
      <c r="A2263" s="1">
        <f>HYPERLINK("http://www.twitter.com/NathanBLawrence/status/998625965046730758", "998625965046730758")</f>
        <v/>
      </c>
      <c r="B2263" s="2" t="n">
        <v>43241.75414351852</v>
      </c>
      <c r="C2263" t="n">
        <v>0</v>
      </c>
      <c r="D2263" t="n">
        <v>0</v>
      </c>
      <c r="E2263" t="s">
        <v>2270</v>
      </c>
      <c r="F2263" t="s"/>
      <c r="G2263" t="s"/>
      <c r="H2263" t="s"/>
      <c r="I2263" t="s"/>
      <c r="J2263" t="n">
        <v>0</v>
      </c>
      <c r="K2263" t="n">
        <v>0</v>
      </c>
      <c r="L2263" t="n">
        <v>1</v>
      </c>
      <c r="M2263" t="n">
        <v>0</v>
      </c>
    </row>
    <row r="2264" spans="1:13">
      <c r="A2264" s="1">
        <f>HYPERLINK("http://www.twitter.com/NathanBLawrence/status/998623589644500992", "998623589644500992")</f>
        <v/>
      </c>
      <c r="B2264" s="2" t="n">
        <v>43241.74758101852</v>
      </c>
      <c r="C2264" t="n">
        <v>0</v>
      </c>
      <c r="D2264" t="n">
        <v>10</v>
      </c>
      <c r="E2264" t="s">
        <v>2271</v>
      </c>
      <c r="F2264" t="s"/>
      <c r="G2264" t="s"/>
      <c r="H2264" t="s"/>
      <c r="I2264" t="s"/>
      <c r="J2264" t="n">
        <v>0</v>
      </c>
      <c r="K2264" t="n">
        <v>0</v>
      </c>
      <c r="L2264" t="n">
        <v>1</v>
      </c>
      <c r="M2264" t="n">
        <v>0</v>
      </c>
    </row>
    <row r="2265" spans="1:13">
      <c r="A2265" s="1">
        <f>HYPERLINK("http://www.twitter.com/NathanBLawrence/status/998614857942470656", "998614857942470656")</f>
        <v/>
      </c>
      <c r="B2265" s="2" t="n">
        <v>43241.72349537037</v>
      </c>
      <c r="C2265" t="n">
        <v>0</v>
      </c>
      <c r="D2265" t="n">
        <v>3</v>
      </c>
      <c r="E2265" t="s">
        <v>2272</v>
      </c>
      <c r="F2265">
        <f>HYPERLINK("http://pbs.twimg.com/media/DdvEGceU0AA3Yml.jpg", "http://pbs.twimg.com/media/DdvEGceU0AA3Yml.jpg")</f>
        <v/>
      </c>
      <c r="G2265" t="s"/>
      <c r="H2265" t="s"/>
      <c r="I2265" t="s"/>
      <c r="J2265" t="n">
        <v>0</v>
      </c>
      <c r="K2265" t="n">
        <v>0</v>
      </c>
      <c r="L2265" t="n">
        <v>1</v>
      </c>
      <c r="M2265" t="n">
        <v>0</v>
      </c>
    </row>
    <row r="2266" spans="1:13">
      <c r="A2266" s="1">
        <f>HYPERLINK("http://www.twitter.com/NathanBLawrence/status/998607420644524034", "998607420644524034")</f>
        <v/>
      </c>
      <c r="B2266" s="2" t="n">
        <v>43241.70296296296</v>
      </c>
      <c r="C2266" t="n">
        <v>0</v>
      </c>
      <c r="D2266" t="n">
        <v>1</v>
      </c>
      <c r="E2266" t="s">
        <v>2273</v>
      </c>
      <c r="F2266" t="s"/>
      <c r="G2266" t="s"/>
      <c r="H2266" t="s"/>
      <c r="I2266" t="s"/>
      <c r="J2266" t="n">
        <v>-0.5574</v>
      </c>
      <c r="K2266" t="n">
        <v>0.146</v>
      </c>
      <c r="L2266" t="n">
        <v>0.854</v>
      </c>
      <c r="M2266" t="n">
        <v>0</v>
      </c>
    </row>
    <row r="2267" spans="1:13">
      <c r="A2267" s="1">
        <f>HYPERLINK("http://www.twitter.com/NathanBLawrence/status/998606037967167489", "998606037967167489")</f>
        <v/>
      </c>
      <c r="B2267" s="2" t="n">
        <v>43241.6991550926</v>
      </c>
      <c r="C2267" t="n">
        <v>0</v>
      </c>
      <c r="D2267" t="n">
        <v>0</v>
      </c>
      <c r="E2267" t="s">
        <v>2274</v>
      </c>
      <c r="F2267" t="s"/>
      <c r="G2267" t="s"/>
      <c r="H2267" t="s"/>
      <c r="I2267" t="s"/>
      <c r="J2267" t="n">
        <v>0</v>
      </c>
      <c r="K2267" t="n">
        <v>0</v>
      </c>
      <c r="L2267" t="n">
        <v>1</v>
      </c>
      <c r="M2267" t="n">
        <v>0</v>
      </c>
    </row>
    <row r="2268" spans="1:13">
      <c r="A2268" s="1">
        <f>HYPERLINK("http://www.twitter.com/NathanBLawrence/status/998605772979343361", "998605772979343361")</f>
        <v/>
      </c>
      <c r="B2268" s="2" t="n">
        <v>43241.69842592593</v>
      </c>
      <c r="C2268" t="n">
        <v>1</v>
      </c>
      <c r="D2268" t="n">
        <v>1</v>
      </c>
      <c r="E2268" t="s">
        <v>2275</v>
      </c>
      <c r="F2268" t="s"/>
      <c r="G2268" t="s"/>
      <c r="H2268" t="s"/>
      <c r="I2268" t="s"/>
      <c r="J2268" t="n">
        <v>0</v>
      </c>
      <c r="K2268" t="n">
        <v>0</v>
      </c>
      <c r="L2268" t="n">
        <v>1</v>
      </c>
      <c r="M2268" t="n">
        <v>0</v>
      </c>
    </row>
    <row r="2269" spans="1:13">
      <c r="A2269" s="1">
        <f>HYPERLINK("http://www.twitter.com/NathanBLawrence/status/998605355641901056", "998605355641901056")</f>
        <v/>
      </c>
      <c r="B2269" s="2" t="n">
        <v>43241.69726851852</v>
      </c>
      <c r="C2269" t="n">
        <v>0</v>
      </c>
      <c r="D2269" t="n">
        <v>97</v>
      </c>
      <c r="E2269" t="s">
        <v>2276</v>
      </c>
      <c r="F2269" t="s"/>
      <c r="G2269" t="s"/>
      <c r="H2269" t="s"/>
      <c r="I2269" t="s"/>
      <c r="J2269" t="n">
        <v>-0.7579</v>
      </c>
      <c r="K2269" t="n">
        <v>0.283</v>
      </c>
      <c r="L2269" t="n">
        <v>0.717</v>
      </c>
      <c r="M2269" t="n">
        <v>0</v>
      </c>
    </row>
    <row r="2270" spans="1:13">
      <c r="A2270" s="1">
        <f>HYPERLINK("http://www.twitter.com/NathanBLawrence/status/998605289053212679", "998605289053212679")</f>
        <v/>
      </c>
      <c r="B2270" s="2" t="n">
        <v>43241.69708333333</v>
      </c>
      <c r="C2270" t="n">
        <v>1</v>
      </c>
      <c r="D2270" t="n">
        <v>0</v>
      </c>
      <c r="E2270" t="s">
        <v>2277</v>
      </c>
      <c r="F2270" t="s"/>
      <c r="G2270" t="s"/>
      <c r="H2270" t="s"/>
      <c r="I2270" t="s"/>
      <c r="J2270" t="n">
        <v>-0.7423999999999999</v>
      </c>
      <c r="K2270" t="n">
        <v>0.178</v>
      </c>
      <c r="L2270" t="n">
        <v>0.822</v>
      </c>
      <c r="M2270" t="n">
        <v>0</v>
      </c>
    </row>
    <row r="2271" spans="1:13">
      <c r="A2271" s="1">
        <f>HYPERLINK("http://www.twitter.com/NathanBLawrence/status/998604585752322048", "998604585752322048")</f>
        <v/>
      </c>
      <c r="B2271" s="2" t="n">
        <v>43241.69515046296</v>
      </c>
      <c r="C2271" t="n">
        <v>0</v>
      </c>
      <c r="D2271" t="n">
        <v>2</v>
      </c>
      <c r="E2271" t="s">
        <v>2278</v>
      </c>
      <c r="F2271" t="s"/>
      <c r="G2271" t="s"/>
      <c r="H2271" t="s"/>
      <c r="I2271" t="s"/>
      <c r="J2271" t="n">
        <v>-0.2003</v>
      </c>
      <c r="K2271" t="n">
        <v>0.227</v>
      </c>
      <c r="L2271" t="n">
        <v>0.625</v>
      </c>
      <c r="M2271" t="n">
        <v>0.147</v>
      </c>
    </row>
    <row r="2272" spans="1:13">
      <c r="A2272" s="1">
        <f>HYPERLINK("http://www.twitter.com/NathanBLawrence/status/998603692491370502", "998603692491370502")</f>
        <v/>
      </c>
      <c r="B2272" s="2" t="n">
        <v>43241.69268518518</v>
      </c>
      <c r="C2272" t="n">
        <v>0</v>
      </c>
      <c r="D2272" t="n">
        <v>1</v>
      </c>
      <c r="E2272" t="s">
        <v>2279</v>
      </c>
      <c r="F2272" t="s"/>
      <c r="G2272" t="s"/>
      <c r="H2272" t="s"/>
      <c r="I2272" t="s"/>
      <c r="J2272" t="n">
        <v>0.4767</v>
      </c>
      <c r="K2272" t="n">
        <v>0</v>
      </c>
      <c r="L2272" t="n">
        <v>0.871</v>
      </c>
      <c r="M2272" t="n">
        <v>0.129</v>
      </c>
    </row>
    <row r="2273" spans="1:13">
      <c r="A2273" s="1">
        <f>HYPERLINK("http://www.twitter.com/NathanBLawrence/status/998603331839852544", "998603331839852544")</f>
        <v/>
      </c>
      <c r="B2273" s="2" t="n">
        <v>43241.69168981481</v>
      </c>
      <c r="C2273" t="n">
        <v>0</v>
      </c>
      <c r="D2273" t="n">
        <v>0</v>
      </c>
      <c r="E2273" t="s">
        <v>2280</v>
      </c>
      <c r="F2273" t="s"/>
      <c r="G2273" t="s"/>
      <c r="H2273" t="s"/>
      <c r="I2273" t="s"/>
      <c r="J2273" t="n">
        <v>-0.3724</v>
      </c>
      <c r="K2273" t="n">
        <v>0.063</v>
      </c>
      <c r="L2273" t="n">
        <v>0.9370000000000001</v>
      </c>
      <c r="M2273" t="n">
        <v>0</v>
      </c>
    </row>
    <row r="2274" spans="1:13">
      <c r="A2274" s="1">
        <f>HYPERLINK("http://www.twitter.com/NathanBLawrence/status/998602778355421184", "998602778355421184")</f>
        <v/>
      </c>
      <c r="B2274" s="2" t="n">
        <v>43241.69016203703</v>
      </c>
      <c r="C2274" t="n">
        <v>1</v>
      </c>
      <c r="D2274" t="n">
        <v>0</v>
      </c>
      <c r="E2274" t="s">
        <v>2281</v>
      </c>
      <c r="F2274" t="s"/>
      <c r="G2274" t="s"/>
      <c r="H2274" t="s"/>
      <c r="I2274" t="s"/>
      <c r="J2274" t="n">
        <v>0</v>
      </c>
      <c r="K2274" t="n">
        <v>0</v>
      </c>
      <c r="L2274" t="n">
        <v>1</v>
      </c>
      <c r="M2274" t="n">
        <v>0</v>
      </c>
    </row>
    <row r="2275" spans="1:13">
      <c r="A2275" s="1">
        <f>HYPERLINK("http://www.twitter.com/NathanBLawrence/status/998601991533232129", "998601991533232129")</f>
        <v/>
      </c>
      <c r="B2275" s="2" t="n">
        <v>43241.68798611111</v>
      </c>
      <c r="C2275" t="n">
        <v>2</v>
      </c>
      <c r="D2275" t="n">
        <v>0</v>
      </c>
      <c r="E2275" t="s">
        <v>2282</v>
      </c>
      <c r="F2275" t="s"/>
      <c r="G2275" t="s"/>
      <c r="H2275" t="s"/>
      <c r="I2275" t="s"/>
      <c r="J2275" t="n">
        <v>-0.0516</v>
      </c>
      <c r="K2275" t="n">
        <v>0.12</v>
      </c>
      <c r="L2275" t="n">
        <v>0.763</v>
      </c>
      <c r="M2275" t="n">
        <v>0.116</v>
      </c>
    </row>
    <row r="2276" spans="1:13">
      <c r="A2276" s="1">
        <f>HYPERLINK("http://www.twitter.com/NathanBLawrence/status/998601093205712896", "998601093205712896")</f>
        <v/>
      </c>
      <c r="B2276" s="2" t="n">
        <v>43241.68550925926</v>
      </c>
      <c r="C2276" t="n">
        <v>0</v>
      </c>
      <c r="D2276" t="n">
        <v>182</v>
      </c>
      <c r="E2276" t="s">
        <v>2283</v>
      </c>
      <c r="F2276" t="s"/>
      <c r="G2276" t="s"/>
      <c r="H2276" t="s"/>
      <c r="I2276" t="s"/>
      <c r="J2276" t="n">
        <v>0</v>
      </c>
      <c r="K2276" t="n">
        <v>0</v>
      </c>
      <c r="L2276" t="n">
        <v>1</v>
      </c>
      <c r="M2276" t="n">
        <v>0</v>
      </c>
    </row>
    <row r="2277" spans="1:13">
      <c r="A2277" s="1">
        <f>HYPERLINK("http://www.twitter.com/NathanBLawrence/status/998600905732902914", "998600905732902914")</f>
        <v/>
      </c>
      <c r="B2277" s="2" t="n">
        <v>43241.68498842593</v>
      </c>
      <c r="C2277" t="n">
        <v>0</v>
      </c>
      <c r="D2277" t="n">
        <v>49</v>
      </c>
      <c r="E2277" t="s">
        <v>2284</v>
      </c>
      <c r="F2277" t="s"/>
      <c r="G2277" t="s"/>
      <c r="H2277" t="s"/>
      <c r="I2277" t="s"/>
      <c r="J2277" t="n">
        <v>0</v>
      </c>
      <c r="K2277" t="n">
        <v>0</v>
      </c>
      <c r="L2277" t="n">
        <v>1</v>
      </c>
      <c r="M2277" t="n">
        <v>0</v>
      </c>
    </row>
    <row r="2278" spans="1:13">
      <c r="A2278" s="1">
        <f>HYPERLINK("http://www.twitter.com/NathanBLawrence/status/998600865794715648", "998600865794715648")</f>
        <v/>
      </c>
      <c r="B2278" s="2" t="n">
        <v>43241.68488425926</v>
      </c>
      <c r="C2278" t="n">
        <v>0</v>
      </c>
      <c r="D2278" t="n">
        <v>11</v>
      </c>
      <c r="E2278" t="s">
        <v>2285</v>
      </c>
      <c r="F2278" t="s"/>
      <c r="G2278" t="s"/>
      <c r="H2278" t="s"/>
      <c r="I2278" t="s"/>
      <c r="J2278" t="n">
        <v>0.4404</v>
      </c>
      <c r="K2278" t="n">
        <v>0</v>
      </c>
      <c r="L2278" t="n">
        <v>0.734</v>
      </c>
      <c r="M2278" t="n">
        <v>0.266</v>
      </c>
    </row>
    <row r="2279" spans="1:13">
      <c r="A2279" s="1">
        <f>HYPERLINK("http://www.twitter.com/NathanBLawrence/status/998600853794820097", "998600853794820097")</f>
        <v/>
      </c>
      <c r="B2279" s="2" t="n">
        <v>43241.68484953704</v>
      </c>
      <c r="C2279" t="n">
        <v>0</v>
      </c>
      <c r="D2279" t="n">
        <v>1</v>
      </c>
      <c r="E2279" t="s">
        <v>2286</v>
      </c>
      <c r="F2279" t="s"/>
      <c r="G2279" t="s"/>
      <c r="H2279" t="s"/>
      <c r="I2279" t="s"/>
      <c r="J2279" t="n">
        <v>0</v>
      </c>
      <c r="K2279" t="n">
        <v>0</v>
      </c>
      <c r="L2279" t="n">
        <v>1</v>
      </c>
      <c r="M2279" t="n">
        <v>0</v>
      </c>
    </row>
    <row r="2280" spans="1:13">
      <c r="A2280" s="1">
        <f>HYPERLINK("http://www.twitter.com/NathanBLawrence/status/998598291905568769", "998598291905568769")</f>
        <v/>
      </c>
      <c r="B2280" s="2" t="n">
        <v>43241.67777777778</v>
      </c>
      <c r="C2280" t="n">
        <v>0</v>
      </c>
      <c r="D2280" t="n">
        <v>42</v>
      </c>
      <c r="E2280" t="s">
        <v>2287</v>
      </c>
      <c r="F2280" t="s"/>
      <c r="G2280" t="s"/>
      <c r="H2280" t="s"/>
      <c r="I2280" t="s"/>
      <c r="J2280" t="n">
        <v>0.128</v>
      </c>
      <c r="K2280" t="n">
        <v>0.082</v>
      </c>
      <c r="L2280" t="n">
        <v>0.8179999999999999</v>
      </c>
      <c r="M2280" t="n">
        <v>0.1</v>
      </c>
    </row>
    <row r="2281" spans="1:13">
      <c r="A2281" s="1">
        <f>HYPERLINK("http://www.twitter.com/NathanBLawrence/status/998576849373495296", "998576849373495296")</f>
        <v/>
      </c>
      <c r="B2281" s="2" t="n">
        <v>43241.61861111111</v>
      </c>
      <c r="C2281" t="n">
        <v>0</v>
      </c>
      <c r="D2281" t="n">
        <v>347</v>
      </c>
      <c r="E2281" t="s">
        <v>2288</v>
      </c>
      <c r="F2281" t="s"/>
      <c r="G2281" t="s"/>
      <c r="H2281" t="s"/>
      <c r="I2281" t="s"/>
      <c r="J2281" t="n">
        <v>-0.4939</v>
      </c>
      <c r="K2281" t="n">
        <v>0.127</v>
      </c>
      <c r="L2281" t="n">
        <v>0.873</v>
      </c>
      <c r="M2281" t="n">
        <v>0</v>
      </c>
    </row>
    <row r="2282" spans="1:13">
      <c r="A2282" s="1">
        <f>HYPERLINK("http://www.twitter.com/NathanBLawrence/status/998576758730485760", "998576758730485760")</f>
        <v/>
      </c>
      <c r="B2282" s="2" t="n">
        <v>43241.61835648148</v>
      </c>
      <c r="C2282" t="n">
        <v>0</v>
      </c>
      <c r="D2282" t="n">
        <v>839</v>
      </c>
      <c r="E2282" t="s">
        <v>2289</v>
      </c>
      <c r="F2282">
        <f>HYPERLINK("https://video.twimg.com/amplify_video/998242022577197057/vid/1280x720/caqtwFV6tsncIDjI.mp4?tag=2", "https://video.twimg.com/amplify_video/998242022577197057/vid/1280x720/caqtwFV6tsncIDjI.mp4?tag=2")</f>
        <v/>
      </c>
      <c r="G2282" t="s"/>
      <c r="H2282" t="s"/>
      <c r="I2282" t="s"/>
      <c r="J2282" t="n">
        <v>0</v>
      </c>
      <c r="K2282" t="n">
        <v>0.097</v>
      </c>
      <c r="L2282" t="n">
        <v>0.805</v>
      </c>
      <c r="M2282" t="n">
        <v>0.097</v>
      </c>
    </row>
    <row r="2283" spans="1:13">
      <c r="A2283" s="1">
        <f>HYPERLINK("http://www.twitter.com/NathanBLawrence/status/998576679508414464", "998576679508414464")</f>
        <v/>
      </c>
      <c r="B2283" s="2" t="n">
        <v>43241.61813657408</v>
      </c>
      <c r="C2283" t="n">
        <v>0</v>
      </c>
      <c r="D2283" t="n">
        <v>1</v>
      </c>
      <c r="E2283" t="s">
        <v>2290</v>
      </c>
      <c r="F2283" t="s"/>
      <c r="G2283" t="s"/>
      <c r="H2283" t="s"/>
      <c r="I2283" t="s"/>
      <c r="J2283" t="n">
        <v>-0.6633</v>
      </c>
      <c r="K2283" t="n">
        <v>0.181</v>
      </c>
      <c r="L2283" t="n">
        <v>0.819</v>
      </c>
      <c r="M2283" t="n">
        <v>0</v>
      </c>
    </row>
    <row r="2284" spans="1:13">
      <c r="A2284" s="1">
        <f>HYPERLINK("http://www.twitter.com/NathanBLawrence/status/998563412165758977", "998563412165758977")</f>
        <v/>
      </c>
      <c r="B2284" s="2" t="n">
        <v>43241.58152777778</v>
      </c>
      <c r="C2284" t="n">
        <v>0</v>
      </c>
      <c r="D2284" t="n">
        <v>1069</v>
      </c>
      <c r="E2284" t="s">
        <v>2291</v>
      </c>
      <c r="F2284" t="s"/>
      <c r="G2284" t="s"/>
      <c r="H2284" t="s"/>
      <c r="I2284" t="s"/>
      <c r="J2284" t="n">
        <v>0</v>
      </c>
      <c r="K2284" t="n">
        <v>0</v>
      </c>
      <c r="L2284" t="n">
        <v>1</v>
      </c>
      <c r="M2284" t="n">
        <v>0</v>
      </c>
    </row>
    <row r="2285" spans="1:13">
      <c r="A2285" s="1">
        <f>HYPERLINK("http://www.twitter.com/NathanBLawrence/status/998563289872334849", "998563289872334849")</f>
        <v/>
      </c>
      <c r="B2285" s="2" t="n">
        <v>43241.58119212963</v>
      </c>
      <c r="C2285" t="n">
        <v>0</v>
      </c>
      <c r="D2285" t="n">
        <v>2332</v>
      </c>
      <c r="E2285" t="s">
        <v>2292</v>
      </c>
      <c r="F2285" t="s"/>
      <c r="G2285" t="s"/>
      <c r="H2285" t="s"/>
      <c r="I2285" t="s"/>
      <c r="J2285" t="n">
        <v>0</v>
      </c>
      <c r="K2285" t="n">
        <v>0</v>
      </c>
      <c r="L2285" t="n">
        <v>1</v>
      </c>
      <c r="M2285" t="n">
        <v>0</v>
      </c>
    </row>
    <row r="2286" spans="1:13">
      <c r="A2286" s="1">
        <f>HYPERLINK("http://www.twitter.com/NathanBLawrence/status/998563228191002624", "998563228191002624")</f>
        <v/>
      </c>
      <c r="B2286" s="2" t="n">
        <v>43241.58101851852</v>
      </c>
      <c r="C2286" t="n">
        <v>0</v>
      </c>
      <c r="D2286" t="n">
        <v>82</v>
      </c>
      <c r="E2286" t="s">
        <v>2293</v>
      </c>
      <c r="F2286" t="s"/>
      <c r="G2286" t="s"/>
      <c r="H2286" t="s"/>
      <c r="I2286" t="s"/>
      <c r="J2286" t="n">
        <v>-0.5859</v>
      </c>
      <c r="K2286" t="n">
        <v>0.352</v>
      </c>
      <c r="L2286" t="n">
        <v>0.648</v>
      </c>
      <c r="M2286" t="n">
        <v>0</v>
      </c>
    </row>
    <row r="2287" spans="1:13">
      <c r="A2287" s="1">
        <f>HYPERLINK("http://www.twitter.com/NathanBLawrence/status/998562958211940352", "998562958211940352")</f>
        <v/>
      </c>
      <c r="B2287" s="2" t="n">
        <v>43241.58027777778</v>
      </c>
      <c r="C2287" t="n">
        <v>0</v>
      </c>
      <c r="D2287" t="n">
        <v>103</v>
      </c>
      <c r="E2287" t="s">
        <v>2294</v>
      </c>
      <c r="F2287">
        <f>HYPERLINK("http://pbs.twimg.com/media/DdtZmJQUwAIweci.jpg", "http://pbs.twimg.com/media/DdtZmJQUwAIweci.jpg")</f>
        <v/>
      </c>
      <c r="G2287" t="s"/>
      <c r="H2287" t="s"/>
      <c r="I2287" t="s"/>
      <c r="J2287" t="n">
        <v>0</v>
      </c>
      <c r="K2287" t="n">
        <v>0</v>
      </c>
      <c r="L2287" t="n">
        <v>1</v>
      </c>
      <c r="M2287" t="n">
        <v>0</v>
      </c>
    </row>
    <row r="2288" spans="1:13">
      <c r="A2288" s="1">
        <f>HYPERLINK("http://www.twitter.com/NathanBLawrence/status/998562705622601728", "998562705622601728")</f>
        <v/>
      </c>
      <c r="B2288" s="2" t="n">
        <v>43241.57958333333</v>
      </c>
      <c r="C2288" t="n">
        <v>0</v>
      </c>
      <c r="D2288" t="n">
        <v>12601</v>
      </c>
      <c r="E2288" t="s">
        <v>2295</v>
      </c>
      <c r="F2288" t="s"/>
      <c r="G2288" t="s"/>
      <c r="H2288" t="s"/>
      <c r="I2288" t="s"/>
      <c r="J2288" t="n">
        <v>0</v>
      </c>
      <c r="K2288" t="n">
        <v>0</v>
      </c>
      <c r="L2288" t="n">
        <v>1</v>
      </c>
      <c r="M2288" t="n">
        <v>0</v>
      </c>
    </row>
    <row r="2289" spans="1:13">
      <c r="A2289" s="1">
        <f>HYPERLINK("http://www.twitter.com/NathanBLawrence/status/998562662597496832", "998562662597496832")</f>
        <v/>
      </c>
      <c r="B2289" s="2" t="n">
        <v>43241.57945601852</v>
      </c>
      <c r="C2289" t="n">
        <v>0</v>
      </c>
      <c r="D2289" t="n">
        <v>65</v>
      </c>
      <c r="E2289" t="s">
        <v>2296</v>
      </c>
      <c r="F2289" t="s"/>
      <c r="G2289" t="s"/>
      <c r="H2289" t="s"/>
      <c r="I2289" t="s"/>
      <c r="J2289" t="n">
        <v>-0.1531</v>
      </c>
      <c r="K2289" t="n">
        <v>0.078</v>
      </c>
      <c r="L2289" t="n">
        <v>0.922</v>
      </c>
      <c r="M2289" t="n">
        <v>0</v>
      </c>
    </row>
    <row r="2290" spans="1:13">
      <c r="A2290" s="1">
        <f>HYPERLINK("http://www.twitter.com/NathanBLawrence/status/998562615239602179", "998562615239602179")</f>
        <v/>
      </c>
      <c r="B2290" s="2" t="n">
        <v>43241.5793287037</v>
      </c>
      <c r="C2290" t="n">
        <v>0</v>
      </c>
      <c r="D2290" t="n">
        <v>11</v>
      </c>
      <c r="E2290" t="s">
        <v>2297</v>
      </c>
      <c r="F2290" t="s"/>
      <c r="G2290" t="s"/>
      <c r="H2290" t="s"/>
      <c r="I2290" t="s"/>
      <c r="J2290" t="n">
        <v>-0.0772</v>
      </c>
      <c r="K2290" t="n">
        <v>0.174</v>
      </c>
      <c r="L2290" t="n">
        <v>0.697</v>
      </c>
      <c r="M2290" t="n">
        <v>0.129</v>
      </c>
    </row>
    <row r="2291" spans="1:13">
      <c r="A2291" s="1">
        <f>HYPERLINK("http://www.twitter.com/NathanBLawrence/status/998562504002490368", "998562504002490368")</f>
        <v/>
      </c>
      <c r="B2291" s="2" t="n">
        <v>43241.57902777778</v>
      </c>
      <c r="C2291" t="n">
        <v>0</v>
      </c>
      <c r="D2291" t="n">
        <v>1</v>
      </c>
      <c r="E2291" t="s">
        <v>2298</v>
      </c>
      <c r="F2291" t="s"/>
      <c r="G2291" t="s"/>
      <c r="H2291" t="s"/>
      <c r="I2291" t="s"/>
      <c r="J2291" t="n">
        <v>0.4753</v>
      </c>
      <c r="K2291" t="n">
        <v>0</v>
      </c>
      <c r="L2291" t="n">
        <v>0.492</v>
      </c>
      <c r="M2291" t="n">
        <v>0.508</v>
      </c>
    </row>
    <row r="2292" spans="1:13">
      <c r="A2292" s="1">
        <f>HYPERLINK("http://www.twitter.com/NathanBLawrence/status/998562306358464512", "998562306358464512")</f>
        <v/>
      </c>
      <c r="B2292" s="2" t="n">
        <v>43241.57847222222</v>
      </c>
      <c r="C2292" t="n">
        <v>0</v>
      </c>
      <c r="D2292" t="n">
        <v>1</v>
      </c>
      <c r="E2292" t="s">
        <v>2299</v>
      </c>
      <c r="F2292" t="s"/>
      <c r="G2292" t="s"/>
      <c r="H2292" t="s"/>
      <c r="I2292" t="s"/>
      <c r="J2292" t="n">
        <v>0.296</v>
      </c>
      <c r="K2292" t="n">
        <v>0</v>
      </c>
      <c r="L2292" t="n">
        <v>0.879</v>
      </c>
      <c r="M2292" t="n">
        <v>0.121</v>
      </c>
    </row>
    <row r="2293" spans="1:13">
      <c r="A2293" s="1">
        <f>HYPERLINK("http://www.twitter.com/NathanBLawrence/status/998562215077859328", "998562215077859328")</f>
        <v/>
      </c>
      <c r="B2293" s="2" t="n">
        <v>43241.57822916667</v>
      </c>
      <c r="C2293" t="n">
        <v>0</v>
      </c>
      <c r="D2293" t="n">
        <v>0</v>
      </c>
      <c r="E2293" t="s">
        <v>2300</v>
      </c>
      <c r="F2293" t="s"/>
      <c r="G2293" t="s"/>
      <c r="H2293" t="s"/>
      <c r="I2293" t="s"/>
      <c r="J2293" t="n">
        <v>0</v>
      </c>
      <c r="K2293" t="n">
        <v>0</v>
      </c>
      <c r="L2293" t="n">
        <v>1</v>
      </c>
      <c r="M2293" t="n">
        <v>0</v>
      </c>
    </row>
    <row r="2294" spans="1:13">
      <c r="A2294" s="1">
        <f>HYPERLINK("http://www.twitter.com/NathanBLawrence/status/998562076401561600", "998562076401561600")</f>
        <v/>
      </c>
      <c r="B2294" s="2" t="n">
        <v>43241.57784722222</v>
      </c>
      <c r="C2294" t="n">
        <v>0</v>
      </c>
      <c r="D2294" t="n">
        <v>90</v>
      </c>
      <c r="E2294" t="s">
        <v>2301</v>
      </c>
      <c r="F2294" t="s"/>
      <c r="G2294" t="s"/>
      <c r="H2294" t="s"/>
      <c r="I2294" t="s"/>
      <c r="J2294" t="n">
        <v>0.5106000000000001</v>
      </c>
      <c r="K2294" t="n">
        <v>0</v>
      </c>
      <c r="L2294" t="n">
        <v>0.87</v>
      </c>
      <c r="M2294" t="n">
        <v>0.13</v>
      </c>
    </row>
    <row r="2295" spans="1:13">
      <c r="A2295" s="1">
        <f>HYPERLINK("http://www.twitter.com/NathanBLawrence/status/998561926585208833", "998561926585208833")</f>
        <v/>
      </c>
      <c r="B2295" s="2" t="n">
        <v>43241.57743055555</v>
      </c>
      <c r="C2295" t="n">
        <v>0</v>
      </c>
      <c r="D2295" t="n">
        <v>1011</v>
      </c>
      <c r="E2295" t="s">
        <v>2302</v>
      </c>
      <c r="F2295" t="s"/>
      <c r="G2295" t="s"/>
      <c r="H2295" t="s"/>
      <c r="I2295" t="s"/>
      <c r="J2295" t="n">
        <v>0.3818</v>
      </c>
      <c r="K2295" t="n">
        <v>0.113</v>
      </c>
      <c r="L2295" t="n">
        <v>0.639</v>
      </c>
      <c r="M2295" t="n">
        <v>0.248</v>
      </c>
    </row>
    <row r="2296" spans="1:13">
      <c r="A2296" s="1">
        <f>HYPERLINK("http://www.twitter.com/NathanBLawrence/status/998561775292469248", "998561775292469248")</f>
        <v/>
      </c>
      <c r="B2296" s="2" t="n">
        <v>43241.57701388889</v>
      </c>
      <c r="C2296" t="n">
        <v>0</v>
      </c>
      <c r="D2296" t="n">
        <v>62</v>
      </c>
      <c r="E2296" t="s">
        <v>2303</v>
      </c>
      <c r="F2296" t="s"/>
      <c r="G2296" t="s"/>
      <c r="H2296" t="s"/>
      <c r="I2296" t="s"/>
      <c r="J2296" t="n">
        <v>0.34</v>
      </c>
      <c r="K2296" t="n">
        <v>0.074</v>
      </c>
      <c r="L2296" t="n">
        <v>0.805</v>
      </c>
      <c r="M2296" t="n">
        <v>0.121</v>
      </c>
    </row>
    <row r="2297" spans="1:13">
      <c r="A2297" s="1">
        <f>HYPERLINK("http://www.twitter.com/NathanBLawrence/status/998561561714274306", "998561561714274306")</f>
        <v/>
      </c>
      <c r="B2297" s="2" t="n">
        <v>43241.57642361111</v>
      </c>
      <c r="C2297" t="n">
        <v>0</v>
      </c>
      <c r="D2297" t="n">
        <v>0</v>
      </c>
      <c r="E2297" t="s">
        <v>2304</v>
      </c>
      <c r="F2297" t="s"/>
      <c r="G2297" t="s"/>
      <c r="H2297" t="s"/>
      <c r="I2297" t="s"/>
      <c r="J2297" t="n">
        <v>0</v>
      </c>
      <c r="K2297" t="n">
        <v>0</v>
      </c>
      <c r="L2297" t="n">
        <v>1</v>
      </c>
      <c r="M2297" t="n">
        <v>0</v>
      </c>
    </row>
    <row r="2298" spans="1:13">
      <c r="A2298" s="1">
        <f>HYPERLINK("http://www.twitter.com/NathanBLawrence/status/998560800548835328", "998560800548835328")</f>
        <v/>
      </c>
      <c r="B2298" s="2" t="n">
        <v>43241.57431712963</v>
      </c>
      <c r="C2298" t="n">
        <v>0</v>
      </c>
      <c r="D2298" t="n">
        <v>263</v>
      </c>
      <c r="E2298" t="s">
        <v>2305</v>
      </c>
      <c r="F2298" t="s"/>
      <c r="G2298" t="s"/>
      <c r="H2298" t="s"/>
      <c r="I2298" t="s"/>
      <c r="J2298" t="n">
        <v>-0.7351</v>
      </c>
      <c r="K2298" t="n">
        <v>0.267</v>
      </c>
      <c r="L2298" t="n">
        <v>0.733</v>
      </c>
      <c r="M2298" t="n">
        <v>0</v>
      </c>
    </row>
    <row r="2299" spans="1:13">
      <c r="A2299" s="1">
        <f>HYPERLINK("http://www.twitter.com/NathanBLawrence/status/998560699805728768", "998560699805728768")</f>
        <v/>
      </c>
      <c r="B2299" s="2" t="n">
        <v>43241.57403935185</v>
      </c>
      <c r="C2299" t="n">
        <v>0</v>
      </c>
      <c r="D2299" t="n">
        <v>247</v>
      </c>
      <c r="E2299" t="s">
        <v>2306</v>
      </c>
      <c r="F2299" t="s"/>
      <c r="G2299" t="s"/>
      <c r="H2299" t="s"/>
      <c r="I2299" t="s"/>
      <c r="J2299" t="n">
        <v>0.0922</v>
      </c>
      <c r="K2299" t="n">
        <v>0.161</v>
      </c>
      <c r="L2299" t="n">
        <v>0.727</v>
      </c>
      <c r="M2299" t="n">
        <v>0.112</v>
      </c>
    </row>
    <row r="2300" spans="1:13">
      <c r="A2300" s="1">
        <f>HYPERLINK("http://www.twitter.com/NathanBLawrence/status/998560665580244992", "998560665580244992")</f>
        <v/>
      </c>
      <c r="B2300" s="2" t="n">
        <v>43241.57394675926</v>
      </c>
      <c r="C2300" t="n">
        <v>0</v>
      </c>
      <c r="D2300" t="n">
        <v>348</v>
      </c>
      <c r="E2300" t="s">
        <v>2307</v>
      </c>
      <c r="F2300">
        <f>HYPERLINK("http://pbs.twimg.com/media/DdqyJ0FUQAAXy1j.jpg", "http://pbs.twimg.com/media/DdqyJ0FUQAAXy1j.jpg")</f>
        <v/>
      </c>
      <c r="G2300" t="s"/>
      <c r="H2300" t="s"/>
      <c r="I2300" t="s"/>
      <c r="J2300" t="n">
        <v>0</v>
      </c>
      <c r="K2300" t="n">
        <v>0</v>
      </c>
      <c r="L2300" t="n">
        <v>1</v>
      </c>
      <c r="M2300" t="n">
        <v>0</v>
      </c>
    </row>
    <row r="2301" spans="1:13">
      <c r="A2301" s="1">
        <f>HYPERLINK("http://www.twitter.com/NathanBLawrence/status/998560561272180738", "998560561272180738")</f>
        <v/>
      </c>
      <c r="B2301" s="2" t="n">
        <v>43241.57365740741</v>
      </c>
      <c r="C2301" t="n">
        <v>0</v>
      </c>
      <c r="D2301" t="n">
        <v>2194</v>
      </c>
      <c r="E2301" t="s">
        <v>2308</v>
      </c>
      <c r="F2301" t="s"/>
      <c r="G2301" t="s"/>
      <c r="H2301" t="s"/>
      <c r="I2301" t="s"/>
      <c r="J2301" t="n">
        <v>0.0258</v>
      </c>
      <c r="K2301" t="n">
        <v>0</v>
      </c>
      <c r="L2301" t="n">
        <v>0.954</v>
      </c>
      <c r="M2301" t="n">
        <v>0.046</v>
      </c>
    </row>
    <row r="2302" spans="1:13">
      <c r="A2302" s="1">
        <f>HYPERLINK("http://www.twitter.com/NathanBLawrence/status/998560502530834432", "998560502530834432")</f>
        <v/>
      </c>
      <c r="B2302" s="2" t="n">
        <v>43241.57349537037</v>
      </c>
      <c r="C2302" t="n">
        <v>0</v>
      </c>
      <c r="D2302" t="n">
        <v>5599</v>
      </c>
      <c r="E2302" t="s">
        <v>2309</v>
      </c>
      <c r="F2302" t="s"/>
      <c r="G2302" t="s"/>
      <c r="H2302" t="s"/>
      <c r="I2302" t="s"/>
      <c r="J2302" t="n">
        <v>0</v>
      </c>
      <c r="K2302" t="n">
        <v>0</v>
      </c>
      <c r="L2302" t="n">
        <v>1</v>
      </c>
      <c r="M2302" t="n">
        <v>0</v>
      </c>
    </row>
    <row r="2303" spans="1:13">
      <c r="A2303" s="1">
        <f>HYPERLINK("http://www.twitter.com/NathanBLawrence/status/998560476400357376", "998560476400357376")</f>
        <v/>
      </c>
      <c r="B2303" s="2" t="n">
        <v>43241.57342592593</v>
      </c>
      <c r="C2303" t="n">
        <v>0</v>
      </c>
      <c r="D2303" t="n">
        <v>149</v>
      </c>
      <c r="E2303" t="s">
        <v>2310</v>
      </c>
      <c r="F2303" t="s"/>
      <c r="G2303" t="s"/>
      <c r="H2303" t="s"/>
      <c r="I2303" t="s"/>
      <c r="J2303" t="n">
        <v>0.8591</v>
      </c>
      <c r="K2303" t="n">
        <v>0</v>
      </c>
      <c r="L2303" t="n">
        <v>0.612</v>
      </c>
      <c r="M2303" t="n">
        <v>0.388</v>
      </c>
    </row>
    <row r="2304" spans="1:13">
      <c r="A2304" s="1">
        <f>HYPERLINK("http://www.twitter.com/NathanBLawrence/status/998560429579341825", "998560429579341825")</f>
        <v/>
      </c>
      <c r="B2304" s="2" t="n">
        <v>43241.57329861111</v>
      </c>
      <c r="C2304" t="n">
        <v>0</v>
      </c>
      <c r="D2304" t="n">
        <v>5003</v>
      </c>
      <c r="E2304" t="s">
        <v>2311</v>
      </c>
      <c r="F2304" t="s"/>
      <c r="G2304" t="s"/>
      <c r="H2304" t="s"/>
      <c r="I2304" t="s"/>
      <c r="J2304" t="n">
        <v>0</v>
      </c>
      <c r="K2304" t="n">
        <v>0</v>
      </c>
      <c r="L2304" t="n">
        <v>1</v>
      </c>
      <c r="M2304" t="n">
        <v>0</v>
      </c>
    </row>
    <row r="2305" spans="1:13">
      <c r="A2305" s="1">
        <f>HYPERLINK("http://www.twitter.com/NathanBLawrence/status/998560364097953792", "998560364097953792")</f>
        <v/>
      </c>
      <c r="B2305" s="2" t="n">
        <v>43241.57311342593</v>
      </c>
      <c r="C2305" t="n">
        <v>0</v>
      </c>
      <c r="D2305" t="n">
        <v>2059</v>
      </c>
      <c r="E2305" t="s">
        <v>2312</v>
      </c>
      <c r="F2305">
        <f>HYPERLINK("http://pbs.twimg.com/media/Ddr_RC9VQAcjg-d.jpg", "http://pbs.twimg.com/media/Ddr_RC9VQAcjg-d.jpg")</f>
        <v/>
      </c>
      <c r="G2305" t="s"/>
      <c r="H2305" t="s"/>
      <c r="I2305" t="s"/>
      <c r="J2305" t="n">
        <v>0.2732</v>
      </c>
      <c r="K2305" t="n">
        <v>0</v>
      </c>
      <c r="L2305" t="n">
        <v>0.916</v>
      </c>
      <c r="M2305" t="n">
        <v>0.08400000000000001</v>
      </c>
    </row>
    <row r="2306" spans="1:13">
      <c r="A2306" s="1">
        <f>HYPERLINK("http://www.twitter.com/NathanBLawrence/status/998560322284859392", "998560322284859392")</f>
        <v/>
      </c>
      <c r="B2306" s="2" t="n">
        <v>43241.57299768519</v>
      </c>
      <c r="C2306" t="n">
        <v>0</v>
      </c>
      <c r="D2306" t="n">
        <v>633</v>
      </c>
      <c r="E2306" t="s">
        <v>2313</v>
      </c>
      <c r="F2306" t="s"/>
      <c r="G2306" t="s"/>
      <c r="H2306" t="s"/>
      <c r="I2306" t="s"/>
      <c r="J2306" t="n">
        <v>-0.6124000000000001</v>
      </c>
      <c r="K2306" t="n">
        <v>0.4</v>
      </c>
      <c r="L2306" t="n">
        <v>0.6</v>
      </c>
      <c r="M2306" t="n">
        <v>0</v>
      </c>
    </row>
    <row r="2307" spans="1:13">
      <c r="A2307" s="1">
        <f>HYPERLINK("http://www.twitter.com/NathanBLawrence/status/998560289590267905", "998560289590267905")</f>
        <v/>
      </c>
      <c r="B2307" s="2" t="n">
        <v>43241.57291666666</v>
      </c>
      <c r="C2307" t="n">
        <v>0</v>
      </c>
      <c r="D2307" t="n">
        <v>163</v>
      </c>
      <c r="E2307" t="s">
        <v>2314</v>
      </c>
      <c r="F2307">
        <f>HYPERLINK("http://pbs.twimg.com/media/Ddh-8ujU8AAdrQQ.jpg", "http://pbs.twimg.com/media/Ddh-8ujU8AAdrQQ.jpg")</f>
        <v/>
      </c>
      <c r="G2307" t="s"/>
      <c r="H2307" t="s"/>
      <c r="I2307" t="s"/>
      <c r="J2307" t="n">
        <v>-0.34</v>
      </c>
      <c r="K2307" t="n">
        <v>0.152</v>
      </c>
      <c r="L2307" t="n">
        <v>0.848</v>
      </c>
      <c r="M2307" t="n">
        <v>0</v>
      </c>
    </row>
    <row r="2308" spans="1:13">
      <c r="A2308" s="1">
        <f>HYPERLINK("http://www.twitter.com/NathanBLawrence/status/998558288844386304", "998558288844386304")</f>
        <v/>
      </c>
      <c r="B2308" s="2" t="n">
        <v>43241.56739583334</v>
      </c>
      <c r="C2308" t="n">
        <v>0</v>
      </c>
      <c r="D2308" t="n">
        <v>68</v>
      </c>
      <c r="E2308" t="s">
        <v>2315</v>
      </c>
      <c r="F2308">
        <f>HYPERLINK("http://pbs.twimg.com/media/Ddt99VQU0AEcmEk.jpg", "http://pbs.twimg.com/media/Ddt99VQU0AEcmEk.jpg")</f>
        <v/>
      </c>
      <c r="G2308" t="s"/>
      <c r="H2308" t="s"/>
      <c r="I2308" t="s"/>
      <c r="J2308" t="n">
        <v>0.5266999999999999</v>
      </c>
      <c r="K2308" t="n">
        <v>0</v>
      </c>
      <c r="L2308" t="n">
        <v>0.8149999999999999</v>
      </c>
      <c r="M2308" t="n">
        <v>0.185</v>
      </c>
    </row>
    <row r="2309" spans="1:13">
      <c r="A2309" s="1">
        <f>HYPERLINK("http://www.twitter.com/NathanBLawrence/status/998558217855754241", "998558217855754241")</f>
        <v/>
      </c>
      <c r="B2309" s="2" t="n">
        <v>43241.56719907407</v>
      </c>
      <c r="C2309" t="n">
        <v>0</v>
      </c>
      <c r="D2309" t="n">
        <v>320</v>
      </c>
      <c r="E2309" t="s">
        <v>2316</v>
      </c>
      <c r="F2309">
        <f>HYPERLINK("http://pbs.twimg.com/media/DduV_GbU8AAv8l1.jpg", "http://pbs.twimg.com/media/DduV_GbU8AAv8l1.jpg")</f>
        <v/>
      </c>
      <c r="G2309" t="s"/>
      <c r="H2309" t="s"/>
      <c r="I2309" t="s"/>
      <c r="J2309" t="n">
        <v>0.8074</v>
      </c>
      <c r="K2309" t="n">
        <v>0</v>
      </c>
      <c r="L2309" t="n">
        <v>0.7</v>
      </c>
      <c r="M2309" t="n">
        <v>0.3</v>
      </c>
    </row>
    <row r="2310" spans="1:13">
      <c r="A2310" s="1">
        <f>HYPERLINK("http://www.twitter.com/NathanBLawrence/status/998558199145029632", "998558199145029632")</f>
        <v/>
      </c>
      <c r="B2310" s="2" t="n">
        <v>43241.5671412037</v>
      </c>
      <c r="C2310" t="n">
        <v>0</v>
      </c>
      <c r="D2310" t="n">
        <v>30</v>
      </c>
      <c r="E2310" t="s">
        <v>2317</v>
      </c>
      <c r="F2310">
        <f>HYPERLINK("http://pbs.twimg.com/media/DdLeSiiWkAEnAG1.jpg", "http://pbs.twimg.com/media/DdLeSiiWkAEnAG1.jpg")</f>
        <v/>
      </c>
      <c r="G2310" t="s"/>
      <c r="H2310" t="s"/>
      <c r="I2310" t="s"/>
      <c r="J2310" t="n">
        <v>0</v>
      </c>
      <c r="K2310" t="n">
        <v>0</v>
      </c>
      <c r="L2310" t="n">
        <v>1</v>
      </c>
      <c r="M2310" t="n">
        <v>0</v>
      </c>
    </row>
    <row r="2311" spans="1:13">
      <c r="A2311" s="1">
        <f>HYPERLINK("http://www.twitter.com/NathanBLawrence/status/998557526898724865", "998557526898724865")</f>
        <v/>
      </c>
      <c r="B2311" s="2" t="n">
        <v>43241.56528935185</v>
      </c>
      <c r="C2311" t="n">
        <v>0</v>
      </c>
      <c r="D2311" t="n">
        <v>426</v>
      </c>
      <c r="E2311" t="s">
        <v>2318</v>
      </c>
      <c r="F2311">
        <f>HYPERLINK("https://video.twimg.com/ext_tw_video/966343412696809472/pu/vid/720x1280/3o3ilYGTrw75nZ0I.mp4", "https://video.twimg.com/ext_tw_video/966343412696809472/pu/vid/720x1280/3o3ilYGTrw75nZ0I.mp4")</f>
        <v/>
      </c>
      <c r="G2311" t="s"/>
      <c r="H2311" t="s"/>
      <c r="I2311" t="s"/>
      <c r="J2311" t="n">
        <v>0</v>
      </c>
      <c r="K2311" t="n">
        <v>0</v>
      </c>
      <c r="L2311" t="n">
        <v>1</v>
      </c>
      <c r="M2311" t="n">
        <v>0</v>
      </c>
    </row>
    <row r="2312" spans="1:13">
      <c r="A2312" s="1">
        <f>HYPERLINK("http://www.twitter.com/NathanBLawrence/status/998556808355643392", "998556808355643392")</f>
        <v/>
      </c>
      <c r="B2312" s="2" t="n">
        <v>43241.56331018519</v>
      </c>
      <c r="C2312" t="n">
        <v>0</v>
      </c>
      <c r="D2312" t="n">
        <v>18374</v>
      </c>
      <c r="E2312" t="s">
        <v>2319</v>
      </c>
      <c r="F2312">
        <f>HYPERLINK("https://video.twimg.com/ext_tw_video/994933493728776193/pu/vid/720x1280/SeCe1lhYySEv-fP4.mp4?tag=3", "https://video.twimg.com/ext_tw_video/994933493728776193/pu/vid/720x1280/SeCe1lhYySEv-fP4.mp4?tag=3")</f>
        <v/>
      </c>
      <c r="G2312" t="s"/>
      <c r="H2312" t="s"/>
      <c r="I2312" t="s"/>
      <c r="J2312" t="n">
        <v>0</v>
      </c>
      <c r="K2312" t="n">
        <v>0</v>
      </c>
      <c r="L2312" t="n">
        <v>1</v>
      </c>
      <c r="M2312" t="n">
        <v>0</v>
      </c>
    </row>
    <row r="2313" spans="1:13">
      <c r="A2313" s="1">
        <f>HYPERLINK("http://www.twitter.com/NathanBLawrence/status/998556477882294274", "998556477882294274")</f>
        <v/>
      </c>
      <c r="B2313" s="2" t="n">
        <v>43241.56239583333</v>
      </c>
      <c r="C2313" t="n">
        <v>0</v>
      </c>
      <c r="D2313" t="n">
        <v>146</v>
      </c>
      <c r="E2313" t="s">
        <v>2320</v>
      </c>
      <c r="F2313">
        <f>HYPERLINK("https://video.twimg.com/amplify_video/998522326479187969/vid/1280x720/q23SNEBWBEzj37vy.mp4?tag=2", "https://video.twimg.com/amplify_video/998522326479187969/vid/1280x720/q23SNEBWBEzj37vy.mp4?tag=2")</f>
        <v/>
      </c>
      <c r="G2313" t="s"/>
      <c r="H2313" t="s"/>
      <c r="I2313" t="s"/>
      <c r="J2313" t="n">
        <v>0.3818</v>
      </c>
      <c r="K2313" t="n">
        <v>0</v>
      </c>
      <c r="L2313" t="n">
        <v>0.867</v>
      </c>
      <c r="M2313" t="n">
        <v>0.133</v>
      </c>
    </row>
    <row r="2314" spans="1:13">
      <c r="A2314" s="1">
        <f>HYPERLINK("http://www.twitter.com/NathanBLawrence/status/998556344096452608", "998556344096452608")</f>
        <v/>
      </c>
      <c r="B2314" s="2" t="n">
        <v>43241.56202546296</v>
      </c>
      <c r="C2314" t="n">
        <v>0</v>
      </c>
      <c r="D2314" t="n">
        <v>13077</v>
      </c>
      <c r="E2314" t="s">
        <v>2321</v>
      </c>
      <c r="F2314">
        <f>HYPERLINK("https://video.twimg.com/amplify_video/998418641875070976/vid/1280x720/Gs95a_TP5T_4gH-i.mp4?tag=2", "https://video.twimg.com/amplify_video/998418641875070976/vid/1280x720/Gs95a_TP5T_4gH-i.mp4?tag=2")</f>
        <v/>
      </c>
      <c r="G2314" t="s"/>
      <c r="H2314" t="s"/>
      <c r="I2314" t="s"/>
      <c r="J2314" t="n">
        <v>0.2023</v>
      </c>
      <c r="K2314" t="n">
        <v>0</v>
      </c>
      <c r="L2314" t="n">
        <v>0.913</v>
      </c>
      <c r="M2314" t="n">
        <v>0.08699999999999999</v>
      </c>
    </row>
    <row r="2315" spans="1:13">
      <c r="A2315" s="1">
        <f>HYPERLINK("http://www.twitter.com/NathanBLawrence/status/998556007256199169", "998556007256199169")</f>
        <v/>
      </c>
      <c r="B2315" s="2" t="n">
        <v>43241.56109953704</v>
      </c>
      <c r="C2315" t="n">
        <v>0</v>
      </c>
      <c r="D2315" t="n">
        <v>479</v>
      </c>
      <c r="E2315" t="s">
        <v>2322</v>
      </c>
      <c r="F2315">
        <f>HYPERLINK("https://video.twimg.com/amplify_video/998227945708752896/vid/720x720/61rn5roj8r1_MkdE.mp4?tag=2", "https://video.twimg.com/amplify_video/998227945708752896/vid/720x720/61rn5roj8r1_MkdE.mp4?tag=2")</f>
        <v/>
      </c>
      <c r="G2315" t="s"/>
      <c r="H2315" t="s"/>
      <c r="I2315" t="s"/>
      <c r="J2315" t="n">
        <v>0.3818</v>
      </c>
      <c r="K2315" t="n">
        <v>0</v>
      </c>
      <c r="L2315" t="n">
        <v>0.874</v>
      </c>
      <c r="M2315" t="n">
        <v>0.126</v>
      </c>
    </row>
    <row r="2316" spans="1:13">
      <c r="A2316" s="1">
        <f>HYPERLINK("http://www.twitter.com/NathanBLawrence/status/998555856001257472", "998555856001257472")</f>
        <v/>
      </c>
      <c r="B2316" s="2" t="n">
        <v>43241.5606712963</v>
      </c>
      <c r="C2316" t="n">
        <v>0</v>
      </c>
      <c r="D2316" t="n">
        <v>334</v>
      </c>
      <c r="E2316" t="s">
        <v>2323</v>
      </c>
      <c r="F2316" t="s"/>
      <c r="G2316" t="s"/>
      <c r="H2316" t="s"/>
      <c r="I2316" t="s"/>
      <c r="J2316" t="n">
        <v>-0.5994</v>
      </c>
      <c r="K2316" t="n">
        <v>0.214</v>
      </c>
      <c r="L2316" t="n">
        <v>0.786</v>
      </c>
      <c r="M2316" t="n">
        <v>0</v>
      </c>
    </row>
    <row r="2317" spans="1:13">
      <c r="A2317" s="1">
        <f>HYPERLINK("http://www.twitter.com/NathanBLawrence/status/998555805023703042", "998555805023703042")</f>
        <v/>
      </c>
      <c r="B2317" s="2" t="n">
        <v>43241.56053240741</v>
      </c>
      <c r="C2317" t="n">
        <v>0</v>
      </c>
      <c r="D2317" t="n">
        <v>158</v>
      </c>
      <c r="E2317" t="s">
        <v>2324</v>
      </c>
      <c r="F2317">
        <f>HYPERLINK("http://pbs.twimg.com/media/DduJanxV0AAcIdY.jpg", "http://pbs.twimg.com/media/DduJanxV0AAcIdY.jpg")</f>
        <v/>
      </c>
      <c r="G2317">
        <f>HYPERLINK("http://pbs.twimg.com/media/DduJbCIU0AA8Ymc.jpg", "http://pbs.twimg.com/media/DduJbCIU0AA8Ymc.jpg")</f>
        <v/>
      </c>
      <c r="H2317">
        <f>HYPERLINK("http://pbs.twimg.com/media/DduJbK5VwAIZXvr.jpg", "http://pbs.twimg.com/media/DduJbK5VwAIZXvr.jpg")</f>
        <v/>
      </c>
      <c r="I2317">
        <f>HYPERLINK("http://pbs.twimg.com/media/DduJbjvUQAAjNEF.jpg", "http://pbs.twimg.com/media/DduJbjvUQAAjNEF.jpg")</f>
        <v/>
      </c>
      <c r="J2317" t="n">
        <v>0.846</v>
      </c>
      <c r="K2317" t="n">
        <v>0.07099999999999999</v>
      </c>
      <c r="L2317" t="n">
        <v>0.618</v>
      </c>
      <c r="M2317" t="n">
        <v>0.311</v>
      </c>
    </row>
    <row r="2318" spans="1:13">
      <c r="A2318" s="1">
        <f>HYPERLINK("http://www.twitter.com/NathanBLawrence/status/998555490702544896", "998555490702544896")</f>
        <v/>
      </c>
      <c r="B2318" s="2" t="n">
        <v>43241.55966435185</v>
      </c>
      <c r="C2318" t="n">
        <v>0</v>
      </c>
      <c r="D2318" t="n">
        <v>3</v>
      </c>
      <c r="E2318" t="s">
        <v>2325</v>
      </c>
      <c r="F2318" t="s"/>
      <c r="G2318" t="s"/>
      <c r="H2318" t="s"/>
      <c r="I2318" t="s"/>
      <c r="J2318" t="n">
        <v>-0.4588</v>
      </c>
      <c r="K2318" t="n">
        <v>0.13</v>
      </c>
      <c r="L2318" t="n">
        <v>0.87</v>
      </c>
      <c r="M2318" t="n">
        <v>0</v>
      </c>
    </row>
    <row r="2319" spans="1:13">
      <c r="A2319" s="1">
        <f>HYPERLINK("http://www.twitter.com/NathanBLawrence/status/998555441302048768", "998555441302048768")</f>
        <v/>
      </c>
      <c r="B2319" s="2" t="n">
        <v>43241.55953703704</v>
      </c>
      <c r="C2319" t="n">
        <v>0</v>
      </c>
      <c r="D2319" t="n">
        <v>1</v>
      </c>
      <c r="E2319" t="s">
        <v>2326</v>
      </c>
      <c r="F2319" t="s"/>
      <c r="G2319" t="s"/>
      <c r="H2319" t="s"/>
      <c r="I2319" t="s"/>
      <c r="J2319" t="n">
        <v>-0.4927</v>
      </c>
      <c r="K2319" t="n">
        <v>0.16</v>
      </c>
      <c r="L2319" t="n">
        <v>0.84</v>
      </c>
      <c r="M2319" t="n">
        <v>0</v>
      </c>
    </row>
    <row r="2320" spans="1:13">
      <c r="A2320" s="1">
        <f>HYPERLINK("http://www.twitter.com/NathanBLawrence/status/998555129635917825", "998555129635917825")</f>
        <v/>
      </c>
      <c r="B2320" s="2" t="n">
        <v>43241.55866898148</v>
      </c>
      <c r="C2320" t="n">
        <v>0</v>
      </c>
      <c r="D2320" t="n">
        <v>542</v>
      </c>
      <c r="E2320" t="s">
        <v>2327</v>
      </c>
      <c r="F2320" t="s"/>
      <c r="G2320" t="s"/>
      <c r="H2320" t="s"/>
      <c r="I2320" t="s"/>
      <c r="J2320" t="n">
        <v>0.504</v>
      </c>
      <c r="K2320" t="n">
        <v>0</v>
      </c>
      <c r="L2320" t="n">
        <v>0.871</v>
      </c>
      <c r="M2320" t="n">
        <v>0.129</v>
      </c>
    </row>
    <row r="2321" spans="1:13">
      <c r="A2321" s="1">
        <f>HYPERLINK("http://www.twitter.com/NathanBLawrence/status/998546037261336576", "998546037261336576")</f>
        <v/>
      </c>
      <c r="B2321" s="2" t="n">
        <v>43241.53358796296</v>
      </c>
      <c r="C2321" t="n">
        <v>1</v>
      </c>
      <c r="D2321" t="n">
        <v>0</v>
      </c>
      <c r="E2321" t="s">
        <v>2328</v>
      </c>
      <c r="F2321" t="s"/>
      <c r="G2321" t="s"/>
      <c r="H2321" t="s"/>
      <c r="I2321" t="s"/>
      <c r="J2321" t="n">
        <v>0.058</v>
      </c>
      <c r="K2321" t="n">
        <v>0.068</v>
      </c>
      <c r="L2321" t="n">
        <v>0.8149999999999999</v>
      </c>
      <c r="M2321" t="n">
        <v>0.117</v>
      </c>
    </row>
    <row r="2322" spans="1:13">
      <c r="A2322" s="1">
        <f>HYPERLINK("http://www.twitter.com/NathanBLawrence/status/998545553855336448", "998545553855336448")</f>
        <v/>
      </c>
      <c r="B2322" s="2" t="n">
        <v>43241.53224537037</v>
      </c>
      <c r="C2322" t="n">
        <v>0</v>
      </c>
      <c r="D2322" t="n">
        <v>15</v>
      </c>
      <c r="E2322" t="s">
        <v>2329</v>
      </c>
      <c r="F2322" t="s"/>
      <c r="G2322" t="s"/>
      <c r="H2322" t="s"/>
      <c r="I2322" t="s"/>
      <c r="J2322" t="n">
        <v>0.2878</v>
      </c>
      <c r="K2322" t="n">
        <v>0</v>
      </c>
      <c r="L2322" t="n">
        <v>0.902</v>
      </c>
      <c r="M2322" t="n">
        <v>0.098</v>
      </c>
    </row>
    <row r="2323" spans="1:13">
      <c r="A2323" s="1">
        <f>HYPERLINK("http://www.twitter.com/NathanBLawrence/status/998545520669978625", "998545520669978625")</f>
        <v/>
      </c>
      <c r="B2323" s="2" t="n">
        <v>43241.53215277778</v>
      </c>
      <c r="C2323" t="n">
        <v>0</v>
      </c>
      <c r="D2323" t="n">
        <v>3</v>
      </c>
      <c r="E2323" t="s">
        <v>2330</v>
      </c>
      <c r="F2323" t="s"/>
      <c r="G2323" t="s"/>
      <c r="H2323" t="s"/>
      <c r="I2323" t="s"/>
      <c r="J2323" t="n">
        <v>0.4389</v>
      </c>
      <c r="K2323" t="n">
        <v>0</v>
      </c>
      <c r="L2323" t="n">
        <v>0.847</v>
      </c>
      <c r="M2323" t="n">
        <v>0.153</v>
      </c>
    </row>
    <row r="2324" spans="1:13">
      <c r="A2324" s="1">
        <f>HYPERLINK("http://www.twitter.com/NathanBLawrence/status/998544170603175936", "998544170603175936")</f>
        <v/>
      </c>
      <c r="B2324" s="2" t="n">
        <v>43241.52842592593</v>
      </c>
      <c r="C2324" t="n">
        <v>1</v>
      </c>
      <c r="D2324" t="n">
        <v>0</v>
      </c>
      <c r="E2324" t="s">
        <v>2331</v>
      </c>
      <c r="F2324" t="s"/>
      <c r="G2324" t="s"/>
      <c r="H2324" t="s"/>
      <c r="I2324" t="s"/>
      <c r="J2324" t="n">
        <v>0</v>
      </c>
      <c r="K2324" t="n">
        <v>0</v>
      </c>
      <c r="L2324" t="n">
        <v>1</v>
      </c>
      <c r="M2324" t="n">
        <v>0</v>
      </c>
    </row>
    <row r="2325" spans="1:13">
      <c r="A2325" s="1">
        <f>HYPERLINK("http://www.twitter.com/NathanBLawrence/status/998543009745547264", "998543009745547264")</f>
        <v/>
      </c>
      <c r="B2325" s="2" t="n">
        <v>43241.52523148148</v>
      </c>
      <c r="C2325" t="n">
        <v>0</v>
      </c>
      <c r="D2325" t="n">
        <v>0</v>
      </c>
      <c r="E2325" t="s">
        <v>2332</v>
      </c>
      <c r="F2325" t="s"/>
      <c r="G2325" t="s"/>
      <c r="H2325" t="s"/>
      <c r="I2325" t="s"/>
      <c r="J2325" t="n">
        <v>-0.5994</v>
      </c>
      <c r="K2325" t="n">
        <v>0.119</v>
      </c>
      <c r="L2325" t="n">
        <v>0.881</v>
      </c>
      <c r="M2325" t="n">
        <v>0</v>
      </c>
    </row>
    <row r="2326" spans="1:13">
      <c r="A2326" s="1">
        <f>HYPERLINK("http://www.twitter.com/NathanBLawrence/status/998539586883276802", "998539586883276802")</f>
        <v/>
      </c>
      <c r="B2326" s="2" t="n">
        <v>43241.51578703704</v>
      </c>
      <c r="C2326" t="n">
        <v>0</v>
      </c>
      <c r="D2326" t="n">
        <v>1520</v>
      </c>
      <c r="E2326" t="s">
        <v>2333</v>
      </c>
      <c r="F2326">
        <f>HYPERLINK("http://pbs.twimg.com/media/DdqjEnFVQAA49VS.jpg", "http://pbs.twimg.com/media/DdqjEnFVQAA49VS.jpg")</f>
        <v/>
      </c>
      <c r="G2326" t="s"/>
      <c r="H2326" t="s"/>
      <c r="I2326" t="s"/>
      <c r="J2326" t="n">
        <v>0.6249</v>
      </c>
      <c r="K2326" t="n">
        <v>0</v>
      </c>
      <c r="L2326" t="n">
        <v>0.843</v>
      </c>
      <c r="M2326" t="n">
        <v>0.157</v>
      </c>
    </row>
    <row r="2327" spans="1:13">
      <c r="A2327" s="1">
        <f>HYPERLINK("http://www.twitter.com/NathanBLawrence/status/998539451994443776", "998539451994443776")</f>
        <v/>
      </c>
      <c r="B2327" s="2" t="n">
        <v>43241.51540509259</v>
      </c>
      <c r="C2327" t="n">
        <v>0</v>
      </c>
      <c r="D2327" t="n">
        <v>3832</v>
      </c>
      <c r="E2327" t="s">
        <v>2334</v>
      </c>
      <c r="F2327" t="s"/>
      <c r="G2327" t="s"/>
      <c r="H2327" t="s"/>
      <c r="I2327" t="s"/>
      <c r="J2327" t="n">
        <v>-0.5093</v>
      </c>
      <c r="K2327" t="n">
        <v>0.136</v>
      </c>
      <c r="L2327" t="n">
        <v>0.864</v>
      </c>
      <c r="M2327" t="n">
        <v>0</v>
      </c>
    </row>
    <row r="2328" spans="1:13">
      <c r="A2328" s="1">
        <f>HYPERLINK("http://www.twitter.com/NathanBLawrence/status/998539140735160320", "998539140735160320")</f>
        <v/>
      </c>
      <c r="B2328" s="2" t="n">
        <v>43241.51454861111</v>
      </c>
      <c r="C2328" t="n">
        <v>0</v>
      </c>
      <c r="D2328" t="n">
        <v>173</v>
      </c>
      <c r="E2328" t="s">
        <v>2335</v>
      </c>
      <c r="F2328" t="s"/>
      <c r="G2328" t="s"/>
      <c r="H2328" t="s"/>
      <c r="I2328" t="s"/>
      <c r="J2328" t="n">
        <v>0</v>
      </c>
      <c r="K2328" t="n">
        <v>0</v>
      </c>
      <c r="L2328" t="n">
        <v>1</v>
      </c>
      <c r="M2328" t="n">
        <v>0</v>
      </c>
    </row>
    <row r="2329" spans="1:13">
      <c r="A2329" s="1">
        <f>HYPERLINK("http://www.twitter.com/NathanBLawrence/status/998539073567502337", "998539073567502337")</f>
        <v/>
      </c>
      <c r="B2329" s="2" t="n">
        <v>43241.51436342593</v>
      </c>
      <c r="C2329" t="n">
        <v>0</v>
      </c>
      <c r="D2329" t="n">
        <v>2044</v>
      </c>
      <c r="E2329" t="s">
        <v>2336</v>
      </c>
      <c r="F2329" t="s"/>
      <c r="G2329" t="s"/>
      <c r="H2329" t="s"/>
      <c r="I2329" t="s"/>
      <c r="J2329" t="n">
        <v>-0.25</v>
      </c>
      <c r="K2329" t="n">
        <v>0.121</v>
      </c>
      <c r="L2329" t="n">
        <v>0.795</v>
      </c>
      <c r="M2329" t="n">
        <v>0.083</v>
      </c>
    </row>
    <row r="2330" spans="1:13">
      <c r="A2330" s="1">
        <f>HYPERLINK("http://www.twitter.com/NathanBLawrence/status/998538963911659520", "998538963911659520")</f>
        <v/>
      </c>
      <c r="B2330" s="2" t="n">
        <v>43241.5140625</v>
      </c>
      <c r="C2330" t="n">
        <v>0</v>
      </c>
      <c r="D2330" t="n">
        <v>6733</v>
      </c>
      <c r="E2330" t="s">
        <v>2337</v>
      </c>
      <c r="F2330" t="s"/>
      <c r="G2330" t="s"/>
      <c r="H2330" t="s"/>
      <c r="I2330" t="s"/>
      <c r="J2330" t="n">
        <v>-0.6369</v>
      </c>
      <c r="K2330" t="n">
        <v>0.206</v>
      </c>
      <c r="L2330" t="n">
        <v>0.794</v>
      </c>
      <c r="M2330" t="n">
        <v>0</v>
      </c>
    </row>
    <row r="2331" spans="1:13">
      <c r="A2331" s="1">
        <f>HYPERLINK("http://www.twitter.com/NathanBLawrence/status/998538810265751552", "998538810265751552")</f>
        <v/>
      </c>
      <c r="B2331" s="2" t="n">
        <v>43241.51363425926</v>
      </c>
      <c r="C2331" t="n">
        <v>0</v>
      </c>
      <c r="D2331" t="n">
        <v>220</v>
      </c>
      <c r="E2331" t="s">
        <v>2338</v>
      </c>
      <c r="F2331" t="s"/>
      <c r="G2331" t="s"/>
      <c r="H2331" t="s"/>
      <c r="I2331" t="s"/>
      <c r="J2331" t="n">
        <v>-0.6486</v>
      </c>
      <c r="K2331" t="n">
        <v>0.218</v>
      </c>
      <c r="L2331" t="n">
        <v>0.782</v>
      </c>
      <c r="M2331" t="n">
        <v>0</v>
      </c>
    </row>
    <row r="2332" spans="1:13">
      <c r="A2332" s="1">
        <f>HYPERLINK("http://www.twitter.com/NathanBLawrence/status/998538665130422272", "998538665130422272")</f>
        <v/>
      </c>
      <c r="B2332" s="2" t="n">
        <v>43241.51324074074</v>
      </c>
      <c r="C2332" t="n">
        <v>0</v>
      </c>
      <c r="D2332" t="n">
        <v>9</v>
      </c>
      <c r="E2332" t="s">
        <v>2339</v>
      </c>
      <c r="F2332" t="s"/>
      <c r="G2332" t="s"/>
      <c r="H2332" t="s"/>
      <c r="I2332" t="s"/>
      <c r="J2332" t="n">
        <v>0.4574</v>
      </c>
      <c r="K2332" t="n">
        <v>0</v>
      </c>
      <c r="L2332" t="n">
        <v>0.77</v>
      </c>
      <c r="M2332" t="n">
        <v>0.23</v>
      </c>
    </row>
    <row r="2333" spans="1:13">
      <c r="A2333" s="1">
        <f>HYPERLINK("http://www.twitter.com/NathanBLawrence/status/998538610700939264", "998538610700939264")</f>
        <v/>
      </c>
      <c r="B2333" s="2" t="n">
        <v>43241.51309027777</v>
      </c>
      <c r="C2333" t="n">
        <v>0</v>
      </c>
      <c r="D2333" t="n">
        <v>2</v>
      </c>
      <c r="E2333" t="s">
        <v>2340</v>
      </c>
      <c r="F2333" t="s"/>
      <c r="G2333" t="s"/>
      <c r="H2333" t="s"/>
      <c r="I2333" t="s"/>
      <c r="J2333" t="n">
        <v>-0.4939</v>
      </c>
      <c r="K2333" t="n">
        <v>0.174</v>
      </c>
      <c r="L2333" t="n">
        <v>0.826</v>
      </c>
      <c r="M2333" t="n">
        <v>0</v>
      </c>
    </row>
    <row r="2334" spans="1:13">
      <c r="A2334" s="1">
        <f>HYPERLINK("http://www.twitter.com/NathanBLawrence/status/998538476290265089", "998538476290265089")</f>
        <v/>
      </c>
      <c r="B2334" s="2" t="n">
        <v>43241.5127199074</v>
      </c>
      <c r="C2334" t="n">
        <v>0</v>
      </c>
      <c r="D2334" t="n">
        <v>5512</v>
      </c>
      <c r="E2334" t="s">
        <v>2341</v>
      </c>
      <c r="F2334" t="s"/>
      <c r="G2334" t="s"/>
      <c r="H2334" t="s"/>
      <c r="I2334" t="s"/>
      <c r="J2334" t="n">
        <v>-0.4767</v>
      </c>
      <c r="K2334" t="n">
        <v>0.129</v>
      </c>
      <c r="L2334" t="n">
        <v>0.871</v>
      </c>
      <c r="M2334" t="n">
        <v>0</v>
      </c>
    </row>
    <row r="2335" spans="1:13">
      <c r="A2335" s="1">
        <f>HYPERLINK("http://www.twitter.com/NathanBLawrence/status/998538419327455237", "998538419327455237")</f>
        <v/>
      </c>
      <c r="B2335" s="2" t="n">
        <v>43241.51255787037</v>
      </c>
      <c r="C2335" t="n">
        <v>0</v>
      </c>
      <c r="D2335" t="n">
        <v>3032</v>
      </c>
      <c r="E2335" t="s">
        <v>2342</v>
      </c>
      <c r="F2335" t="s"/>
      <c r="G2335" t="s"/>
      <c r="H2335" t="s"/>
      <c r="I2335" t="s"/>
      <c r="J2335" t="n">
        <v>0.25</v>
      </c>
      <c r="K2335" t="n">
        <v>0</v>
      </c>
      <c r="L2335" t="n">
        <v>0.92</v>
      </c>
      <c r="M2335" t="n">
        <v>0.08</v>
      </c>
    </row>
    <row r="2336" spans="1:13">
      <c r="A2336" s="1">
        <f>HYPERLINK("http://www.twitter.com/NathanBLawrence/status/998538312745971714", "998538312745971714")</f>
        <v/>
      </c>
      <c r="B2336" s="2" t="n">
        <v>43241.51226851852</v>
      </c>
      <c r="C2336" t="n">
        <v>0</v>
      </c>
      <c r="D2336" t="n">
        <v>5262</v>
      </c>
      <c r="E2336" t="s">
        <v>1125</v>
      </c>
      <c r="F2336" t="s"/>
      <c r="G2336" t="s"/>
      <c r="H2336" t="s"/>
      <c r="I2336" t="s"/>
      <c r="J2336" t="n">
        <v>0</v>
      </c>
      <c r="K2336" t="n">
        <v>0</v>
      </c>
      <c r="L2336" t="n">
        <v>1</v>
      </c>
      <c r="M2336" t="n">
        <v>0</v>
      </c>
    </row>
    <row r="2337" spans="1:13">
      <c r="A2337" s="1">
        <f>HYPERLINK("http://www.twitter.com/NathanBLawrence/status/998538260342362112", "998538260342362112")</f>
        <v/>
      </c>
      <c r="B2337" s="2" t="n">
        <v>43241.51211805556</v>
      </c>
      <c r="C2337" t="n">
        <v>0</v>
      </c>
      <c r="D2337" t="n">
        <v>13692</v>
      </c>
      <c r="E2337" t="s">
        <v>2343</v>
      </c>
      <c r="F2337" t="s"/>
      <c r="G2337" t="s"/>
      <c r="H2337" t="s"/>
      <c r="I2337" t="s"/>
      <c r="J2337" t="n">
        <v>0</v>
      </c>
      <c r="K2337" t="n">
        <v>0</v>
      </c>
      <c r="L2337" t="n">
        <v>1</v>
      </c>
      <c r="M2337" t="n">
        <v>0</v>
      </c>
    </row>
    <row r="2338" spans="1:13">
      <c r="A2338" s="1">
        <f>HYPERLINK("http://www.twitter.com/NathanBLawrence/status/998439140747284480", "998439140747284480")</f>
        <v/>
      </c>
      <c r="B2338" s="2" t="n">
        <v>43241.23859953704</v>
      </c>
      <c r="C2338" t="n">
        <v>0</v>
      </c>
      <c r="D2338" t="n">
        <v>914</v>
      </c>
      <c r="E2338" t="s">
        <v>2344</v>
      </c>
      <c r="F2338" t="s"/>
      <c r="G2338" t="s"/>
      <c r="H2338" t="s"/>
      <c r="I2338" t="s"/>
      <c r="J2338" t="n">
        <v>0.7351</v>
      </c>
      <c r="K2338" t="n">
        <v>0</v>
      </c>
      <c r="L2338" t="n">
        <v>0.659</v>
      </c>
      <c r="M2338" t="n">
        <v>0.341</v>
      </c>
    </row>
    <row r="2339" spans="1:13">
      <c r="A2339" s="1">
        <f>HYPERLINK("http://www.twitter.com/NathanBLawrence/status/998439115950575616", "998439115950575616")</f>
        <v/>
      </c>
      <c r="B2339" s="2" t="n">
        <v>43241.23854166667</v>
      </c>
      <c r="C2339" t="n">
        <v>0</v>
      </c>
      <c r="D2339" t="n">
        <v>2847</v>
      </c>
      <c r="E2339" t="s">
        <v>2345</v>
      </c>
      <c r="F2339" t="s"/>
      <c r="G2339" t="s"/>
      <c r="H2339" t="s"/>
      <c r="I2339" t="s"/>
      <c r="J2339" t="n">
        <v>0.2235</v>
      </c>
      <c r="K2339" t="n">
        <v>0</v>
      </c>
      <c r="L2339" t="n">
        <v>0.921</v>
      </c>
      <c r="M2339" t="n">
        <v>0.079</v>
      </c>
    </row>
    <row r="2340" spans="1:13">
      <c r="A2340" s="1">
        <f>HYPERLINK("http://www.twitter.com/NathanBLawrence/status/998439046941724677", "998439046941724677")</f>
        <v/>
      </c>
      <c r="B2340" s="2" t="n">
        <v>43241.2383449074</v>
      </c>
      <c r="C2340" t="n">
        <v>0</v>
      </c>
      <c r="D2340" t="n">
        <v>2360</v>
      </c>
      <c r="E2340" t="s">
        <v>2346</v>
      </c>
      <c r="F2340" t="s"/>
      <c r="G2340" t="s"/>
      <c r="H2340" t="s"/>
      <c r="I2340" t="s"/>
      <c r="J2340" t="n">
        <v>0.4404</v>
      </c>
      <c r="K2340" t="n">
        <v>0</v>
      </c>
      <c r="L2340" t="n">
        <v>0.884</v>
      </c>
      <c r="M2340" t="n">
        <v>0.116</v>
      </c>
    </row>
    <row r="2341" spans="1:13">
      <c r="A2341" s="1">
        <f>HYPERLINK("http://www.twitter.com/NathanBLawrence/status/998436385613893632", "998436385613893632")</f>
        <v/>
      </c>
      <c r="B2341" s="2" t="n">
        <v>43241.23100694444</v>
      </c>
      <c r="C2341" t="n">
        <v>2</v>
      </c>
      <c r="D2341" t="n">
        <v>1</v>
      </c>
      <c r="E2341" t="s">
        <v>2347</v>
      </c>
      <c r="F2341" t="s"/>
      <c r="G2341" t="s"/>
      <c r="H2341" t="s"/>
      <c r="I2341" t="s"/>
      <c r="J2341" t="n">
        <v>-0.0258</v>
      </c>
      <c r="K2341" t="n">
        <v>0.108</v>
      </c>
      <c r="L2341" t="n">
        <v>0.788</v>
      </c>
      <c r="M2341" t="n">
        <v>0.104</v>
      </c>
    </row>
    <row r="2342" spans="1:13">
      <c r="A2342" s="1">
        <f>HYPERLINK("http://www.twitter.com/NathanBLawrence/status/998436110035488768", "998436110035488768")</f>
        <v/>
      </c>
      <c r="B2342" s="2" t="n">
        <v>43241.23024305556</v>
      </c>
      <c r="C2342" t="n">
        <v>0</v>
      </c>
      <c r="D2342" t="n">
        <v>0</v>
      </c>
      <c r="E2342" t="s">
        <v>2348</v>
      </c>
      <c r="F2342" t="s"/>
      <c r="G2342" t="s"/>
      <c r="H2342" t="s"/>
      <c r="I2342" t="s"/>
      <c r="J2342" t="n">
        <v>-0.5574</v>
      </c>
      <c r="K2342" t="n">
        <v>0.184</v>
      </c>
      <c r="L2342" t="n">
        <v>0.8159999999999999</v>
      </c>
      <c r="M2342" t="n">
        <v>0</v>
      </c>
    </row>
    <row r="2343" spans="1:13">
      <c r="A2343" s="1">
        <f>HYPERLINK("http://www.twitter.com/NathanBLawrence/status/998435248055734273", "998435248055734273")</f>
        <v/>
      </c>
      <c r="B2343" s="2" t="n">
        <v>43241.22785879629</v>
      </c>
      <c r="C2343" t="n">
        <v>0</v>
      </c>
      <c r="D2343" t="n">
        <v>3742</v>
      </c>
      <c r="E2343" t="s">
        <v>2349</v>
      </c>
      <c r="F2343" t="s"/>
      <c r="G2343" t="s"/>
      <c r="H2343" t="s"/>
      <c r="I2343" t="s"/>
      <c r="J2343" t="n">
        <v>-0.8555</v>
      </c>
      <c r="K2343" t="n">
        <v>0.356</v>
      </c>
      <c r="L2343" t="n">
        <v>0.644</v>
      </c>
      <c r="M2343" t="n">
        <v>0</v>
      </c>
    </row>
    <row r="2344" spans="1:13">
      <c r="A2344" s="1">
        <f>HYPERLINK("http://www.twitter.com/NathanBLawrence/status/998435217927962629", "998435217927962629")</f>
        <v/>
      </c>
      <c r="B2344" s="2" t="n">
        <v>43241.22777777778</v>
      </c>
      <c r="C2344" t="n">
        <v>0</v>
      </c>
      <c r="D2344" t="n">
        <v>62</v>
      </c>
      <c r="E2344" t="s">
        <v>2350</v>
      </c>
      <c r="F2344" t="s"/>
      <c r="G2344" t="s"/>
      <c r="H2344" t="s"/>
      <c r="I2344" t="s"/>
      <c r="J2344" t="n">
        <v>0.6697</v>
      </c>
      <c r="K2344" t="n">
        <v>0</v>
      </c>
      <c r="L2344" t="n">
        <v>0.83</v>
      </c>
      <c r="M2344" t="n">
        <v>0.17</v>
      </c>
    </row>
    <row r="2345" spans="1:13">
      <c r="A2345" s="1">
        <f>HYPERLINK("http://www.twitter.com/NathanBLawrence/status/998435195996069889", "998435195996069889")</f>
        <v/>
      </c>
      <c r="B2345" s="2" t="n">
        <v>43241.22771990741</v>
      </c>
      <c r="C2345" t="n">
        <v>0</v>
      </c>
      <c r="D2345" t="n">
        <v>661</v>
      </c>
      <c r="E2345" t="s">
        <v>2351</v>
      </c>
      <c r="F2345" t="s"/>
      <c r="G2345" t="s"/>
      <c r="H2345" t="s"/>
      <c r="I2345" t="s"/>
      <c r="J2345" t="n">
        <v>-0.3164</v>
      </c>
      <c r="K2345" t="n">
        <v>0.247</v>
      </c>
      <c r="L2345" t="n">
        <v>0.753</v>
      </c>
      <c r="M2345" t="n">
        <v>0</v>
      </c>
    </row>
    <row r="2346" spans="1:13">
      <c r="A2346" s="1">
        <f>HYPERLINK("http://www.twitter.com/NathanBLawrence/status/998435177620758528", "998435177620758528")</f>
        <v/>
      </c>
      <c r="B2346" s="2" t="n">
        <v>43241.22767361111</v>
      </c>
      <c r="C2346" t="n">
        <v>0</v>
      </c>
      <c r="D2346" t="n">
        <v>2674</v>
      </c>
      <c r="E2346" t="s">
        <v>2352</v>
      </c>
      <c r="F2346" t="s"/>
      <c r="G2346" t="s"/>
      <c r="H2346" t="s"/>
      <c r="I2346" t="s"/>
      <c r="J2346" t="n">
        <v>0</v>
      </c>
      <c r="K2346" t="n">
        <v>0</v>
      </c>
      <c r="L2346" t="n">
        <v>1</v>
      </c>
      <c r="M2346" t="n">
        <v>0</v>
      </c>
    </row>
    <row r="2347" spans="1:13">
      <c r="A2347" s="1">
        <f>HYPERLINK("http://www.twitter.com/NathanBLawrence/status/998434692159373312", "998434692159373312")</f>
        <v/>
      </c>
      <c r="B2347" s="2" t="n">
        <v>43241.22633101852</v>
      </c>
      <c r="C2347" t="n">
        <v>0</v>
      </c>
      <c r="D2347" t="n">
        <v>286</v>
      </c>
      <c r="E2347" t="s">
        <v>2353</v>
      </c>
      <c r="F2347" t="s"/>
      <c r="G2347" t="s"/>
      <c r="H2347" t="s"/>
      <c r="I2347" t="s"/>
      <c r="J2347" t="n">
        <v>-0.802</v>
      </c>
      <c r="K2347" t="n">
        <v>0.265</v>
      </c>
      <c r="L2347" t="n">
        <v>0.735</v>
      </c>
      <c r="M2347" t="n">
        <v>0</v>
      </c>
    </row>
    <row r="2348" spans="1:13">
      <c r="A2348" s="1">
        <f>HYPERLINK("http://www.twitter.com/NathanBLawrence/status/998434542703792129", "998434542703792129")</f>
        <v/>
      </c>
      <c r="B2348" s="2" t="n">
        <v>43241.22591435185</v>
      </c>
      <c r="C2348" t="n">
        <v>0</v>
      </c>
      <c r="D2348" t="n">
        <v>227</v>
      </c>
      <c r="E2348" t="s">
        <v>2354</v>
      </c>
      <c r="F2348">
        <f>HYPERLINK("http://pbs.twimg.com/media/DdsajOlU0AEhiGM.jpg", "http://pbs.twimg.com/media/DdsajOlU0AEhiGM.jpg")</f>
        <v/>
      </c>
      <c r="G2348">
        <f>HYPERLINK("http://pbs.twimg.com/media/DdsbCZ_V4AA_v1O.jpg", "http://pbs.twimg.com/media/DdsbCZ_V4AA_v1O.jpg")</f>
        <v/>
      </c>
      <c r="H2348" t="s"/>
      <c r="I2348" t="s"/>
      <c r="J2348" t="n">
        <v>-0.5994</v>
      </c>
      <c r="K2348" t="n">
        <v>0.157</v>
      </c>
      <c r="L2348" t="n">
        <v>0.843</v>
      </c>
      <c r="M2348" t="n">
        <v>0</v>
      </c>
    </row>
    <row r="2349" spans="1:13">
      <c r="A2349" s="1">
        <f>HYPERLINK("http://www.twitter.com/NathanBLawrence/status/998434454250156032", "998434454250156032")</f>
        <v/>
      </c>
      <c r="B2349" s="2" t="n">
        <v>43241.2256712963</v>
      </c>
      <c r="C2349" t="n">
        <v>0</v>
      </c>
      <c r="D2349" t="n">
        <v>128</v>
      </c>
      <c r="E2349" t="s">
        <v>2355</v>
      </c>
      <c r="F2349">
        <f>HYPERLINK("http://pbs.twimg.com/media/DdsYllEVMAApWUu.jpg", "http://pbs.twimg.com/media/DdsYllEVMAApWUu.jpg")</f>
        <v/>
      </c>
      <c r="G2349" t="s"/>
      <c r="H2349" t="s"/>
      <c r="I2349" t="s"/>
      <c r="J2349" t="n">
        <v>0</v>
      </c>
      <c r="K2349" t="n">
        <v>0</v>
      </c>
      <c r="L2349" t="n">
        <v>1</v>
      </c>
      <c r="M2349" t="n">
        <v>0</v>
      </c>
    </row>
    <row r="2350" spans="1:13">
      <c r="A2350" s="1">
        <f>HYPERLINK("http://www.twitter.com/NathanBLawrence/status/998433595160170496", "998433595160170496")</f>
        <v/>
      </c>
      <c r="B2350" s="2" t="n">
        <v>43241.22329861111</v>
      </c>
      <c r="C2350" t="n">
        <v>0</v>
      </c>
      <c r="D2350" t="n">
        <v>1339</v>
      </c>
      <c r="E2350" t="s">
        <v>2356</v>
      </c>
      <c r="F2350" t="s"/>
      <c r="G2350" t="s"/>
      <c r="H2350" t="s"/>
      <c r="I2350" t="s"/>
      <c r="J2350" t="n">
        <v>-0.2946</v>
      </c>
      <c r="K2350" t="n">
        <v>0.208</v>
      </c>
      <c r="L2350" t="n">
        <v>0.621</v>
      </c>
      <c r="M2350" t="n">
        <v>0.171</v>
      </c>
    </row>
    <row r="2351" spans="1:13">
      <c r="A2351" s="1">
        <f>HYPERLINK("http://www.twitter.com/NathanBLawrence/status/998433544660799488", "998433544660799488")</f>
        <v/>
      </c>
      <c r="B2351" s="2" t="n">
        <v>43241.22315972222</v>
      </c>
      <c r="C2351" t="n">
        <v>0</v>
      </c>
      <c r="D2351" t="n">
        <v>522</v>
      </c>
      <c r="E2351" t="s">
        <v>2357</v>
      </c>
      <c r="F2351" t="s"/>
      <c r="G2351" t="s"/>
      <c r="H2351" t="s"/>
      <c r="I2351" t="s"/>
      <c r="J2351" t="n">
        <v>-0.296</v>
      </c>
      <c r="K2351" t="n">
        <v>0.095</v>
      </c>
      <c r="L2351" t="n">
        <v>0.905</v>
      </c>
      <c r="M2351" t="n">
        <v>0</v>
      </c>
    </row>
    <row r="2352" spans="1:13">
      <c r="A2352" s="1">
        <f>HYPERLINK("http://www.twitter.com/NathanBLawrence/status/998433499563651073", "998433499563651073")</f>
        <v/>
      </c>
      <c r="B2352" s="2" t="n">
        <v>43241.2230324074</v>
      </c>
      <c r="C2352" t="n">
        <v>0</v>
      </c>
      <c r="D2352" t="n">
        <v>710</v>
      </c>
      <c r="E2352" t="s">
        <v>2358</v>
      </c>
      <c r="F2352" t="s"/>
      <c r="G2352" t="s"/>
      <c r="H2352" t="s"/>
      <c r="I2352" t="s"/>
      <c r="J2352" t="n">
        <v>-0.4767</v>
      </c>
      <c r="K2352" t="n">
        <v>0.163</v>
      </c>
      <c r="L2352" t="n">
        <v>0.769</v>
      </c>
      <c r="M2352" t="n">
        <v>0.068</v>
      </c>
    </row>
    <row r="2353" spans="1:13">
      <c r="A2353" s="1">
        <f>HYPERLINK("http://www.twitter.com/NathanBLawrence/status/998433219342159873", "998433219342159873")</f>
        <v/>
      </c>
      <c r="B2353" s="2" t="n">
        <v>43241.22226851852</v>
      </c>
      <c r="C2353" t="n">
        <v>0</v>
      </c>
      <c r="D2353" t="n">
        <v>0</v>
      </c>
      <c r="E2353" t="s">
        <v>2359</v>
      </c>
      <c r="F2353" t="s"/>
      <c r="G2353" t="s"/>
      <c r="H2353" t="s"/>
      <c r="I2353" t="s"/>
      <c r="J2353" t="n">
        <v>-0.8801</v>
      </c>
      <c r="K2353" t="n">
        <v>0.327</v>
      </c>
      <c r="L2353" t="n">
        <v>0.673</v>
      </c>
      <c r="M2353" t="n">
        <v>0</v>
      </c>
    </row>
    <row r="2354" spans="1:13">
      <c r="A2354" s="1">
        <f>HYPERLINK("http://www.twitter.com/NathanBLawrence/status/998432499691933696", "998432499691933696")</f>
        <v/>
      </c>
      <c r="B2354" s="2" t="n">
        <v>43241.22027777778</v>
      </c>
      <c r="C2354" t="n">
        <v>0</v>
      </c>
      <c r="D2354" t="n">
        <v>12</v>
      </c>
      <c r="E2354" t="s">
        <v>2360</v>
      </c>
      <c r="F2354" t="s"/>
      <c r="G2354" t="s"/>
      <c r="H2354" t="s"/>
      <c r="I2354" t="s"/>
      <c r="J2354" t="n">
        <v>0.5558999999999999</v>
      </c>
      <c r="K2354" t="n">
        <v>0</v>
      </c>
      <c r="L2354" t="n">
        <v>0.826</v>
      </c>
      <c r="M2354" t="n">
        <v>0.174</v>
      </c>
    </row>
    <row r="2355" spans="1:13">
      <c r="A2355" s="1">
        <f>HYPERLINK("http://www.twitter.com/NathanBLawrence/status/998432470071693314", "998432470071693314")</f>
        <v/>
      </c>
      <c r="B2355" s="2" t="n">
        <v>43241.22019675926</v>
      </c>
      <c r="C2355" t="n">
        <v>0</v>
      </c>
      <c r="D2355" t="n">
        <v>166</v>
      </c>
      <c r="E2355" t="s">
        <v>2361</v>
      </c>
      <c r="F2355" t="s"/>
      <c r="G2355" t="s"/>
      <c r="H2355" t="s"/>
      <c r="I2355" t="s"/>
      <c r="J2355" t="n">
        <v>0</v>
      </c>
      <c r="K2355" t="n">
        <v>0</v>
      </c>
      <c r="L2355" t="n">
        <v>1</v>
      </c>
      <c r="M2355" t="n">
        <v>0</v>
      </c>
    </row>
    <row r="2356" spans="1:13">
      <c r="A2356" s="1">
        <f>HYPERLINK("http://www.twitter.com/NathanBLawrence/status/998414357036961793", "998414357036961793")</f>
        <v/>
      </c>
      <c r="B2356" s="2" t="n">
        <v>43241.17021990741</v>
      </c>
      <c r="C2356" t="n">
        <v>0</v>
      </c>
      <c r="D2356" t="n">
        <v>0</v>
      </c>
      <c r="E2356" t="s">
        <v>2362</v>
      </c>
      <c r="F2356" t="s"/>
      <c r="G2356" t="s"/>
      <c r="H2356" t="s"/>
      <c r="I2356" t="s"/>
      <c r="J2356" t="n">
        <v>0</v>
      </c>
      <c r="K2356" t="n">
        <v>0</v>
      </c>
      <c r="L2356" t="n">
        <v>1</v>
      </c>
      <c r="M2356" t="n">
        <v>0</v>
      </c>
    </row>
    <row r="2357" spans="1:13">
      <c r="A2357" s="1">
        <f>HYPERLINK("http://www.twitter.com/NathanBLawrence/status/998398342907531265", "998398342907531265")</f>
        <v/>
      </c>
      <c r="B2357" s="2" t="n">
        <v>43241.12601851852</v>
      </c>
      <c r="C2357" t="n">
        <v>0</v>
      </c>
      <c r="D2357" t="n">
        <v>9549</v>
      </c>
      <c r="E2357" t="s">
        <v>2363</v>
      </c>
      <c r="F2357" t="s"/>
      <c r="G2357" t="s"/>
      <c r="H2357" t="s"/>
      <c r="I2357" t="s"/>
      <c r="J2357" t="n">
        <v>-0.3612</v>
      </c>
      <c r="K2357" t="n">
        <v>0.218</v>
      </c>
      <c r="L2357" t="n">
        <v>0.669</v>
      </c>
      <c r="M2357" t="n">
        <v>0.113</v>
      </c>
    </row>
    <row r="2358" spans="1:13">
      <c r="A2358" s="1">
        <f>HYPERLINK("http://www.twitter.com/NathanBLawrence/status/998320183231045633", "998320183231045633")</f>
        <v/>
      </c>
      <c r="B2358" s="2" t="n">
        <v>43240.91034722222</v>
      </c>
      <c r="C2358" t="n">
        <v>1</v>
      </c>
      <c r="D2358" t="n">
        <v>0</v>
      </c>
      <c r="E2358" t="s">
        <v>2364</v>
      </c>
      <c r="F2358" t="s"/>
      <c r="G2358" t="s"/>
      <c r="H2358" t="s"/>
      <c r="I2358" t="s"/>
      <c r="J2358" t="n">
        <v>-0.6239</v>
      </c>
      <c r="K2358" t="n">
        <v>0.134</v>
      </c>
      <c r="L2358" t="n">
        <v>0.866</v>
      </c>
      <c r="M2358" t="n">
        <v>0</v>
      </c>
    </row>
    <row r="2359" spans="1:13">
      <c r="A2359" s="1">
        <f>HYPERLINK("http://www.twitter.com/NathanBLawrence/status/998198926472773633", "998198926472773633")</f>
        <v/>
      </c>
      <c r="B2359" s="2" t="n">
        <v>43240.57574074074</v>
      </c>
      <c r="C2359" t="n">
        <v>0</v>
      </c>
      <c r="D2359" t="n">
        <v>0</v>
      </c>
      <c r="E2359" t="s">
        <v>2365</v>
      </c>
      <c r="F2359" t="s"/>
      <c r="G2359" t="s"/>
      <c r="H2359" t="s"/>
      <c r="I2359" t="s"/>
      <c r="J2359" t="n">
        <v>0</v>
      </c>
      <c r="K2359" t="n">
        <v>0</v>
      </c>
      <c r="L2359" t="n">
        <v>1</v>
      </c>
      <c r="M2359" t="n">
        <v>0</v>
      </c>
    </row>
    <row r="2360" spans="1:13">
      <c r="A2360" s="1">
        <f>HYPERLINK("http://www.twitter.com/NathanBLawrence/status/998198088908058626", "998198088908058626")</f>
        <v/>
      </c>
      <c r="B2360" s="2" t="n">
        <v>43240.57342592593</v>
      </c>
      <c r="C2360" t="n">
        <v>0</v>
      </c>
      <c r="D2360" t="n">
        <v>1756</v>
      </c>
      <c r="E2360" t="s">
        <v>2366</v>
      </c>
      <c r="F2360">
        <f>HYPERLINK("http://pbs.twimg.com/media/Ddkv-nTWkAIWcUt.jpg", "http://pbs.twimg.com/media/Ddkv-nTWkAIWcUt.jpg")</f>
        <v/>
      </c>
      <c r="G2360" t="s"/>
      <c r="H2360" t="s"/>
      <c r="I2360" t="s"/>
      <c r="J2360" t="n">
        <v>-0.6731</v>
      </c>
      <c r="K2360" t="n">
        <v>0.185</v>
      </c>
      <c r="L2360" t="n">
        <v>0.8149999999999999</v>
      </c>
      <c r="M2360" t="n">
        <v>0</v>
      </c>
    </row>
    <row r="2361" spans="1:13">
      <c r="A2361" s="1">
        <f>HYPERLINK("http://www.twitter.com/NathanBLawrence/status/998197982616080385", "998197982616080385")</f>
        <v/>
      </c>
      <c r="B2361" s="2" t="n">
        <v>43240.57313657407</v>
      </c>
      <c r="C2361" t="n">
        <v>0</v>
      </c>
      <c r="D2361" t="n">
        <v>428</v>
      </c>
      <c r="E2361" t="s">
        <v>2367</v>
      </c>
      <c r="F2361" t="s"/>
      <c r="G2361" t="s"/>
      <c r="H2361" t="s"/>
      <c r="I2361" t="s"/>
      <c r="J2361" t="n">
        <v>0.3818</v>
      </c>
      <c r="K2361" t="n">
        <v>0</v>
      </c>
      <c r="L2361" t="n">
        <v>0.88</v>
      </c>
      <c r="M2361" t="n">
        <v>0.12</v>
      </c>
    </row>
    <row r="2362" spans="1:13">
      <c r="A2362" s="1">
        <f>HYPERLINK("http://www.twitter.com/NathanBLawrence/status/998193818569793536", "998193818569793536")</f>
        <v/>
      </c>
      <c r="B2362" s="2" t="n">
        <v>43240.56164351852</v>
      </c>
      <c r="C2362" t="n">
        <v>2</v>
      </c>
      <c r="D2362" t="n">
        <v>2</v>
      </c>
      <c r="E2362" t="s">
        <v>2368</v>
      </c>
      <c r="F2362">
        <f>HYPERLINK("http://pbs.twimg.com/media/DdpL-7bVwAEm3Hu.jpg", "http://pbs.twimg.com/media/DdpL-7bVwAEm3Hu.jpg")</f>
        <v/>
      </c>
      <c r="G2362" t="s"/>
      <c r="H2362" t="s"/>
      <c r="I2362" t="s"/>
      <c r="J2362" t="n">
        <v>0.6249</v>
      </c>
      <c r="K2362" t="n">
        <v>0</v>
      </c>
      <c r="L2362" t="n">
        <v>0.859</v>
      </c>
      <c r="M2362" t="n">
        <v>0.141</v>
      </c>
    </row>
    <row r="2363" spans="1:13">
      <c r="A2363" s="1">
        <f>HYPERLINK("http://www.twitter.com/NathanBLawrence/status/998191343385153542", "998191343385153542")</f>
        <v/>
      </c>
      <c r="B2363" s="2" t="n">
        <v>43240.55481481482</v>
      </c>
      <c r="C2363" t="n">
        <v>0</v>
      </c>
      <c r="D2363" t="n">
        <v>2289</v>
      </c>
      <c r="E2363" t="s">
        <v>2369</v>
      </c>
      <c r="F2363" t="s"/>
      <c r="G2363" t="s"/>
      <c r="H2363" t="s"/>
      <c r="I2363" t="s"/>
      <c r="J2363" t="n">
        <v>0.4215</v>
      </c>
      <c r="K2363" t="n">
        <v>0</v>
      </c>
      <c r="L2363" t="n">
        <v>0.787</v>
      </c>
      <c r="M2363" t="n">
        <v>0.213</v>
      </c>
    </row>
    <row r="2364" spans="1:13">
      <c r="A2364" s="1">
        <f>HYPERLINK("http://www.twitter.com/NathanBLawrence/status/998191294248865792", "998191294248865792")</f>
        <v/>
      </c>
      <c r="B2364" s="2" t="n">
        <v>43240.55467592592</v>
      </c>
      <c r="C2364" t="n">
        <v>0</v>
      </c>
      <c r="D2364" t="n">
        <v>82</v>
      </c>
      <c r="E2364" t="s">
        <v>2370</v>
      </c>
      <c r="F2364" t="s"/>
      <c r="G2364" t="s"/>
      <c r="H2364" t="s"/>
      <c r="I2364" t="s"/>
      <c r="J2364" t="n">
        <v>0.4749</v>
      </c>
      <c r="K2364" t="n">
        <v>0.075</v>
      </c>
      <c r="L2364" t="n">
        <v>0.777</v>
      </c>
      <c r="M2364" t="n">
        <v>0.148</v>
      </c>
    </row>
    <row r="2365" spans="1:13">
      <c r="A2365" s="1">
        <f>HYPERLINK("http://www.twitter.com/NathanBLawrence/status/998189628099366913", "998189628099366913")</f>
        <v/>
      </c>
      <c r="B2365" s="2" t="n">
        <v>43240.55008101852</v>
      </c>
      <c r="C2365" t="n">
        <v>0</v>
      </c>
      <c r="D2365" t="n">
        <v>14</v>
      </c>
      <c r="E2365" t="s">
        <v>2371</v>
      </c>
      <c r="F2365" t="s"/>
      <c r="G2365" t="s"/>
      <c r="H2365" t="s"/>
      <c r="I2365" t="s"/>
      <c r="J2365" t="n">
        <v>-0.3182</v>
      </c>
      <c r="K2365" t="n">
        <v>0.126</v>
      </c>
      <c r="L2365" t="n">
        <v>0.874</v>
      </c>
      <c r="M2365" t="n">
        <v>0</v>
      </c>
    </row>
    <row r="2366" spans="1:13">
      <c r="A2366" s="1">
        <f>HYPERLINK("http://www.twitter.com/NathanBLawrence/status/998189588748427264", "998189588748427264")</f>
        <v/>
      </c>
      <c r="B2366" s="2" t="n">
        <v>43240.54997685185</v>
      </c>
      <c r="C2366" t="n">
        <v>0</v>
      </c>
      <c r="D2366" t="n">
        <v>11</v>
      </c>
      <c r="E2366" t="s">
        <v>2372</v>
      </c>
      <c r="F2366" t="s"/>
      <c r="G2366" t="s"/>
      <c r="H2366" t="s"/>
      <c r="I2366" t="s"/>
      <c r="J2366" t="n">
        <v>0</v>
      </c>
      <c r="K2366" t="n">
        <v>0</v>
      </c>
      <c r="L2366" t="n">
        <v>1</v>
      </c>
      <c r="M2366" t="n">
        <v>0</v>
      </c>
    </row>
    <row r="2367" spans="1:13">
      <c r="A2367" s="1">
        <f>HYPERLINK("http://www.twitter.com/NathanBLawrence/status/998189547157639170", "998189547157639170")</f>
        <v/>
      </c>
      <c r="B2367" s="2" t="n">
        <v>43240.54986111111</v>
      </c>
      <c r="C2367" t="n">
        <v>0</v>
      </c>
      <c r="D2367" t="n">
        <v>736</v>
      </c>
      <c r="E2367" t="s">
        <v>2373</v>
      </c>
      <c r="F2367">
        <f>HYPERLINK("http://pbs.twimg.com/media/DdkRIn8VMAMsmPP.jpg", "http://pbs.twimg.com/media/DdkRIn8VMAMsmPP.jpg")</f>
        <v/>
      </c>
      <c r="G2367" t="s"/>
      <c r="H2367" t="s"/>
      <c r="I2367" t="s"/>
      <c r="J2367" t="n">
        <v>-0.0772</v>
      </c>
      <c r="K2367" t="n">
        <v>0.178</v>
      </c>
      <c r="L2367" t="n">
        <v>0.695</v>
      </c>
      <c r="M2367" t="n">
        <v>0.127</v>
      </c>
    </row>
    <row r="2368" spans="1:13">
      <c r="A2368" s="1">
        <f>HYPERLINK("http://www.twitter.com/NathanBLawrence/status/998188590885720064", "998188590885720064")</f>
        <v/>
      </c>
      <c r="B2368" s="2" t="n">
        <v>43240.54722222222</v>
      </c>
      <c r="C2368" t="n">
        <v>1</v>
      </c>
      <c r="D2368" t="n">
        <v>0</v>
      </c>
      <c r="E2368" t="s">
        <v>2374</v>
      </c>
      <c r="F2368" t="s"/>
      <c r="G2368" t="s"/>
      <c r="H2368" t="s"/>
      <c r="I2368" t="s"/>
      <c r="J2368" t="n">
        <v>0</v>
      </c>
      <c r="K2368" t="n">
        <v>0</v>
      </c>
      <c r="L2368" t="n">
        <v>1</v>
      </c>
      <c r="M2368" t="n">
        <v>0</v>
      </c>
    </row>
    <row r="2369" spans="1:13">
      <c r="A2369" s="1">
        <f>HYPERLINK("http://www.twitter.com/NathanBLawrence/status/998184775860006914", "998184775860006914")</f>
        <v/>
      </c>
      <c r="B2369" s="2" t="n">
        <v>43240.53668981481</v>
      </c>
      <c r="C2369" t="n">
        <v>1</v>
      </c>
      <c r="D2369" t="n">
        <v>1</v>
      </c>
      <c r="E2369" t="s">
        <v>2375</v>
      </c>
      <c r="F2369">
        <f>HYPERLINK("http://pbs.twimg.com/media/DdpDwt4VAAIxBgI.jpg", "http://pbs.twimg.com/media/DdpDwt4VAAIxBgI.jpg")</f>
        <v/>
      </c>
      <c r="G2369" t="s"/>
      <c r="H2369" t="s"/>
      <c r="I2369" t="s"/>
      <c r="J2369" t="n">
        <v>0</v>
      </c>
      <c r="K2369" t="n">
        <v>0</v>
      </c>
      <c r="L2369" t="n">
        <v>1</v>
      </c>
      <c r="M2369" t="n">
        <v>0</v>
      </c>
    </row>
    <row r="2370" spans="1:13">
      <c r="A2370" s="1">
        <f>HYPERLINK("http://www.twitter.com/NathanBLawrence/status/998184641877159936", "998184641877159936")</f>
        <v/>
      </c>
      <c r="B2370" s="2" t="n">
        <v>43240.53631944444</v>
      </c>
      <c r="C2370" t="n">
        <v>0</v>
      </c>
      <c r="D2370" t="n">
        <v>851</v>
      </c>
      <c r="E2370" t="s">
        <v>2376</v>
      </c>
      <c r="F2370" t="s"/>
      <c r="G2370" t="s"/>
      <c r="H2370" t="s"/>
      <c r="I2370" t="s"/>
      <c r="J2370" t="n">
        <v>0.5719</v>
      </c>
      <c r="K2370" t="n">
        <v>0</v>
      </c>
      <c r="L2370" t="n">
        <v>0.793</v>
      </c>
      <c r="M2370" t="n">
        <v>0.207</v>
      </c>
    </row>
    <row r="2371" spans="1:13">
      <c r="A2371" s="1">
        <f>HYPERLINK("http://www.twitter.com/NathanBLawrence/status/998184589469343744", "998184589469343744")</f>
        <v/>
      </c>
      <c r="B2371" s="2" t="n">
        <v>43240.53618055556</v>
      </c>
      <c r="C2371" t="n">
        <v>1</v>
      </c>
      <c r="D2371" t="n">
        <v>0</v>
      </c>
      <c r="E2371" t="s">
        <v>2377</v>
      </c>
      <c r="F2371">
        <f>HYPERLINK("http://pbs.twimg.com/media/DdpDl1OU0AAHmyF.jpg", "http://pbs.twimg.com/media/DdpDl1OU0AAHmyF.jpg")</f>
        <v/>
      </c>
      <c r="G2371" t="s"/>
      <c r="H2371" t="s"/>
      <c r="I2371" t="s"/>
      <c r="J2371" t="n">
        <v>0</v>
      </c>
      <c r="K2371" t="n">
        <v>0</v>
      </c>
      <c r="L2371" t="n">
        <v>1</v>
      </c>
      <c r="M2371" t="n">
        <v>0</v>
      </c>
    </row>
    <row r="2372" spans="1:13">
      <c r="A2372" s="1">
        <f>HYPERLINK("http://www.twitter.com/NathanBLawrence/status/998184469902262273", "998184469902262273")</f>
        <v/>
      </c>
      <c r="B2372" s="2" t="n">
        <v>43240.5358449074</v>
      </c>
      <c r="C2372" t="n">
        <v>0</v>
      </c>
      <c r="D2372" t="n">
        <v>6</v>
      </c>
      <c r="E2372" t="s">
        <v>2378</v>
      </c>
      <c r="F2372" t="s"/>
      <c r="G2372" t="s"/>
      <c r="H2372" t="s"/>
      <c r="I2372" t="s"/>
      <c r="J2372" t="n">
        <v>0.4767</v>
      </c>
      <c r="K2372" t="n">
        <v>0</v>
      </c>
      <c r="L2372" t="n">
        <v>0.617</v>
      </c>
      <c r="M2372" t="n">
        <v>0.383</v>
      </c>
    </row>
    <row r="2373" spans="1:13">
      <c r="A2373" s="1">
        <f>HYPERLINK("http://www.twitter.com/NathanBLawrence/status/998184415565090816", "998184415565090816")</f>
        <v/>
      </c>
      <c r="B2373" s="2" t="n">
        <v>43240.53569444444</v>
      </c>
      <c r="C2373" t="n">
        <v>0</v>
      </c>
      <c r="D2373" t="n">
        <v>509</v>
      </c>
      <c r="E2373" t="s">
        <v>2379</v>
      </c>
      <c r="F2373">
        <f>HYPERLINK("http://pbs.twimg.com/media/DdmlmvkVwAE4Cke.jpg", "http://pbs.twimg.com/media/DdmlmvkVwAE4Cke.jpg")</f>
        <v/>
      </c>
      <c r="G2373" t="s"/>
      <c r="H2373" t="s"/>
      <c r="I2373" t="s"/>
      <c r="J2373" t="n">
        <v>0</v>
      </c>
      <c r="K2373" t="n">
        <v>0</v>
      </c>
      <c r="L2373" t="n">
        <v>1</v>
      </c>
      <c r="M2373" t="n">
        <v>0</v>
      </c>
    </row>
    <row r="2374" spans="1:13">
      <c r="A2374" s="1">
        <f>HYPERLINK("http://www.twitter.com/NathanBLawrence/status/998184296488865792", "998184296488865792")</f>
        <v/>
      </c>
      <c r="B2374" s="2" t="n">
        <v>43240.53537037037</v>
      </c>
      <c r="C2374" t="n">
        <v>0</v>
      </c>
      <c r="D2374" t="n">
        <v>4279</v>
      </c>
      <c r="E2374" t="s">
        <v>2380</v>
      </c>
      <c r="F2374">
        <f>HYPERLINK("http://pbs.twimg.com/media/Ddl5CN3VQAAs90N.jpg", "http://pbs.twimg.com/media/Ddl5CN3VQAAs90N.jpg")</f>
        <v/>
      </c>
      <c r="G2374">
        <f>HYPERLINK("http://pbs.twimg.com/media/Ddl5CN1VMAAvS4R.jpg", "http://pbs.twimg.com/media/Ddl5CN1VMAAvS4R.jpg")</f>
        <v/>
      </c>
      <c r="H2374" t="s"/>
      <c r="I2374" t="s"/>
      <c r="J2374" t="n">
        <v>0.128</v>
      </c>
      <c r="K2374" t="n">
        <v>0.184</v>
      </c>
      <c r="L2374" t="n">
        <v>0.575</v>
      </c>
      <c r="M2374" t="n">
        <v>0.241</v>
      </c>
    </row>
    <row r="2375" spans="1:13">
      <c r="A2375" s="1">
        <f>HYPERLINK("http://www.twitter.com/NathanBLawrence/status/998183121043558401", "998183121043558401")</f>
        <v/>
      </c>
      <c r="B2375" s="2" t="n">
        <v>43240.53212962963</v>
      </c>
      <c r="C2375" t="n">
        <v>0</v>
      </c>
      <c r="D2375" t="n">
        <v>0</v>
      </c>
      <c r="E2375" t="s">
        <v>2381</v>
      </c>
      <c r="F2375" t="s"/>
      <c r="G2375" t="s"/>
      <c r="H2375" t="s"/>
      <c r="I2375" t="s"/>
      <c r="J2375" t="n">
        <v>0</v>
      </c>
      <c r="K2375" t="n">
        <v>0</v>
      </c>
      <c r="L2375" t="n">
        <v>1</v>
      </c>
      <c r="M2375" t="n">
        <v>0</v>
      </c>
    </row>
    <row r="2376" spans="1:13">
      <c r="A2376" s="1">
        <f>HYPERLINK("http://www.twitter.com/NathanBLawrence/status/998174951298469889", "998174951298469889")</f>
        <v/>
      </c>
      <c r="B2376" s="2" t="n">
        <v>43240.50958333333</v>
      </c>
      <c r="C2376" t="n">
        <v>0</v>
      </c>
      <c r="D2376" t="n">
        <v>0</v>
      </c>
      <c r="E2376" t="s">
        <v>2382</v>
      </c>
      <c r="F2376" t="s"/>
      <c r="G2376" t="s"/>
      <c r="H2376" t="s"/>
      <c r="I2376" t="s"/>
      <c r="J2376" t="n">
        <v>0.296</v>
      </c>
      <c r="K2376" t="n">
        <v>0</v>
      </c>
      <c r="L2376" t="n">
        <v>0.9340000000000001</v>
      </c>
      <c r="M2376" t="n">
        <v>0.066</v>
      </c>
    </row>
    <row r="2377" spans="1:13">
      <c r="A2377" s="1">
        <f>HYPERLINK("http://www.twitter.com/NathanBLawrence/status/998174067386613762", "998174067386613762")</f>
        <v/>
      </c>
      <c r="B2377" s="2" t="n">
        <v>43240.50714120371</v>
      </c>
      <c r="C2377" t="n">
        <v>0</v>
      </c>
      <c r="D2377" t="n">
        <v>10</v>
      </c>
      <c r="E2377" t="s">
        <v>2383</v>
      </c>
      <c r="F2377" t="s"/>
      <c r="G2377" t="s"/>
      <c r="H2377" t="s"/>
      <c r="I2377" t="s"/>
      <c r="J2377" t="n">
        <v>0.2732</v>
      </c>
      <c r="K2377" t="n">
        <v>0.094</v>
      </c>
      <c r="L2377" t="n">
        <v>0.723</v>
      </c>
      <c r="M2377" t="n">
        <v>0.183</v>
      </c>
    </row>
    <row r="2378" spans="1:13">
      <c r="A2378" s="1">
        <f>HYPERLINK("http://www.twitter.com/NathanBLawrence/status/998168026930466816", "998168026930466816")</f>
        <v/>
      </c>
      <c r="B2378" s="2" t="n">
        <v>43240.49047453704</v>
      </c>
      <c r="C2378" t="n">
        <v>0</v>
      </c>
      <c r="D2378" t="n">
        <v>2751</v>
      </c>
      <c r="E2378" t="s">
        <v>2384</v>
      </c>
      <c r="F2378" t="s"/>
      <c r="G2378" t="s"/>
      <c r="H2378" t="s"/>
      <c r="I2378" t="s"/>
      <c r="J2378" t="n">
        <v>0.5954</v>
      </c>
      <c r="K2378" t="n">
        <v>0</v>
      </c>
      <c r="L2378" t="n">
        <v>0.783</v>
      </c>
      <c r="M2378" t="n">
        <v>0.217</v>
      </c>
    </row>
    <row r="2379" spans="1:13">
      <c r="A2379" s="1">
        <f>HYPERLINK("http://www.twitter.com/NathanBLawrence/status/998167999159861258", "998167999159861258")</f>
        <v/>
      </c>
      <c r="B2379" s="2" t="n">
        <v>43240.49039351852</v>
      </c>
      <c r="C2379" t="n">
        <v>0</v>
      </c>
      <c r="D2379" t="n">
        <v>0</v>
      </c>
      <c r="E2379" t="s">
        <v>2385</v>
      </c>
      <c r="F2379" t="s"/>
      <c r="G2379" t="s"/>
      <c r="H2379" t="s"/>
      <c r="I2379" t="s"/>
      <c r="J2379" t="n">
        <v>-0.0772</v>
      </c>
      <c r="K2379" t="n">
        <v>0.156</v>
      </c>
      <c r="L2379" t="n">
        <v>0.709</v>
      </c>
      <c r="M2379" t="n">
        <v>0.135</v>
      </c>
    </row>
    <row r="2380" spans="1:13">
      <c r="A2380" s="1">
        <f>HYPERLINK("http://www.twitter.com/NathanBLawrence/status/998167257665753089", "998167257665753089")</f>
        <v/>
      </c>
      <c r="B2380" s="2" t="n">
        <v>43240.4883449074</v>
      </c>
      <c r="C2380" t="n">
        <v>1</v>
      </c>
      <c r="D2380" t="n">
        <v>0</v>
      </c>
      <c r="E2380" t="s">
        <v>2386</v>
      </c>
      <c r="F2380" t="s"/>
      <c r="G2380" t="s"/>
      <c r="H2380" t="s"/>
      <c r="I2380" t="s"/>
      <c r="J2380" t="n">
        <v>0</v>
      </c>
      <c r="K2380" t="n">
        <v>0</v>
      </c>
      <c r="L2380" t="n">
        <v>1</v>
      </c>
      <c r="M2380" t="n">
        <v>0</v>
      </c>
    </row>
    <row r="2381" spans="1:13">
      <c r="A2381" s="1">
        <f>HYPERLINK("http://www.twitter.com/NathanBLawrence/status/998166787060568064", "998166787060568064")</f>
        <v/>
      </c>
      <c r="B2381" s="2" t="n">
        <v>43240.48704861111</v>
      </c>
      <c r="C2381" t="n">
        <v>0</v>
      </c>
      <c r="D2381" t="n">
        <v>176</v>
      </c>
      <c r="E2381" t="s">
        <v>2387</v>
      </c>
      <c r="F2381" t="s"/>
      <c r="G2381" t="s"/>
      <c r="H2381" t="s"/>
      <c r="I2381" t="s"/>
      <c r="J2381" t="n">
        <v>0.5574</v>
      </c>
      <c r="K2381" t="n">
        <v>0</v>
      </c>
      <c r="L2381" t="n">
        <v>0.805</v>
      </c>
      <c r="M2381" t="n">
        <v>0.195</v>
      </c>
    </row>
    <row r="2382" spans="1:13">
      <c r="A2382" s="1">
        <f>HYPERLINK("http://www.twitter.com/NathanBLawrence/status/998166282989133824", "998166282989133824")</f>
        <v/>
      </c>
      <c r="B2382" s="2" t="n">
        <v>43240.48565972222</v>
      </c>
      <c r="C2382" t="n">
        <v>0</v>
      </c>
      <c r="D2382" t="n">
        <v>199</v>
      </c>
      <c r="E2382" t="s">
        <v>2388</v>
      </c>
      <c r="F2382" t="s"/>
      <c r="G2382" t="s"/>
      <c r="H2382" t="s"/>
      <c r="I2382" t="s"/>
      <c r="J2382" t="n">
        <v>0.3382</v>
      </c>
      <c r="K2382" t="n">
        <v>0</v>
      </c>
      <c r="L2382" t="n">
        <v>0.898</v>
      </c>
      <c r="M2382" t="n">
        <v>0.102</v>
      </c>
    </row>
    <row r="2383" spans="1:13">
      <c r="A2383" s="1">
        <f>HYPERLINK("http://www.twitter.com/NathanBLawrence/status/998165996698587136", "998165996698587136")</f>
        <v/>
      </c>
      <c r="B2383" s="2" t="n">
        <v>43240.48487268519</v>
      </c>
      <c r="C2383" t="n">
        <v>0</v>
      </c>
      <c r="D2383" t="n">
        <v>1</v>
      </c>
      <c r="E2383" t="s">
        <v>2389</v>
      </c>
      <c r="F2383" t="s"/>
      <c r="G2383" t="s"/>
      <c r="H2383" t="s"/>
      <c r="I2383" t="s"/>
      <c r="J2383" t="n">
        <v>-0.4019</v>
      </c>
      <c r="K2383" t="n">
        <v>0.114</v>
      </c>
      <c r="L2383" t="n">
        <v>0.886</v>
      </c>
      <c r="M2383" t="n">
        <v>0</v>
      </c>
    </row>
    <row r="2384" spans="1:13">
      <c r="A2384" s="1">
        <f>HYPERLINK("http://www.twitter.com/NathanBLawrence/status/998165867908292608", "998165867908292608")</f>
        <v/>
      </c>
      <c r="B2384" s="2" t="n">
        <v>43240.48451388889</v>
      </c>
      <c r="C2384" t="n">
        <v>0</v>
      </c>
      <c r="D2384" t="n">
        <v>200</v>
      </c>
      <c r="E2384" t="s">
        <v>2390</v>
      </c>
      <c r="F2384" t="s"/>
      <c r="G2384" t="s"/>
      <c r="H2384" t="s"/>
      <c r="I2384" t="s"/>
      <c r="J2384" t="n">
        <v>0</v>
      </c>
      <c r="K2384" t="n">
        <v>0</v>
      </c>
      <c r="L2384" t="n">
        <v>1</v>
      </c>
      <c r="M2384" t="n">
        <v>0</v>
      </c>
    </row>
    <row r="2385" spans="1:13">
      <c r="A2385" s="1">
        <f>HYPERLINK("http://www.twitter.com/NathanBLawrence/status/998165688643616768", "998165688643616768")</f>
        <v/>
      </c>
      <c r="B2385" s="2" t="n">
        <v>43240.48401620371</v>
      </c>
      <c r="C2385" t="n">
        <v>0</v>
      </c>
      <c r="D2385" t="n">
        <v>1464</v>
      </c>
      <c r="E2385" t="s">
        <v>2391</v>
      </c>
      <c r="F2385" t="s"/>
      <c r="G2385" t="s"/>
      <c r="H2385" t="s"/>
      <c r="I2385" t="s"/>
      <c r="J2385" t="n">
        <v>0</v>
      </c>
      <c r="K2385" t="n">
        <v>0</v>
      </c>
      <c r="L2385" t="n">
        <v>1</v>
      </c>
      <c r="M2385" t="n">
        <v>0</v>
      </c>
    </row>
    <row r="2386" spans="1:13">
      <c r="A2386" s="1">
        <f>HYPERLINK("http://www.twitter.com/NathanBLawrence/status/998165636466577409", "998165636466577409")</f>
        <v/>
      </c>
      <c r="B2386" s="2" t="n">
        <v>43240.48387731481</v>
      </c>
      <c r="C2386" t="n">
        <v>0</v>
      </c>
      <c r="D2386" t="n">
        <v>73</v>
      </c>
      <c r="E2386" t="s">
        <v>2392</v>
      </c>
      <c r="F2386" t="s"/>
      <c r="G2386" t="s"/>
      <c r="H2386" t="s"/>
      <c r="I2386" t="s"/>
      <c r="J2386" t="n">
        <v>0.6086</v>
      </c>
      <c r="K2386" t="n">
        <v>0</v>
      </c>
      <c r="L2386" t="n">
        <v>0.801</v>
      </c>
      <c r="M2386" t="n">
        <v>0.199</v>
      </c>
    </row>
    <row r="2387" spans="1:13">
      <c r="A2387" s="1">
        <f>HYPERLINK("http://www.twitter.com/NathanBLawrence/status/998165560776159233", "998165560776159233")</f>
        <v/>
      </c>
      <c r="B2387" s="2" t="n">
        <v>43240.48366898148</v>
      </c>
      <c r="C2387" t="n">
        <v>0</v>
      </c>
      <c r="D2387" t="n">
        <v>213</v>
      </c>
      <c r="E2387" t="s">
        <v>2393</v>
      </c>
      <c r="F2387" t="s"/>
      <c r="G2387" t="s"/>
      <c r="H2387" t="s"/>
      <c r="I2387" t="s"/>
      <c r="J2387" t="n">
        <v>-0.7783</v>
      </c>
      <c r="K2387" t="n">
        <v>0.317</v>
      </c>
      <c r="L2387" t="n">
        <v>0.612</v>
      </c>
      <c r="M2387" t="n">
        <v>0.07199999999999999</v>
      </c>
    </row>
    <row r="2388" spans="1:13">
      <c r="A2388" s="1">
        <f>HYPERLINK("http://www.twitter.com/NathanBLawrence/status/998165334090764288", "998165334090764288")</f>
        <v/>
      </c>
      <c r="B2388" s="2" t="n">
        <v>43240.48304398148</v>
      </c>
      <c r="C2388" t="n">
        <v>0</v>
      </c>
      <c r="D2388" t="n">
        <v>21968</v>
      </c>
      <c r="E2388" t="s">
        <v>2394</v>
      </c>
      <c r="F2388" t="s"/>
      <c r="G2388" t="s"/>
      <c r="H2388" t="s"/>
      <c r="I2388" t="s"/>
      <c r="J2388" t="n">
        <v>0.4215</v>
      </c>
      <c r="K2388" t="n">
        <v>0</v>
      </c>
      <c r="L2388" t="n">
        <v>0.843</v>
      </c>
      <c r="M2388" t="n">
        <v>0.157</v>
      </c>
    </row>
    <row r="2389" spans="1:13">
      <c r="A2389" s="1">
        <f>HYPERLINK("http://www.twitter.com/NathanBLawrence/status/998165243103768576", "998165243103768576")</f>
        <v/>
      </c>
      <c r="B2389" s="2" t="n">
        <v>43240.48278935185</v>
      </c>
      <c r="C2389" t="n">
        <v>0</v>
      </c>
      <c r="D2389" t="n">
        <v>10610</v>
      </c>
      <c r="E2389" t="s">
        <v>2395</v>
      </c>
      <c r="F2389" t="s"/>
      <c r="G2389" t="s"/>
      <c r="H2389" t="s"/>
      <c r="I2389" t="s"/>
      <c r="J2389" t="n">
        <v>-0.3818</v>
      </c>
      <c r="K2389" t="n">
        <v>0.272</v>
      </c>
      <c r="L2389" t="n">
        <v>0.5600000000000001</v>
      </c>
      <c r="M2389" t="n">
        <v>0.168</v>
      </c>
    </row>
    <row r="2390" spans="1:13">
      <c r="A2390" s="1">
        <f>HYPERLINK("http://www.twitter.com/NathanBLawrence/status/998165219728912384", "998165219728912384")</f>
        <v/>
      </c>
      <c r="B2390" s="2" t="n">
        <v>43240.48273148148</v>
      </c>
      <c r="C2390" t="n">
        <v>0</v>
      </c>
      <c r="D2390" t="n">
        <v>0</v>
      </c>
      <c r="E2390" t="s">
        <v>2396</v>
      </c>
      <c r="F2390" t="s"/>
      <c r="G2390" t="s"/>
      <c r="H2390" t="s"/>
      <c r="I2390" t="s"/>
      <c r="J2390" t="n">
        <v>0</v>
      </c>
      <c r="K2390" t="n">
        <v>0</v>
      </c>
      <c r="L2390" t="n">
        <v>1</v>
      </c>
      <c r="M2390" t="n">
        <v>0</v>
      </c>
    </row>
    <row r="2391" spans="1:13">
      <c r="A2391" s="1">
        <f>HYPERLINK("http://www.twitter.com/NathanBLawrence/status/998164992385052677", "998164992385052677")</f>
        <v/>
      </c>
      <c r="B2391" s="2" t="n">
        <v>43240.48209490741</v>
      </c>
      <c r="C2391" t="n">
        <v>0</v>
      </c>
      <c r="D2391" t="n">
        <v>40</v>
      </c>
      <c r="E2391" t="s">
        <v>2397</v>
      </c>
      <c r="F2391">
        <f>HYPERLINK("http://pbs.twimg.com/media/Ddj0YCqX4AAg8Ri.jpg", "http://pbs.twimg.com/media/Ddj0YCqX4AAg8Ri.jpg")</f>
        <v/>
      </c>
      <c r="G2391" t="s"/>
      <c r="H2391" t="s"/>
      <c r="I2391" t="s"/>
      <c r="J2391" t="n">
        <v>-0.2664</v>
      </c>
      <c r="K2391" t="n">
        <v>0.148</v>
      </c>
      <c r="L2391" t="n">
        <v>0.746</v>
      </c>
      <c r="M2391" t="n">
        <v>0.106</v>
      </c>
    </row>
    <row r="2392" spans="1:13">
      <c r="A2392" s="1">
        <f>HYPERLINK("http://www.twitter.com/NathanBLawrence/status/998164608501342209", "998164608501342209")</f>
        <v/>
      </c>
      <c r="B2392" s="2" t="n">
        <v>43240.48104166667</v>
      </c>
      <c r="C2392" t="n">
        <v>0</v>
      </c>
      <c r="D2392" t="n">
        <v>3</v>
      </c>
      <c r="E2392" t="s">
        <v>2398</v>
      </c>
      <c r="F2392" t="s"/>
      <c r="G2392" t="s"/>
      <c r="H2392" t="s"/>
      <c r="I2392" t="s"/>
      <c r="J2392" t="n">
        <v>0</v>
      </c>
      <c r="K2392" t="n">
        <v>0</v>
      </c>
      <c r="L2392" t="n">
        <v>1</v>
      </c>
      <c r="M2392" t="n">
        <v>0</v>
      </c>
    </row>
    <row r="2393" spans="1:13">
      <c r="A2393" s="1">
        <f>HYPERLINK("http://www.twitter.com/NathanBLawrence/status/998163971545985024", "998163971545985024")</f>
        <v/>
      </c>
      <c r="B2393" s="2" t="n">
        <v>43240.47928240741</v>
      </c>
      <c r="C2393" t="n">
        <v>2</v>
      </c>
      <c r="D2393" t="n">
        <v>1</v>
      </c>
      <c r="E2393" t="s">
        <v>2399</v>
      </c>
      <c r="F2393" t="s"/>
      <c r="G2393" t="s"/>
      <c r="H2393" t="s"/>
      <c r="I2393" t="s"/>
      <c r="J2393" t="n">
        <v>0.1672</v>
      </c>
      <c r="K2393" t="n">
        <v>0.117</v>
      </c>
      <c r="L2393" t="n">
        <v>0.719</v>
      </c>
      <c r="M2393" t="n">
        <v>0.165</v>
      </c>
    </row>
    <row r="2394" spans="1:13">
      <c r="A2394" s="1">
        <f>HYPERLINK("http://www.twitter.com/NathanBLawrence/status/998036806334648325", "998036806334648325")</f>
        <v/>
      </c>
      <c r="B2394" s="2" t="n">
        <v>43240.12836805556</v>
      </c>
      <c r="C2394" t="n">
        <v>0</v>
      </c>
      <c r="D2394" t="n">
        <v>3</v>
      </c>
      <c r="E2394" t="s">
        <v>2400</v>
      </c>
      <c r="F2394" t="s"/>
      <c r="G2394" t="s"/>
      <c r="H2394" t="s"/>
      <c r="I2394" t="s"/>
      <c r="J2394" t="n">
        <v>-0.4215</v>
      </c>
      <c r="K2394" t="n">
        <v>0.197</v>
      </c>
      <c r="L2394" t="n">
        <v>0.726</v>
      </c>
      <c r="M2394" t="n">
        <v>0.077</v>
      </c>
    </row>
    <row r="2395" spans="1:13">
      <c r="A2395" s="1">
        <f>HYPERLINK("http://www.twitter.com/NathanBLawrence/status/998036731952852992", "998036731952852992")</f>
        <v/>
      </c>
      <c r="B2395" s="2" t="n">
        <v>43240.1281712963</v>
      </c>
      <c r="C2395" t="n">
        <v>0</v>
      </c>
      <c r="D2395" t="n">
        <v>1666</v>
      </c>
      <c r="E2395" t="s">
        <v>2401</v>
      </c>
      <c r="F2395">
        <f>HYPERLINK("http://pbs.twimg.com/media/Ddmugc_VMAU_eNS.jpg", "http://pbs.twimg.com/media/Ddmugc_VMAU_eNS.jpg")</f>
        <v/>
      </c>
      <c r="G2395" t="s"/>
      <c r="H2395" t="s"/>
      <c r="I2395" t="s"/>
      <c r="J2395" t="n">
        <v>0.6908</v>
      </c>
      <c r="K2395" t="n">
        <v>0</v>
      </c>
      <c r="L2395" t="n">
        <v>0.769</v>
      </c>
      <c r="M2395" t="n">
        <v>0.231</v>
      </c>
    </row>
    <row r="2396" spans="1:13">
      <c r="A2396" s="1">
        <f>HYPERLINK("http://www.twitter.com/NathanBLawrence/status/998036618723446784", "998036618723446784")</f>
        <v/>
      </c>
      <c r="B2396" s="2" t="n">
        <v>43240.1278587963</v>
      </c>
      <c r="C2396" t="n">
        <v>0</v>
      </c>
      <c r="D2396" t="n">
        <v>260</v>
      </c>
      <c r="E2396" t="s">
        <v>2402</v>
      </c>
      <c r="F2396">
        <f>HYPERLINK("http://pbs.twimg.com/media/Ddm5qtfU0AE5nLN.jpg", "http://pbs.twimg.com/media/Ddm5qtfU0AE5nLN.jpg")</f>
        <v/>
      </c>
      <c r="G2396" t="s"/>
      <c r="H2396" t="s"/>
      <c r="I2396" t="s"/>
      <c r="J2396" t="n">
        <v>-0.5574</v>
      </c>
      <c r="K2396" t="n">
        <v>0.153</v>
      </c>
      <c r="L2396" t="n">
        <v>0.847</v>
      </c>
      <c r="M2396" t="n">
        <v>0</v>
      </c>
    </row>
    <row r="2397" spans="1:13">
      <c r="A2397" s="1">
        <f>HYPERLINK("http://www.twitter.com/NathanBLawrence/status/998036507872153601", "998036507872153601")</f>
        <v/>
      </c>
      <c r="B2397" s="2" t="n">
        <v>43240.12754629629</v>
      </c>
      <c r="C2397" t="n">
        <v>0</v>
      </c>
      <c r="D2397" t="n">
        <v>17</v>
      </c>
      <c r="E2397" t="s">
        <v>2403</v>
      </c>
      <c r="F2397" t="s"/>
      <c r="G2397" t="s"/>
      <c r="H2397" t="s"/>
      <c r="I2397" t="s"/>
      <c r="J2397" t="n">
        <v>0.7506</v>
      </c>
      <c r="K2397" t="n">
        <v>0</v>
      </c>
      <c r="L2397" t="n">
        <v>0.766</v>
      </c>
      <c r="M2397" t="n">
        <v>0.234</v>
      </c>
    </row>
    <row r="2398" spans="1:13">
      <c r="A2398" s="1">
        <f>HYPERLINK("http://www.twitter.com/NathanBLawrence/status/998036369560756224", "998036369560756224")</f>
        <v/>
      </c>
      <c r="B2398" s="2" t="n">
        <v>43240.12716435185</v>
      </c>
      <c r="C2398" t="n">
        <v>0</v>
      </c>
      <c r="D2398" t="n">
        <v>1</v>
      </c>
      <c r="E2398" t="s">
        <v>2404</v>
      </c>
      <c r="F2398" t="s"/>
      <c r="G2398" t="s"/>
      <c r="H2398" t="s"/>
      <c r="I2398" t="s"/>
      <c r="J2398" t="n">
        <v>0.1511</v>
      </c>
      <c r="K2398" t="n">
        <v>0.051</v>
      </c>
      <c r="L2398" t="n">
        <v>0.876</v>
      </c>
      <c r="M2398" t="n">
        <v>0.073</v>
      </c>
    </row>
    <row r="2399" spans="1:13">
      <c r="A2399" s="1">
        <f>HYPERLINK("http://www.twitter.com/NathanBLawrence/status/998036240753725440", "998036240753725440")</f>
        <v/>
      </c>
      <c r="B2399" s="2" t="n">
        <v>43240.12681712963</v>
      </c>
      <c r="C2399" t="n">
        <v>0</v>
      </c>
      <c r="D2399" t="n">
        <v>156</v>
      </c>
      <c r="E2399" t="s">
        <v>2405</v>
      </c>
      <c r="F2399" t="s"/>
      <c r="G2399" t="s"/>
      <c r="H2399" t="s"/>
      <c r="I2399" t="s"/>
      <c r="J2399" t="n">
        <v>0.4019</v>
      </c>
      <c r="K2399" t="n">
        <v>0</v>
      </c>
      <c r="L2399" t="n">
        <v>0.649</v>
      </c>
      <c r="M2399" t="n">
        <v>0.351</v>
      </c>
    </row>
    <row r="2400" spans="1:13">
      <c r="A2400" s="1">
        <f>HYPERLINK("http://www.twitter.com/NathanBLawrence/status/998036149481410561", "998036149481410561")</f>
        <v/>
      </c>
      <c r="B2400" s="2" t="n">
        <v>43240.1265625</v>
      </c>
      <c r="C2400" t="n">
        <v>0</v>
      </c>
      <c r="D2400" t="n">
        <v>5601</v>
      </c>
      <c r="E2400" t="s">
        <v>2406</v>
      </c>
      <c r="F2400" t="s"/>
      <c r="G2400" t="s"/>
      <c r="H2400" t="s"/>
      <c r="I2400" t="s"/>
      <c r="J2400" t="n">
        <v>-0.8331</v>
      </c>
      <c r="K2400" t="n">
        <v>0.356</v>
      </c>
      <c r="L2400" t="n">
        <v>0.644</v>
      </c>
      <c r="M2400" t="n">
        <v>0</v>
      </c>
    </row>
    <row r="2401" spans="1:13">
      <c r="A2401" s="1">
        <f>HYPERLINK("http://www.twitter.com/NathanBLawrence/status/998035965212950528", "998035965212950528")</f>
        <v/>
      </c>
      <c r="B2401" s="2" t="n">
        <v>43240.12605324074</v>
      </c>
      <c r="C2401" t="n">
        <v>0</v>
      </c>
      <c r="D2401" t="n">
        <v>567</v>
      </c>
      <c r="E2401" t="s">
        <v>2407</v>
      </c>
      <c r="F2401">
        <f>HYPERLINK("http://pbs.twimg.com/media/Ddmyxm5VwAAeIiE.jpg", "http://pbs.twimg.com/media/Ddmyxm5VwAAeIiE.jpg")</f>
        <v/>
      </c>
      <c r="G2401" t="s"/>
      <c r="H2401" t="s"/>
      <c r="I2401" t="s"/>
      <c r="J2401" t="n">
        <v>-0.8176</v>
      </c>
      <c r="K2401" t="n">
        <v>0.309</v>
      </c>
      <c r="L2401" t="n">
        <v>0.6909999999999999</v>
      </c>
      <c r="M2401" t="n">
        <v>0</v>
      </c>
    </row>
    <row r="2402" spans="1:13">
      <c r="A2402" s="1">
        <f>HYPERLINK("http://www.twitter.com/NathanBLawrence/status/998035749374177287", "998035749374177287")</f>
        <v/>
      </c>
      <c r="B2402" s="2" t="n">
        <v>43240.12545138889</v>
      </c>
      <c r="C2402" t="n">
        <v>0</v>
      </c>
      <c r="D2402" t="n">
        <v>71</v>
      </c>
      <c r="E2402" t="s">
        <v>2408</v>
      </c>
      <c r="F2402" t="s"/>
      <c r="G2402" t="s"/>
      <c r="H2402" t="s"/>
      <c r="I2402" t="s"/>
      <c r="J2402" t="n">
        <v>0.5719</v>
      </c>
      <c r="K2402" t="n">
        <v>0</v>
      </c>
      <c r="L2402" t="n">
        <v>0.837</v>
      </c>
      <c r="M2402" t="n">
        <v>0.163</v>
      </c>
    </row>
    <row r="2403" spans="1:13">
      <c r="A2403" s="1">
        <f>HYPERLINK("http://www.twitter.com/NathanBLawrence/status/998031951318708224", "998031951318708224")</f>
        <v/>
      </c>
      <c r="B2403" s="2" t="n">
        <v>43240.11497685185</v>
      </c>
      <c r="C2403" t="n">
        <v>0</v>
      </c>
      <c r="D2403" t="n">
        <v>2</v>
      </c>
      <c r="E2403" t="s">
        <v>2409</v>
      </c>
      <c r="F2403" t="s"/>
      <c r="G2403" t="s"/>
      <c r="H2403" t="s"/>
      <c r="I2403" t="s"/>
      <c r="J2403" t="n">
        <v>0.4215</v>
      </c>
      <c r="K2403" t="n">
        <v>0</v>
      </c>
      <c r="L2403" t="n">
        <v>0.872</v>
      </c>
      <c r="M2403" t="n">
        <v>0.128</v>
      </c>
    </row>
    <row r="2404" spans="1:13">
      <c r="A2404" s="1">
        <f>HYPERLINK("http://www.twitter.com/NathanBLawrence/status/998031412174491648", "998031412174491648")</f>
        <v/>
      </c>
      <c r="B2404" s="2" t="n">
        <v>43240.1134837963</v>
      </c>
      <c r="C2404" t="n">
        <v>0</v>
      </c>
      <c r="D2404" t="n">
        <v>8</v>
      </c>
      <c r="E2404" t="s">
        <v>2410</v>
      </c>
      <c r="F2404" t="s"/>
      <c r="G2404" t="s"/>
      <c r="H2404" t="s"/>
      <c r="I2404" t="s"/>
      <c r="J2404" t="n">
        <v>0.4588</v>
      </c>
      <c r="K2404" t="n">
        <v>0</v>
      </c>
      <c r="L2404" t="n">
        <v>0.864</v>
      </c>
      <c r="M2404" t="n">
        <v>0.136</v>
      </c>
    </row>
    <row r="2405" spans="1:13">
      <c r="A2405" s="1">
        <f>HYPERLINK("http://www.twitter.com/NathanBLawrence/status/998030271474790401", "998030271474790401")</f>
        <v/>
      </c>
      <c r="B2405" s="2" t="n">
        <v>43240.11033564815</v>
      </c>
      <c r="C2405" t="n">
        <v>0</v>
      </c>
      <c r="D2405" t="n">
        <v>1570</v>
      </c>
      <c r="E2405" t="s">
        <v>2411</v>
      </c>
      <c r="F2405" t="s"/>
      <c r="G2405" t="s"/>
      <c r="H2405" t="s"/>
      <c r="I2405" t="s"/>
      <c r="J2405" t="n">
        <v>0</v>
      </c>
      <c r="K2405" t="n">
        <v>0</v>
      </c>
      <c r="L2405" t="n">
        <v>1</v>
      </c>
      <c r="M2405" t="n">
        <v>0</v>
      </c>
    </row>
    <row r="2406" spans="1:13">
      <c r="A2406" s="1">
        <f>HYPERLINK("http://www.twitter.com/NathanBLawrence/status/998030172346552320", "998030172346552320")</f>
        <v/>
      </c>
      <c r="B2406" s="2" t="n">
        <v>43240.11006944445</v>
      </c>
      <c r="C2406" t="n">
        <v>0</v>
      </c>
      <c r="D2406" t="n">
        <v>34</v>
      </c>
      <c r="E2406" t="s">
        <v>2412</v>
      </c>
      <c r="F2406" t="s"/>
      <c r="G2406" t="s"/>
      <c r="H2406" t="s"/>
      <c r="I2406" t="s"/>
      <c r="J2406" t="n">
        <v>-0.7184</v>
      </c>
      <c r="K2406" t="n">
        <v>0.231</v>
      </c>
      <c r="L2406" t="n">
        <v>0.769</v>
      </c>
      <c r="M2406" t="n">
        <v>0</v>
      </c>
    </row>
    <row r="2407" spans="1:13">
      <c r="A2407" s="1">
        <f>HYPERLINK("http://www.twitter.com/NathanBLawrence/status/998030104759603200", "998030104759603200")</f>
        <v/>
      </c>
      <c r="B2407" s="2" t="n">
        <v>43240.10988425926</v>
      </c>
      <c r="C2407" t="n">
        <v>0</v>
      </c>
      <c r="D2407" t="n">
        <v>148</v>
      </c>
      <c r="E2407" t="s">
        <v>2413</v>
      </c>
      <c r="F2407" t="s"/>
      <c r="G2407" t="s"/>
      <c r="H2407" t="s"/>
      <c r="I2407" t="s"/>
      <c r="J2407" t="n">
        <v>0.743</v>
      </c>
      <c r="K2407" t="n">
        <v>0</v>
      </c>
      <c r="L2407" t="n">
        <v>0.769</v>
      </c>
      <c r="M2407" t="n">
        <v>0.231</v>
      </c>
    </row>
    <row r="2408" spans="1:13">
      <c r="A2408" s="1">
        <f>HYPERLINK("http://www.twitter.com/NathanBLawrence/status/998030023608152064", "998030023608152064")</f>
        <v/>
      </c>
      <c r="B2408" s="2" t="n">
        <v>43240.10965277778</v>
      </c>
      <c r="C2408" t="n">
        <v>0</v>
      </c>
      <c r="D2408" t="n">
        <v>208</v>
      </c>
      <c r="E2408" t="s">
        <v>2414</v>
      </c>
      <c r="F2408" t="s"/>
      <c r="G2408" t="s"/>
      <c r="H2408" t="s"/>
      <c r="I2408" t="s"/>
      <c r="J2408" t="n">
        <v>0.0772</v>
      </c>
      <c r="K2408" t="n">
        <v>0</v>
      </c>
      <c r="L2408" t="n">
        <v>0.9389999999999999</v>
      </c>
      <c r="M2408" t="n">
        <v>0.061</v>
      </c>
    </row>
    <row r="2409" spans="1:13">
      <c r="A2409" s="1">
        <f>HYPERLINK("http://www.twitter.com/NathanBLawrence/status/998029801930788869", "998029801930788869")</f>
        <v/>
      </c>
      <c r="B2409" s="2" t="n">
        <v>43240.10903935185</v>
      </c>
      <c r="C2409" t="n">
        <v>0</v>
      </c>
      <c r="D2409" t="n">
        <v>164</v>
      </c>
      <c r="E2409" t="s">
        <v>2415</v>
      </c>
      <c r="F2409">
        <f>HYPERLINK("http://pbs.twimg.com/media/Ddk0DnZVMAA5f6U.jpg", "http://pbs.twimg.com/media/Ddk0DnZVMAA5f6U.jpg")</f>
        <v/>
      </c>
      <c r="G2409">
        <f>HYPERLINK("http://pbs.twimg.com/media/Ddk0DnaUQAAkStj.jpg", "http://pbs.twimg.com/media/Ddk0DnaUQAAkStj.jpg")</f>
        <v/>
      </c>
      <c r="H2409" t="s"/>
      <c r="I2409" t="s"/>
      <c r="J2409" t="n">
        <v>-0.5106000000000001</v>
      </c>
      <c r="K2409" t="n">
        <v>0.136</v>
      </c>
      <c r="L2409" t="n">
        <v>0.864</v>
      </c>
      <c r="M2409" t="n">
        <v>0</v>
      </c>
    </row>
    <row r="2410" spans="1:13">
      <c r="A2410" s="1">
        <f>HYPERLINK("http://www.twitter.com/NathanBLawrence/status/998029196445274112", "998029196445274112")</f>
        <v/>
      </c>
      <c r="B2410" s="2" t="n">
        <v>43240.10737268518</v>
      </c>
      <c r="C2410" t="n">
        <v>0</v>
      </c>
      <c r="D2410" t="n">
        <v>2133</v>
      </c>
      <c r="E2410" t="s">
        <v>2416</v>
      </c>
      <c r="F2410" t="s"/>
      <c r="G2410" t="s"/>
      <c r="H2410" t="s"/>
      <c r="I2410" t="s"/>
      <c r="J2410" t="n">
        <v>-0.5859</v>
      </c>
      <c r="K2410" t="n">
        <v>0.137</v>
      </c>
      <c r="L2410" t="n">
        <v>0.863</v>
      </c>
      <c r="M2410" t="n">
        <v>0</v>
      </c>
    </row>
    <row r="2411" spans="1:13">
      <c r="A2411" s="1">
        <f>HYPERLINK("http://www.twitter.com/NathanBLawrence/status/998028548513419264", "998028548513419264")</f>
        <v/>
      </c>
      <c r="B2411" s="2" t="n">
        <v>43240.10559027778</v>
      </c>
      <c r="C2411" t="n">
        <v>0</v>
      </c>
      <c r="D2411" t="n">
        <v>690</v>
      </c>
      <c r="E2411" t="s">
        <v>2417</v>
      </c>
      <c r="F2411" t="s"/>
      <c r="G2411" t="s"/>
      <c r="H2411" t="s"/>
      <c r="I2411" t="s"/>
      <c r="J2411" t="n">
        <v>-0.25</v>
      </c>
      <c r="K2411" t="n">
        <v>0.094</v>
      </c>
      <c r="L2411" t="n">
        <v>0.8120000000000001</v>
      </c>
      <c r="M2411" t="n">
        <v>0.094</v>
      </c>
    </row>
    <row r="2412" spans="1:13">
      <c r="A2412" s="1">
        <f>HYPERLINK("http://www.twitter.com/NathanBLawrence/status/998028337116254208", "998028337116254208")</f>
        <v/>
      </c>
      <c r="B2412" s="2" t="n">
        <v>43240.105</v>
      </c>
      <c r="C2412" t="n">
        <v>0</v>
      </c>
      <c r="D2412" t="n">
        <v>69</v>
      </c>
      <c r="E2412" t="s">
        <v>2418</v>
      </c>
      <c r="F2412" t="s"/>
      <c r="G2412" t="s"/>
      <c r="H2412" t="s"/>
      <c r="I2412" t="s"/>
      <c r="J2412" t="n">
        <v>0</v>
      </c>
      <c r="K2412" t="n">
        <v>0</v>
      </c>
      <c r="L2412" t="n">
        <v>1</v>
      </c>
      <c r="M2412" t="n">
        <v>0</v>
      </c>
    </row>
    <row r="2413" spans="1:13">
      <c r="A2413" s="1">
        <f>HYPERLINK("http://www.twitter.com/NathanBLawrence/status/998028217603805184", "998028217603805184")</f>
        <v/>
      </c>
      <c r="B2413" s="2" t="n">
        <v>43240.10467592593</v>
      </c>
      <c r="C2413" t="n">
        <v>0</v>
      </c>
      <c r="D2413" t="n">
        <v>197</v>
      </c>
      <c r="E2413" t="s">
        <v>2419</v>
      </c>
      <c r="F2413" t="s"/>
      <c r="G2413" t="s"/>
      <c r="H2413" t="s"/>
      <c r="I2413" t="s"/>
      <c r="J2413" t="n">
        <v>-0.8455</v>
      </c>
      <c r="K2413" t="n">
        <v>0.3</v>
      </c>
      <c r="L2413" t="n">
        <v>0.7</v>
      </c>
      <c r="M2413" t="n">
        <v>0</v>
      </c>
    </row>
    <row r="2414" spans="1:13">
      <c r="A2414" s="1">
        <f>HYPERLINK("http://www.twitter.com/NathanBLawrence/status/998027881413562368", "998027881413562368")</f>
        <v/>
      </c>
      <c r="B2414" s="2" t="n">
        <v>43240.10375</v>
      </c>
      <c r="C2414" t="n">
        <v>0</v>
      </c>
      <c r="D2414" t="n">
        <v>42</v>
      </c>
      <c r="E2414" t="s">
        <v>2420</v>
      </c>
      <c r="F2414" t="s"/>
      <c r="G2414" t="s"/>
      <c r="H2414" t="s"/>
      <c r="I2414" t="s"/>
      <c r="J2414" t="n">
        <v>0</v>
      </c>
      <c r="K2414" t="n">
        <v>0</v>
      </c>
      <c r="L2414" t="n">
        <v>1</v>
      </c>
      <c r="M2414" t="n">
        <v>0</v>
      </c>
    </row>
    <row r="2415" spans="1:13">
      <c r="A2415" s="1">
        <f>HYPERLINK("http://www.twitter.com/NathanBLawrence/status/998027626945089536", "998027626945089536")</f>
        <v/>
      </c>
      <c r="B2415" s="2" t="n">
        <v>43240.10304398148</v>
      </c>
      <c r="C2415" t="n">
        <v>0</v>
      </c>
      <c r="D2415" t="n">
        <v>639</v>
      </c>
      <c r="E2415" t="s">
        <v>2421</v>
      </c>
      <c r="F2415">
        <f>HYPERLINK("http://pbs.twimg.com/media/DdmiG0-U0AIrnh8.jpg", "http://pbs.twimg.com/media/DdmiG0-U0AIrnh8.jpg")</f>
        <v/>
      </c>
      <c r="G2415" t="s"/>
      <c r="H2415" t="s"/>
      <c r="I2415" t="s"/>
      <c r="J2415" t="n">
        <v>0</v>
      </c>
      <c r="K2415" t="n">
        <v>0</v>
      </c>
      <c r="L2415" t="n">
        <v>1</v>
      </c>
      <c r="M2415" t="n">
        <v>0</v>
      </c>
    </row>
    <row r="2416" spans="1:13">
      <c r="A2416" s="1">
        <f>HYPERLINK("http://www.twitter.com/NathanBLawrence/status/998027595227820032", "998027595227820032")</f>
        <v/>
      </c>
      <c r="B2416" s="2" t="n">
        <v>43240.10295138889</v>
      </c>
      <c r="C2416" t="n">
        <v>0</v>
      </c>
      <c r="D2416" t="n">
        <v>1282</v>
      </c>
      <c r="E2416" t="s">
        <v>2422</v>
      </c>
      <c r="F2416" t="s"/>
      <c r="G2416" t="s"/>
      <c r="H2416" t="s"/>
      <c r="I2416" t="s"/>
      <c r="J2416" t="n">
        <v>0</v>
      </c>
      <c r="K2416" t="n">
        <v>0</v>
      </c>
      <c r="L2416" t="n">
        <v>1</v>
      </c>
      <c r="M2416" t="n">
        <v>0</v>
      </c>
    </row>
    <row r="2417" spans="1:13">
      <c r="A2417" s="1">
        <f>HYPERLINK("http://www.twitter.com/NathanBLawrence/status/998027221980925954", "998027221980925954")</f>
        <v/>
      </c>
      <c r="B2417" s="2" t="n">
        <v>43240.10192129629</v>
      </c>
      <c r="C2417" t="n">
        <v>0</v>
      </c>
      <c r="D2417" t="n">
        <v>1012</v>
      </c>
      <c r="E2417" t="s">
        <v>2423</v>
      </c>
      <c r="F2417">
        <f>HYPERLINK("http://pbs.twimg.com/media/DdluSIWUQAA9WDq.jpg", "http://pbs.twimg.com/media/DdluSIWUQAA9WDq.jpg")</f>
        <v/>
      </c>
      <c r="G2417" t="s"/>
      <c r="H2417" t="s"/>
      <c r="I2417" t="s"/>
      <c r="J2417" t="n">
        <v>-0.8875999999999999</v>
      </c>
      <c r="K2417" t="n">
        <v>0.469</v>
      </c>
      <c r="L2417" t="n">
        <v>0.531</v>
      </c>
      <c r="M2417" t="n">
        <v>0</v>
      </c>
    </row>
    <row r="2418" spans="1:13">
      <c r="A2418" s="1">
        <f>HYPERLINK("http://www.twitter.com/NathanBLawrence/status/998026651731718144", "998026651731718144")</f>
        <v/>
      </c>
      <c r="B2418" s="2" t="n">
        <v>43240.10034722222</v>
      </c>
      <c r="C2418" t="n">
        <v>0</v>
      </c>
      <c r="D2418" t="n">
        <v>594</v>
      </c>
      <c r="E2418" t="s">
        <v>2424</v>
      </c>
      <c r="F2418">
        <f>HYPERLINK("http://pbs.twimg.com/media/DdiivtZU8AU6J0F.jpg", "http://pbs.twimg.com/media/DdiivtZU8AU6J0F.jpg")</f>
        <v/>
      </c>
      <c r="G2418">
        <f>HYPERLINK("http://pbs.twimg.com/media/DdiiygjV4AArZcS.jpg", "http://pbs.twimg.com/media/DdiiygjV4AArZcS.jpg")</f>
        <v/>
      </c>
      <c r="H2418" t="s"/>
      <c r="I2418" t="s"/>
      <c r="J2418" t="n">
        <v>0</v>
      </c>
      <c r="K2418" t="n">
        <v>0</v>
      </c>
      <c r="L2418" t="n">
        <v>1</v>
      </c>
      <c r="M2418" t="n">
        <v>0</v>
      </c>
    </row>
    <row r="2419" spans="1:13">
      <c r="A2419" s="1">
        <f>HYPERLINK("http://www.twitter.com/NathanBLawrence/status/998026573700911104", "998026573700911104")</f>
        <v/>
      </c>
      <c r="B2419" s="2" t="n">
        <v>43240.10013888889</v>
      </c>
      <c r="C2419" t="n">
        <v>0</v>
      </c>
      <c r="D2419" t="n">
        <v>247</v>
      </c>
      <c r="E2419" t="s">
        <v>2425</v>
      </c>
      <c r="F2419" t="s"/>
      <c r="G2419" t="s"/>
      <c r="H2419" t="s"/>
      <c r="I2419" t="s"/>
      <c r="J2419" t="n">
        <v>0</v>
      </c>
      <c r="K2419" t="n">
        <v>0</v>
      </c>
      <c r="L2419" t="n">
        <v>1</v>
      </c>
      <c r="M2419" t="n">
        <v>0</v>
      </c>
    </row>
    <row r="2420" spans="1:13">
      <c r="A2420" s="1">
        <f>HYPERLINK("http://www.twitter.com/NathanBLawrence/status/998026521146216454", "998026521146216454")</f>
        <v/>
      </c>
      <c r="B2420" s="2" t="n">
        <v>43240.09998842593</v>
      </c>
      <c r="C2420" t="n">
        <v>0</v>
      </c>
      <c r="D2420" t="n">
        <v>1109</v>
      </c>
      <c r="E2420" t="s">
        <v>2426</v>
      </c>
      <c r="F2420">
        <f>HYPERLINK("http://pbs.twimg.com/media/DdigplMUQAAzbdY.jpg", "http://pbs.twimg.com/media/DdigplMUQAAzbdY.jpg")</f>
        <v/>
      </c>
      <c r="G2420" t="s"/>
      <c r="H2420" t="s"/>
      <c r="I2420" t="s"/>
      <c r="J2420" t="n">
        <v>0.3182</v>
      </c>
      <c r="K2420" t="n">
        <v>0</v>
      </c>
      <c r="L2420" t="n">
        <v>0.887</v>
      </c>
      <c r="M2420" t="n">
        <v>0.113</v>
      </c>
    </row>
    <row r="2421" spans="1:13">
      <c r="A2421" s="1">
        <f>HYPERLINK("http://www.twitter.com/NathanBLawrence/status/998024906947391489", "998024906947391489")</f>
        <v/>
      </c>
      <c r="B2421" s="2" t="n">
        <v>43240.09553240741</v>
      </c>
      <c r="C2421" t="n">
        <v>0</v>
      </c>
      <c r="D2421" t="n">
        <v>716</v>
      </c>
      <c r="E2421" t="s">
        <v>2427</v>
      </c>
      <c r="F2421">
        <f>HYPERLINK("http://pbs.twimg.com/media/DdhuQH1XcAIo4CY.jpg", "http://pbs.twimg.com/media/DdhuQH1XcAIo4CY.jpg")</f>
        <v/>
      </c>
      <c r="G2421" t="s"/>
      <c r="H2421" t="s"/>
      <c r="I2421" t="s"/>
      <c r="J2421" t="n">
        <v>-0.1027</v>
      </c>
      <c r="K2421" t="n">
        <v>0.06</v>
      </c>
      <c r="L2421" t="n">
        <v>0.9399999999999999</v>
      </c>
      <c r="M2421" t="n">
        <v>0</v>
      </c>
    </row>
    <row r="2422" spans="1:13">
      <c r="A2422" s="1">
        <f>HYPERLINK("http://www.twitter.com/NathanBLawrence/status/998024298811002882", "998024298811002882")</f>
        <v/>
      </c>
      <c r="B2422" s="2" t="n">
        <v>43240.09385416667</v>
      </c>
      <c r="C2422" t="n">
        <v>0</v>
      </c>
      <c r="D2422" t="n">
        <v>82</v>
      </c>
      <c r="E2422" t="s">
        <v>2428</v>
      </c>
      <c r="F2422" t="s"/>
      <c r="G2422" t="s"/>
      <c r="H2422" t="s"/>
      <c r="I2422" t="s"/>
      <c r="J2422" t="n">
        <v>0</v>
      </c>
      <c r="K2422" t="n">
        <v>0</v>
      </c>
      <c r="L2422" t="n">
        <v>1</v>
      </c>
      <c r="M2422" t="n">
        <v>0</v>
      </c>
    </row>
    <row r="2423" spans="1:13">
      <c r="A2423" s="1">
        <f>HYPERLINK("http://www.twitter.com/NathanBLawrence/status/998024152710832130", "998024152710832130")</f>
        <v/>
      </c>
      <c r="B2423" s="2" t="n">
        <v>43240.09346064815</v>
      </c>
      <c r="C2423" t="n">
        <v>0</v>
      </c>
      <c r="D2423" t="n">
        <v>1276</v>
      </c>
      <c r="E2423" t="s">
        <v>2429</v>
      </c>
      <c r="F2423" t="s"/>
      <c r="G2423" t="s"/>
      <c r="H2423" t="s"/>
      <c r="I2423" t="s"/>
      <c r="J2423" t="n">
        <v>0.872</v>
      </c>
      <c r="K2423" t="n">
        <v>0</v>
      </c>
      <c r="L2423" t="n">
        <v>0.68</v>
      </c>
      <c r="M2423" t="n">
        <v>0.32</v>
      </c>
    </row>
    <row r="2424" spans="1:13">
      <c r="A2424" s="1">
        <f>HYPERLINK("http://www.twitter.com/NathanBLawrence/status/998024081101459457", "998024081101459457")</f>
        <v/>
      </c>
      <c r="B2424" s="2" t="n">
        <v>43240.09325231481</v>
      </c>
      <c r="C2424" t="n">
        <v>0</v>
      </c>
      <c r="D2424" t="n">
        <v>316</v>
      </c>
      <c r="E2424" t="s">
        <v>2430</v>
      </c>
      <c r="F2424" t="s"/>
      <c r="G2424" t="s"/>
      <c r="H2424" t="s"/>
      <c r="I2424" t="s"/>
      <c r="J2424" t="n">
        <v>-0.2748</v>
      </c>
      <c r="K2424" t="n">
        <v>0.248</v>
      </c>
      <c r="L2424" t="n">
        <v>0.599</v>
      </c>
      <c r="M2424" t="n">
        <v>0.153</v>
      </c>
    </row>
    <row r="2425" spans="1:13">
      <c r="A2425" s="1">
        <f>HYPERLINK("http://www.twitter.com/NathanBLawrence/status/998024006078009344", "998024006078009344")</f>
        <v/>
      </c>
      <c r="B2425" s="2" t="n">
        <v>43240.09305555555</v>
      </c>
      <c r="C2425" t="n">
        <v>0</v>
      </c>
      <c r="D2425" t="n">
        <v>552</v>
      </c>
      <c r="E2425" t="s">
        <v>2431</v>
      </c>
      <c r="F2425" t="s"/>
      <c r="G2425" t="s"/>
      <c r="H2425" t="s"/>
      <c r="I2425" t="s"/>
      <c r="J2425" t="n">
        <v>-0.6697</v>
      </c>
      <c r="K2425" t="n">
        <v>0.215</v>
      </c>
      <c r="L2425" t="n">
        <v>0.785</v>
      </c>
      <c r="M2425" t="n">
        <v>0</v>
      </c>
    </row>
    <row r="2426" spans="1:13">
      <c r="A2426" s="1">
        <f>HYPERLINK("http://www.twitter.com/NathanBLawrence/status/998022821237481472", "998022821237481472")</f>
        <v/>
      </c>
      <c r="B2426" s="2" t="n">
        <v>43240.0897800926</v>
      </c>
      <c r="C2426" t="n">
        <v>0</v>
      </c>
      <c r="D2426" t="n">
        <v>10602</v>
      </c>
      <c r="E2426" t="s">
        <v>2432</v>
      </c>
      <c r="F2426" t="s"/>
      <c r="G2426" t="s"/>
      <c r="H2426" t="s"/>
      <c r="I2426" t="s"/>
      <c r="J2426" t="n">
        <v>-0.4404</v>
      </c>
      <c r="K2426" t="n">
        <v>0.127</v>
      </c>
      <c r="L2426" t="n">
        <v>0.873</v>
      </c>
      <c r="M2426" t="n">
        <v>0</v>
      </c>
    </row>
    <row r="2427" spans="1:13">
      <c r="A2427" s="1">
        <f>HYPERLINK("http://www.twitter.com/NathanBLawrence/status/997990515286126593", "997990515286126593")</f>
        <v/>
      </c>
      <c r="B2427" s="2" t="n">
        <v>43240.00063657408</v>
      </c>
      <c r="C2427" t="n">
        <v>0</v>
      </c>
      <c r="D2427" t="n">
        <v>1475</v>
      </c>
      <c r="E2427" t="s">
        <v>2433</v>
      </c>
      <c r="F2427" t="s"/>
      <c r="G2427" t="s"/>
      <c r="H2427" t="s"/>
      <c r="I2427" t="s"/>
      <c r="J2427" t="n">
        <v>0</v>
      </c>
      <c r="K2427" t="n">
        <v>0</v>
      </c>
      <c r="L2427" t="n">
        <v>1</v>
      </c>
      <c r="M2427" t="n">
        <v>0</v>
      </c>
    </row>
    <row r="2428" spans="1:13">
      <c r="A2428" s="1">
        <f>HYPERLINK("http://www.twitter.com/NathanBLawrence/status/997990149618323457", "997990149618323457")</f>
        <v/>
      </c>
      <c r="B2428" s="2" t="n">
        <v>43239.99962962963</v>
      </c>
      <c r="C2428" t="n">
        <v>0</v>
      </c>
      <c r="D2428" t="n">
        <v>1</v>
      </c>
      <c r="E2428" t="s">
        <v>2434</v>
      </c>
      <c r="F2428" t="s"/>
      <c r="G2428" t="s"/>
      <c r="H2428" t="s"/>
      <c r="I2428" t="s"/>
      <c r="J2428" t="n">
        <v>-0.5106000000000001</v>
      </c>
      <c r="K2428" t="n">
        <v>0.355</v>
      </c>
      <c r="L2428" t="n">
        <v>0.645</v>
      </c>
      <c r="M2428" t="n">
        <v>0</v>
      </c>
    </row>
    <row r="2429" spans="1:13">
      <c r="A2429" s="1">
        <f>HYPERLINK("http://www.twitter.com/NathanBLawrence/status/997990021780078593", "997990021780078593")</f>
        <v/>
      </c>
      <c r="B2429" s="2" t="n">
        <v>43239.99927083333</v>
      </c>
      <c r="C2429" t="n">
        <v>0</v>
      </c>
      <c r="D2429" t="n">
        <v>36130</v>
      </c>
      <c r="E2429" t="s">
        <v>2435</v>
      </c>
      <c r="F2429" t="s"/>
      <c r="G2429" t="s"/>
      <c r="H2429" t="s"/>
      <c r="I2429" t="s"/>
      <c r="J2429" t="n">
        <v>0.4588</v>
      </c>
      <c r="K2429" t="n">
        <v>0</v>
      </c>
      <c r="L2429" t="n">
        <v>0.88</v>
      </c>
      <c r="M2429" t="n">
        <v>0.12</v>
      </c>
    </row>
    <row r="2430" spans="1:13">
      <c r="A2430" s="1">
        <f>HYPERLINK("http://www.twitter.com/NathanBLawrence/status/997989863717818369", "997989863717818369")</f>
        <v/>
      </c>
      <c r="B2430" s="2" t="n">
        <v>43239.99883101852</v>
      </c>
      <c r="C2430" t="n">
        <v>0</v>
      </c>
      <c r="D2430" t="n">
        <v>97</v>
      </c>
      <c r="E2430" t="s">
        <v>2436</v>
      </c>
      <c r="F2430">
        <f>HYPERLINK("http://pbs.twimg.com/media/Ddl8ZZ_V0AAN1qo.jpg", "http://pbs.twimg.com/media/Ddl8ZZ_V0AAN1qo.jpg")</f>
        <v/>
      </c>
      <c r="G2430" t="s"/>
      <c r="H2430" t="s"/>
      <c r="I2430" t="s"/>
      <c r="J2430" t="n">
        <v>-0.758</v>
      </c>
      <c r="K2430" t="n">
        <v>0.265</v>
      </c>
      <c r="L2430" t="n">
        <v>0.735</v>
      </c>
      <c r="M2430" t="n">
        <v>0</v>
      </c>
    </row>
    <row r="2431" spans="1:13">
      <c r="A2431" s="1">
        <f>HYPERLINK("http://www.twitter.com/NathanBLawrence/status/997989324275748864", "997989324275748864")</f>
        <v/>
      </c>
      <c r="B2431" s="2" t="n">
        <v>43239.99734953704</v>
      </c>
      <c r="C2431" t="n">
        <v>0</v>
      </c>
      <c r="D2431" t="n">
        <v>1748</v>
      </c>
      <c r="E2431" t="s">
        <v>2437</v>
      </c>
      <c r="F2431" t="s"/>
      <c r="G2431" t="s"/>
      <c r="H2431" t="s"/>
      <c r="I2431" t="s"/>
      <c r="J2431" t="n">
        <v>0</v>
      </c>
      <c r="K2431" t="n">
        <v>0</v>
      </c>
      <c r="L2431" t="n">
        <v>1</v>
      </c>
      <c r="M2431" t="n">
        <v>0</v>
      </c>
    </row>
    <row r="2432" spans="1:13">
      <c r="A2432" s="1">
        <f>HYPERLINK("http://www.twitter.com/NathanBLawrence/status/997988392150368256", "997988392150368256")</f>
        <v/>
      </c>
      <c r="B2432" s="2" t="n">
        <v>43239.99478009259</v>
      </c>
      <c r="C2432" t="n">
        <v>0</v>
      </c>
      <c r="D2432" t="n">
        <v>89</v>
      </c>
      <c r="E2432" t="s">
        <v>2438</v>
      </c>
      <c r="F2432" t="s"/>
      <c r="G2432" t="s"/>
      <c r="H2432" t="s"/>
      <c r="I2432" t="s"/>
      <c r="J2432" t="n">
        <v>0.2751</v>
      </c>
      <c r="K2432" t="n">
        <v>0.075</v>
      </c>
      <c r="L2432" t="n">
        <v>0.798</v>
      </c>
      <c r="M2432" t="n">
        <v>0.127</v>
      </c>
    </row>
    <row r="2433" spans="1:13">
      <c r="A2433" s="1">
        <f>HYPERLINK("http://www.twitter.com/NathanBLawrence/status/997988363813707778", "997988363813707778")</f>
        <v/>
      </c>
      <c r="B2433" s="2" t="n">
        <v>43239.99469907407</v>
      </c>
      <c r="C2433" t="n">
        <v>0</v>
      </c>
      <c r="D2433" t="n">
        <v>88</v>
      </c>
      <c r="E2433" t="s">
        <v>2439</v>
      </c>
      <c r="F2433" t="s"/>
      <c r="G2433" t="s"/>
      <c r="H2433" t="s"/>
      <c r="I2433" t="s"/>
      <c r="J2433" t="n">
        <v>-0.633</v>
      </c>
      <c r="K2433" t="n">
        <v>0.28</v>
      </c>
      <c r="L2433" t="n">
        <v>0.609</v>
      </c>
      <c r="M2433" t="n">
        <v>0.111</v>
      </c>
    </row>
    <row r="2434" spans="1:13">
      <c r="A2434" s="1">
        <f>HYPERLINK("http://www.twitter.com/NathanBLawrence/status/997988312718684160", "997988312718684160")</f>
        <v/>
      </c>
      <c r="B2434" s="2" t="n">
        <v>43239.99456018519</v>
      </c>
      <c r="C2434" t="n">
        <v>0</v>
      </c>
      <c r="D2434" t="n">
        <v>1463</v>
      </c>
      <c r="E2434" t="s">
        <v>2440</v>
      </c>
      <c r="F2434" t="s"/>
      <c r="G2434" t="s"/>
      <c r="H2434" t="s"/>
      <c r="I2434" t="s"/>
      <c r="J2434" t="n">
        <v>0</v>
      </c>
      <c r="K2434" t="n">
        <v>0</v>
      </c>
      <c r="L2434" t="n">
        <v>1</v>
      </c>
      <c r="M2434" t="n">
        <v>0</v>
      </c>
    </row>
    <row r="2435" spans="1:13">
      <c r="A2435" s="1">
        <f>HYPERLINK("http://www.twitter.com/NathanBLawrence/status/997988067876188160", "997988067876188160")</f>
        <v/>
      </c>
      <c r="B2435" s="2" t="n">
        <v>43239.99387731482</v>
      </c>
      <c r="C2435" t="n">
        <v>0</v>
      </c>
      <c r="D2435" t="n">
        <v>2713</v>
      </c>
      <c r="E2435" t="s">
        <v>2441</v>
      </c>
      <c r="F2435" t="s"/>
      <c r="G2435" t="s"/>
      <c r="H2435" t="s"/>
      <c r="I2435" t="s"/>
      <c r="J2435" t="n">
        <v>-0.8126</v>
      </c>
      <c r="K2435" t="n">
        <v>0.252</v>
      </c>
      <c r="L2435" t="n">
        <v>0.748</v>
      </c>
      <c r="M2435" t="n">
        <v>0</v>
      </c>
    </row>
    <row r="2436" spans="1:13">
      <c r="A2436" s="1">
        <f>HYPERLINK("http://www.twitter.com/NathanBLawrence/status/997982286447628288", "997982286447628288")</f>
        <v/>
      </c>
      <c r="B2436" s="2" t="n">
        <v>43239.97792824074</v>
      </c>
      <c r="C2436" t="n">
        <v>0</v>
      </c>
      <c r="D2436" t="n">
        <v>1</v>
      </c>
      <c r="E2436" t="s">
        <v>2442</v>
      </c>
      <c r="F2436" t="s"/>
      <c r="G2436" t="s"/>
      <c r="H2436" t="s"/>
      <c r="I2436" t="s"/>
      <c r="J2436" t="n">
        <v>0</v>
      </c>
      <c r="K2436" t="n">
        <v>0</v>
      </c>
      <c r="L2436" t="n">
        <v>1</v>
      </c>
      <c r="M2436" t="n">
        <v>0</v>
      </c>
    </row>
    <row r="2437" spans="1:13">
      <c r="A2437" s="1">
        <f>HYPERLINK("http://www.twitter.com/NathanBLawrence/status/997982260400975872", "997982260400975872")</f>
        <v/>
      </c>
      <c r="B2437" s="2" t="n">
        <v>43239.97785879629</v>
      </c>
      <c r="C2437" t="n">
        <v>0</v>
      </c>
      <c r="D2437" t="n">
        <v>4</v>
      </c>
      <c r="E2437" t="s">
        <v>2443</v>
      </c>
      <c r="F2437" t="s"/>
      <c r="G2437" t="s"/>
      <c r="H2437" t="s"/>
      <c r="I2437" t="s"/>
      <c r="J2437" t="n">
        <v>0.4019</v>
      </c>
      <c r="K2437" t="n">
        <v>0</v>
      </c>
      <c r="L2437" t="n">
        <v>0.895</v>
      </c>
      <c r="M2437" t="n">
        <v>0.105</v>
      </c>
    </row>
    <row r="2438" spans="1:13">
      <c r="A2438" s="1">
        <f>HYPERLINK("http://www.twitter.com/NathanBLawrence/status/997982222425690112", "997982222425690112")</f>
        <v/>
      </c>
      <c r="B2438" s="2" t="n">
        <v>43239.97775462963</v>
      </c>
      <c r="C2438" t="n">
        <v>0</v>
      </c>
      <c r="D2438" t="n">
        <v>188</v>
      </c>
      <c r="E2438" t="s">
        <v>2444</v>
      </c>
      <c r="F2438">
        <f>HYPERLINK("https://video.twimg.com/ext_tw_video/997914061617561600/pu/vid/720x1280/tAcCoAYfim7Ctusk.mp4?tag=3", "https://video.twimg.com/ext_tw_video/997914061617561600/pu/vid/720x1280/tAcCoAYfim7Ctusk.mp4?tag=3")</f>
        <v/>
      </c>
      <c r="G2438" t="s"/>
      <c r="H2438" t="s"/>
      <c r="I2438" t="s"/>
      <c r="J2438" t="n">
        <v>0.5499000000000001</v>
      </c>
      <c r="K2438" t="n">
        <v>0</v>
      </c>
      <c r="L2438" t="n">
        <v>0.843</v>
      </c>
      <c r="M2438" t="n">
        <v>0.157</v>
      </c>
    </row>
    <row r="2439" spans="1:13">
      <c r="A2439" s="1">
        <f>HYPERLINK("http://www.twitter.com/NathanBLawrence/status/997982006058323971", "997982006058323971")</f>
        <v/>
      </c>
      <c r="B2439" s="2" t="n">
        <v>43239.97715277778</v>
      </c>
      <c r="C2439" t="n">
        <v>0</v>
      </c>
      <c r="D2439" t="n">
        <v>151</v>
      </c>
      <c r="E2439" t="s">
        <v>2445</v>
      </c>
      <c r="F2439" t="s"/>
      <c r="G2439" t="s"/>
      <c r="H2439" t="s"/>
      <c r="I2439" t="s"/>
      <c r="J2439" t="n">
        <v>0</v>
      </c>
      <c r="K2439" t="n">
        <v>0</v>
      </c>
      <c r="L2439" t="n">
        <v>1</v>
      </c>
      <c r="M2439" t="n">
        <v>0</v>
      </c>
    </row>
    <row r="2440" spans="1:13">
      <c r="A2440" s="1">
        <f>HYPERLINK("http://www.twitter.com/NathanBLawrence/status/997981731117588480", "997981731117588480")</f>
        <v/>
      </c>
      <c r="B2440" s="2" t="n">
        <v>43239.97638888889</v>
      </c>
      <c r="C2440" t="n">
        <v>0</v>
      </c>
      <c r="D2440" t="n">
        <v>0</v>
      </c>
      <c r="E2440" t="s">
        <v>2446</v>
      </c>
      <c r="F2440" t="s"/>
      <c r="G2440" t="s"/>
      <c r="H2440" t="s"/>
      <c r="I2440" t="s"/>
      <c r="J2440" t="n">
        <v>-0.929</v>
      </c>
      <c r="K2440" t="n">
        <v>0.399</v>
      </c>
      <c r="L2440" t="n">
        <v>0.535</v>
      </c>
      <c r="M2440" t="n">
        <v>0.066</v>
      </c>
    </row>
    <row r="2441" spans="1:13">
      <c r="A2441" s="1">
        <f>HYPERLINK("http://www.twitter.com/NathanBLawrence/status/997980911038877699", "997980911038877699")</f>
        <v/>
      </c>
      <c r="B2441" s="2" t="n">
        <v>43239.97413194444</v>
      </c>
      <c r="C2441" t="n">
        <v>0</v>
      </c>
      <c r="D2441" t="n">
        <v>0</v>
      </c>
      <c r="E2441" t="s">
        <v>2447</v>
      </c>
      <c r="F2441" t="s"/>
      <c r="G2441" t="s"/>
      <c r="H2441" t="s"/>
      <c r="I2441" t="s"/>
      <c r="J2441" t="n">
        <v>0.5399</v>
      </c>
      <c r="K2441" t="n">
        <v>0</v>
      </c>
      <c r="L2441" t="n">
        <v>0.633</v>
      </c>
      <c r="M2441" t="n">
        <v>0.367</v>
      </c>
    </row>
    <row r="2442" spans="1:13">
      <c r="A2442" s="1">
        <f>HYPERLINK("http://www.twitter.com/NathanBLawrence/status/997980700673486848", "997980700673486848")</f>
        <v/>
      </c>
      <c r="B2442" s="2" t="n">
        <v>43239.97355324074</v>
      </c>
      <c r="C2442" t="n">
        <v>0</v>
      </c>
      <c r="D2442" t="n">
        <v>1</v>
      </c>
      <c r="E2442" t="s">
        <v>2448</v>
      </c>
      <c r="F2442" t="s"/>
      <c r="G2442" t="s"/>
      <c r="H2442" t="s"/>
      <c r="I2442" t="s"/>
      <c r="J2442" t="n">
        <v>-0.6249</v>
      </c>
      <c r="K2442" t="n">
        <v>0.215</v>
      </c>
      <c r="L2442" t="n">
        <v>0.785</v>
      </c>
      <c r="M2442" t="n">
        <v>0</v>
      </c>
    </row>
    <row r="2443" spans="1:13">
      <c r="A2443" s="1">
        <f>HYPERLINK("http://www.twitter.com/NathanBLawrence/status/997978764205264897", "997978764205264897")</f>
        <v/>
      </c>
      <c r="B2443" s="2" t="n">
        <v>43239.96820601852</v>
      </c>
      <c r="C2443" t="n">
        <v>0</v>
      </c>
      <c r="D2443" t="n">
        <v>62</v>
      </c>
      <c r="E2443" t="s">
        <v>2449</v>
      </c>
      <c r="F2443" t="s"/>
      <c r="G2443" t="s"/>
      <c r="H2443" t="s"/>
      <c r="I2443" t="s"/>
      <c r="J2443" t="n">
        <v>-0.4939</v>
      </c>
      <c r="K2443" t="n">
        <v>0.151</v>
      </c>
      <c r="L2443" t="n">
        <v>0.849</v>
      </c>
      <c r="M2443" t="n">
        <v>0</v>
      </c>
    </row>
    <row r="2444" spans="1:13">
      <c r="A2444" s="1">
        <f>HYPERLINK("http://www.twitter.com/NathanBLawrence/status/997978603001393152", "997978603001393152")</f>
        <v/>
      </c>
      <c r="B2444" s="2" t="n">
        <v>43239.96776620371</v>
      </c>
      <c r="C2444" t="n">
        <v>0</v>
      </c>
      <c r="D2444" t="n">
        <v>6137</v>
      </c>
      <c r="E2444" t="s">
        <v>2450</v>
      </c>
      <c r="F2444" t="s"/>
      <c r="G2444" t="s"/>
      <c r="H2444" t="s"/>
      <c r="I2444" t="s"/>
      <c r="J2444" t="n">
        <v>-0.5574</v>
      </c>
      <c r="K2444" t="n">
        <v>0.195</v>
      </c>
      <c r="L2444" t="n">
        <v>0.805</v>
      </c>
      <c r="M2444" t="n">
        <v>0</v>
      </c>
    </row>
    <row r="2445" spans="1:13">
      <c r="A2445" s="1">
        <f>HYPERLINK("http://www.twitter.com/NathanBLawrence/status/997978557786796033", "997978557786796033")</f>
        <v/>
      </c>
      <c r="B2445" s="2" t="n">
        <v>43239.96763888889</v>
      </c>
      <c r="C2445" t="n">
        <v>0</v>
      </c>
      <c r="D2445" t="n">
        <v>13283</v>
      </c>
      <c r="E2445" t="s">
        <v>2451</v>
      </c>
      <c r="F2445" t="s"/>
      <c r="G2445" t="s"/>
      <c r="H2445" t="s"/>
      <c r="I2445" t="s"/>
      <c r="J2445" t="n">
        <v>-0.7783</v>
      </c>
      <c r="K2445" t="n">
        <v>0.264</v>
      </c>
      <c r="L2445" t="n">
        <v>0.736</v>
      </c>
      <c r="M2445" t="n">
        <v>0</v>
      </c>
    </row>
    <row r="2446" spans="1:13">
      <c r="A2446" s="1">
        <f>HYPERLINK("http://www.twitter.com/NathanBLawrence/status/997978533405319169", "997978533405319169")</f>
        <v/>
      </c>
      <c r="B2446" s="2" t="n">
        <v>43239.96756944444</v>
      </c>
      <c r="C2446" t="n">
        <v>0</v>
      </c>
      <c r="D2446" t="n">
        <v>6799</v>
      </c>
      <c r="E2446" t="s">
        <v>2452</v>
      </c>
      <c r="F2446" t="s"/>
      <c r="G2446" t="s"/>
      <c r="H2446" t="s"/>
      <c r="I2446" t="s"/>
      <c r="J2446" t="n">
        <v>0.0258</v>
      </c>
      <c r="K2446" t="n">
        <v>0</v>
      </c>
      <c r="L2446" t="n">
        <v>0.952</v>
      </c>
      <c r="M2446" t="n">
        <v>0.048</v>
      </c>
    </row>
    <row r="2447" spans="1:13">
      <c r="A2447" s="1">
        <f>HYPERLINK("http://www.twitter.com/NathanBLawrence/status/997976901212884992", "997976901212884992")</f>
        <v/>
      </c>
      <c r="B2447" s="2" t="n">
        <v>43239.96306712963</v>
      </c>
      <c r="C2447" t="n">
        <v>0</v>
      </c>
      <c r="D2447" t="n">
        <v>0</v>
      </c>
      <c r="E2447" t="s">
        <v>2453</v>
      </c>
      <c r="F2447" t="s"/>
      <c r="G2447" t="s"/>
      <c r="H2447" t="s"/>
      <c r="I2447" t="s"/>
      <c r="J2447" t="n">
        <v>-0.7717000000000001</v>
      </c>
      <c r="K2447" t="n">
        <v>0.122</v>
      </c>
      <c r="L2447" t="n">
        <v>0.878</v>
      </c>
      <c r="M2447" t="n">
        <v>0</v>
      </c>
    </row>
    <row r="2448" spans="1:13">
      <c r="A2448" s="1">
        <f>HYPERLINK("http://www.twitter.com/NathanBLawrence/status/997973939547754496", "997973939547754496")</f>
        <v/>
      </c>
      <c r="B2448" s="2" t="n">
        <v>43239.95489583333</v>
      </c>
      <c r="C2448" t="n">
        <v>0</v>
      </c>
      <c r="D2448" t="n">
        <v>0</v>
      </c>
      <c r="E2448" t="s">
        <v>2454</v>
      </c>
      <c r="F2448" t="s"/>
      <c r="G2448" t="s"/>
      <c r="H2448" t="s"/>
      <c r="I2448" t="s"/>
      <c r="J2448" t="n">
        <v>0.7096</v>
      </c>
      <c r="K2448" t="n">
        <v>0.063</v>
      </c>
      <c r="L2448" t="n">
        <v>0.742</v>
      </c>
      <c r="M2448" t="n">
        <v>0.196</v>
      </c>
    </row>
    <row r="2449" spans="1:13">
      <c r="A2449" s="1">
        <f>HYPERLINK("http://www.twitter.com/NathanBLawrence/status/997966408330903553", "997966408330903553")</f>
        <v/>
      </c>
      <c r="B2449" s="2" t="n">
        <v>43239.9341087963</v>
      </c>
      <c r="C2449" t="n">
        <v>0</v>
      </c>
      <c r="D2449" t="n">
        <v>0</v>
      </c>
      <c r="E2449" t="s">
        <v>2455</v>
      </c>
      <c r="F2449" t="s"/>
      <c r="G2449" t="s"/>
      <c r="H2449" t="s"/>
      <c r="I2449" t="s"/>
      <c r="J2449" t="n">
        <v>-0.8225</v>
      </c>
      <c r="K2449" t="n">
        <v>0.242</v>
      </c>
      <c r="L2449" t="n">
        <v>0.758</v>
      </c>
      <c r="M2449" t="n">
        <v>0</v>
      </c>
    </row>
    <row r="2450" spans="1:13">
      <c r="A2450" s="1">
        <f>HYPERLINK("http://www.twitter.com/NathanBLawrence/status/997965590269775872", "997965590269775872")</f>
        <v/>
      </c>
      <c r="B2450" s="2" t="n">
        <v>43239.93185185185</v>
      </c>
      <c r="C2450" t="n">
        <v>0</v>
      </c>
      <c r="D2450" t="n">
        <v>1</v>
      </c>
      <c r="E2450" t="s">
        <v>2456</v>
      </c>
      <c r="F2450" t="s"/>
      <c r="G2450" t="s"/>
      <c r="H2450" t="s"/>
      <c r="I2450" t="s"/>
      <c r="J2450" t="n">
        <v>-0.4272</v>
      </c>
      <c r="K2450" t="n">
        <v>0.277</v>
      </c>
      <c r="L2450" t="n">
        <v>0.6</v>
      </c>
      <c r="M2450" t="n">
        <v>0.123</v>
      </c>
    </row>
    <row r="2451" spans="1:13">
      <c r="A2451" s="1">
        <f>HYPERLINK("http://www.twitter.com/NathanBLawrence/status/997964404112199682", "997964404112199682")</f>
        <v/>
      </c>
      <c r="B2451" s="2" t="n">
        <v>43239.92857638889</v>
      </c>
      <c r="C2451" t="n">
        <v>0</v>
      </c>
      <c r="D2451" t="n">
        <v>0</v>
      </c>
      <c r="E2451" t="s">
        <v>2457</v>
      </c>
      <c r="F2451" t="s"/>
      <c r="G2451" t="s"/>
      <c r="H2451" t="s"/>
      <c r="I2451" t="s"/>
      <c r="J2451" t="n">
        <v>0.4404</v>
      </c>
      <c r="K2451" t="n">
        <v>0</v>
      </c>
      <c r="L2451" t="n">
        <v>0.9429999999999999</v>
      </c>
      <c r="M2451" t="n">
        <v>0.057</v>
      </c>
    </row>
    <row r="2452" spans="1:13">
      <c r="A2452" s="1">
        <f>HYPERLINK("http://www.twitter.com/NathanBLawrence/status/997961236640862209", "997961236640862209")</f>
        <v/>
      </c>
      <c r="B2452" s="2" t="n">
        <v>43239.91983796296</v>
      </c>
      <c r="C2452" t="n">
        <v>0</v>
      </c>
      <c r="D2452" t="n">
        <v>1</v>
      </c>
      <c r="E2452" t="s">
        <v>2458</v>
      </c>
      <c r="F2452" t="s"/>
      <c r="G2452" t="s"/>
      <c r="H2452" t="s"/>
      <c r="I2452" t="s"/>
      <c r="J2452" t="n">
        <v>-0.4019</v>
      </c>
      <c r="K2452" t="n">
        <v>0.144</v>
      </c>
      <c r="L2452" t="n">
        <v>0.856</v>
      </c>
      <c r="M2452" t="n">
        <v>0</v>
      </c>
    </row>
    <row r="2453" spans="1:13">
      <c r="A2453" s="1">
        <f>HYPERLINK("http://www.twitter.com/NathanBLawrence/status/997960622900961281", "997960622900961281")</f>
        <v/>
      </c>
      <c r="B2453" s="2" t="n">
        <v>43239.91814814815</v>
      </c>
      <c r="C2453" t="n">
        <v>0</v>
      </c>
      <c r="D2453" t="n">
        <v>1</v>
      </c>
      <c r="E2453" t="s">
        <v>2459</v>
      </c>
      <c r="F2453" t="s"/>
      <c r="G2453" t="s"/>
      <c r="H2453" t="s"/>
      <c r="I2453" t="s"/>
      <c r="J2453" t="n">
        <v>-0.5266999999999999</v>
      </c>
      <c r="K2453" t="n">
        <v>0.139</v>
      </c>
      <c r="L2453" t="n">
        <v>0.861</v>
      </c>
      <c r="M2453" t="n">
        <v>0</v>
      </c>
    </row>
    <row r="2454" spans="1:13">
      <c r="A2454" s="1">
        <f>HYPERLINK("http://www.twitter.com/NathanBLawrence/status/997917032153829377", "997917032153829377")</f>
        <v/>
      </c>
      <c r="B2454" s="2" t="n">
        <v>43239.79785879629</v>
      </c>
      <c r="C2454" t="n">
        <v>0</v>
      </c>
      <c r="D2454" t="n">
        <v>0</v>
      </c>
      <c r="E2454" t="s">
        <v>2460</v>
      </c>
      <c r="F2454" t="s"/>
      <c r="G2454" t="s"/>
      <c r="H2454" t="s"/>
      <c r="I2454" t="s"/>
      <c r="J2454" t="n">
        <v>0.4574</v>
      </c>
      <c r="K2454" t="n">
        <v>0</v>
      </c>
      <c r="L2454" t="n">
        <v>0.701</v>
      </c>
      <c r="M2454" t="n">
        <v>0.299</v>
      </c>
    </row>
    <row r="2455" spans="1:13">
      <c r="A2455" s="1">
        <f>HYPERLINK("http://www.twitter.com/NathanBLawrence/status/997916652162486272", "997916652162486272")</f>
        <v/>
      </c>
      <c r="B2455" s="2" t="n">
        <v>43239.79680555555</v>
      </c>
      <c r="C2455" t="n">
        <v>0</v>
      </c>
      <c r="D2455" t="n">
        <v>114</v>
      </c>
      <c r="E2455" t="s">
        <v>2461</v>
      </c>
      <c r="F2455">
        <f>HYPERLINK("http://pbs.twimg.com/media/DdepPceV4AMS_sU.jpg", "http://pbs.twimg.com/media/DdepPceV4AMS_sU.jpg")</f>
        <v/>
      </c>
      <c r="G2455" t="s"/>
      <c r="H2455" t="s"/>
      <c r="I2455" t="s"/>
      <c r="J2455" t="n">
        <v>-0.836</v>
      </c>
      <c r="K2455" t="n">
        <v>0.305</v>
      </c>
      <c r="L2455" t="n">
        <v>0.695</v>
      </c>
      <c r="M2455" t="n">
        <v>0</v>
      </c>
    </row>
    <row r="2456" spans="1:13">
      <c r="A2456" s="1">
        <f>HYPERLINK("http://www.twitter.com/NathanBLawrence/status/997913402809966592", "997913402809966592")</f>
        <v/>
      </c>
      <c r="B2456" s="2" t="n">
        <v>43239.78784722222</v>
      </c>
      <c r="C2456" t="n">
        <v>2</v>
      </c>
      <c r="D2456" t="n">
        <v>0</v>
      </c>
      <c r="E2456" t="s">
        <v>2462</v>
      </c>
      <c r="F2456" t="s"/>
      <c r="G2456" t="s"/>
      <c r="H2456" t="s"/>
      <c r="I2456" t="s"/>
      <c r="J2456" t="n">
        <v>-0.1449</v>
      </c>
      <c r="K2456" t="n">
        <v>0.242</v>
      </c>
      <c r="L2456" t="n">
        <v>0.601</v>
      </c>
      <c r="M2456" t="n">
        <v>0.157</v>
      </c>
    </row>
    <row r="2457" spans="1:13">
      <c r="A2457" s="1">
        <f>HYPERLINK("http://www.twitter.com/NathanBLawrence/status/997912987699736576", "997912987699736576")</f>
        <v/>
      </c>
      <c r="B2457" s="2" t="n">
        <v>43239.78670138889</v>
      </c>
      <c r="C2457" t="n">
        <v>0</v>
      </c>
      <c r="D2457" t="n">
        <v>0</v>
      </c>
      <c r="E2457" t="s">
        <v>2463</v>
      </c>
      <c r="F2457" t="s"/>
      <c r="G2457" t="s"/>
      <c r="H2457" t="s"/>
      <c r="I2457" t="s"/>
      <c r="J2457" t="n">
        <v>-0.6486</v>
      </c>
      <c r="K2457" t="n">
        <v>0.264</v>
      </c>
      <c r="L2457" t="n">
        <v>0.736</v>
      </c>
      <c r="M2457" t="n">
        <v>0</v>
      </c>
    </row>
    <row r="2458" spans="1:13">
      <c r="A2458" s="1">
        <f>HYPERLINK("http://www.twitter.com/NathanBLawrence/status/997908466084864002", "997908466084864002")</f>
        <v/>
      </c>
      <c r="B2458" s="2" t="n">
        <v>43239.77422453704</v>
      </c>
      <c r="C2458" t="n">
        <v>1</v>
      </c>
      <c r="D2458" t="n">
        <v>0</v>
      </c>
      <c r="E2458" t="s">
        <v>2464</v>
      </c>
      <c r="F2458" t="s"/>
      <c r="G2458" t="s"/>
      <c r="H2458" t="s"/>
      <c r="I2458" t="s"/>
      <c r="J2458" t="n">
        <v>-0.4389</v>
      </c>
      <c r="K2458" t="n">
        <v>0.121</v>
      </c>
      <c r="L2458" t="n">
        <v>0.8179999999999999</v>
      </c>
      <c r="M2458" t="n">
        <v>0.061</v>
      </c>
    </row>
    <row r="2459" spans="1:13">
      <c r="A2459" s="1">
        <f>HYPERLINK("http://www.twitter.com/NathanBLawrence/status/997907144866443264", "997907144866443264")</f>
        <v/>
      </c>
      <c r="B2459" s="2" t="n">
        <v>43239.7705787037</v>
      </c>
      <c r="C2459" t="n">
        <v>1</v>
      </c>
      <c r="D2459" t="n">
        <v>0</v>
      </c>
      <c r="E2459" t="s">
        <v>2465</v>
      </c>
      <c r="F2459" t="s"/>
      <c r="G2459" t="s"/>
      <c r="H2459" t="s"/>
      <c r="I2459" t="s"/>
      <c r="J2459" t="n">
        <v>0.2732</v>
      </c>
      <c r="K2459" t="n">
        <v>0.099</v>
      </c>
      <c r="L2459" t="n">
        <v>0.704</v>
      </c>
      <c r="M2459" t="n">
        <v>0.197</v>
      </c>
    </row>
    <row r="2460" spans="1:13">
      <c r="A2460" s="1">
        <f>HYPERLINK("http://www.twitter.com/NathanBLawrence/status/997904587997802496", "997904587997802496")</f>
        <v/>
      </c>
      <c r="B2460" s="2" t="n">
        <v>43239.76351851852</v>
      </c>
      <c r="C2460" t="n">
        <v>1</v>
      </c>
      <c r="D2460" t="n">
        <v>0</v>
      </c>
      <c r="E2460" t="s">
        <v>2466</v>
      </c>
      <c r="F2460" t="s"/>
      <c r="G2460" t="s"/>
      <c r="H2460" t="s"/>
      <c r="I2460" t="s"/>
      <c r="J2460" t="n">
        <v>-0.5553</v>
      </c>
      <c r="K2460" t="n">
        <v>0.24</v>
      </c>
      <c r="L2460" t="n">
        <v>0.594</v>
      </c>
      <c r="M2460" t="n">
        <v>0.166</v>
      </c>
    </row>
    <row r="2461" spans="1:13">
      <c r="A2461" s="1">
        <f>HYPERLINK("http://www.twitter.com/NathanBLawrence/status/997903860298649602", "997903860298649602")</f>
        <v/>
      </c>
      <c r="B2461" s="2" t="n">
        <v>43239.7615162037</v>
      </c>
      <c r="C2461" t="n">
        <v>0</v>
      </c>
      <c r="D2461" t="n">
        <v>7</v>
      </c>
      <c r="E2461" t="s">
        <v>2467</v>
      </c>
      <c r="F2461" t="s"/>
      <c r="G2461" t="s"/>
      <c r="H2461" t="s"/>
      <c r="I2461" t="s"/>
      <c r="J2461" t="n">
        <v>0</v>
      </c>
      <c r="K2461" t="n">
        <v>0</v>
      </c>
      <c r="L2461" t="n">
        <v>1</v>
      </c>
      <c r="M2461" t="n">
        <v>0</v>
      </c>
    </row>
    <row r="2462" spans="1:13">
      <c r="A2462" s="1">
        <f>HYPERLINK("http://www.twitter.com/NathanBLawrence/status/997903632405319681", "997903632405319681")</f>
        <v/>
      </c>
      <c r="B2462" s="2" t="n">
        <v>43239.76087962963</v>
      </c>
      <c r="C2462" t="n">
        <v>0</v>
      </c>
      <c r="D2462" t="n">
        <v>24</v>
      </c>
      <c r="E2462" t="s">
        <v>2468</v>
      </c>
      <c r="F2462" t="s"/>
      <c r="G2462" t="s"/>
      <c r="H2462" t="s"/>
      <c r="I2462" t="s"/>
      <c r="J2462" t="n">
        <v>0</v>
      </c>
      <c r="K2462" t="n">
        <v>0</v>
      </c>
      <c r="L2462" t="n">
        <v>1</v>
      </c>
      <c r="M2462" t="n">
        <v>0</v>
      </c>
    </row>
    <row r="2463" spans="1:13">
      <c r="A2463" s="1">
        <f>HYPERLINK("http://www.twitter.com/NathanBLawrence/status/997903535453933568", "997903535453933568")</f>
        <v/>
      </c>
      <c r="B2463" s="2" t="n">
        <v>43239.76061342593</v>
      </c>
      <c r="C2463" t="n">
        <v>0</v>
      </c>
      <c r="D2463" t="n">
        <v>30</v>
      </c>
      <c r="E2463" t="s">
        <v>2469</v>
      </c>
      <c r="F2463" t="s"/>
      <c r="G2463" t="s"/>
      <c r="H2463" t="s"/>
      <c r="I2463" t="s"/>
      <c r="J2463" t="n">
        <v>0.3182</v>
      </c>
      <c r="K2463" t="n">
        <v>0</v>
      </c>
      <c r="L2463" t="n">
        <v>0.887</v>
      </c>
      <c r="M2463" t="n">
        <v>0.113</v>
      </c>
    </row>
    <row r="2464" spans="1:13">
      <c r="A2464" s="1">
        <f>HYPERLINK("http://www.twitter.com/NathanBLawrence/status/997903357363802112", "997903357363802112")</f>
        <v/>
      </c>
      <c r="B2464" s="2" t="n">
        <v>43239.76012731482</v>
      </c>
      <c r="C2464" t="n">
        <v>0</v>
      </c>
      <c r="D2464" t="n">
        <v>27</v>
      </c>
      <c r="E2464" t="s">
        <v>2470</v>
      </c>
      <c r="F2464" t="s"/>
      <c r="G2464" t="s"/>
      <c r="H2464" t="s"/>
      <c r="I2464" t="s"/>
      <c r="J2464" t="n">
        <v>-0.34</v>
      </c>
      <c r="K2464" t="n">
        <v>0.08799999999999999</v>
      </c>
      <c r="L2464" t="n">
        <v>0.912</v>
      </c>
      <c r="M2464" t="n">
        <v>0</v>
      </c>
    </row>
    <row r="2465" spans="1:13">
      <c r="A2465" s="1">
        <f>HYPERLINK("http://www.twitter.com/NathanBLawrence/status/997903304419168256", "997903304419168256")</f>
        <v/>
      </c>
      <c r="B2465" s="2" t="n">
        <v>43239.75997685185</v>
      </c>
      <c r="C2465" t="n">
        <v>0</v>
      </c>
      <c r="D2465" t="n">
        <v>1321</v>
      </c>
      <c r="E2465" t="s">
        <v>2471</v>
      </c>
      <c r="F2465" t="s"/>
      <c r="G2465" t="s"/>
      <c r="H2465" t="s"/>
      <c r="I2465" t="s"/>
      <c r="J2465" t="n">
        <v>0.25</v>
      </c>
      <c r="K2465" t="n">
        <v>0.111</v>
      </c>
      <c r="L2465" t="n">
        <v>0.697</v>
      </c>
      <c r="M2465" t="n">
        <v>0.193</v>
      </c>
    </row>
    <row r="2466" spans="1:13">
      <c r="A2466" s="1">
        <f>HYPERLINK("http://www.twitter.com/NathanBLawrence/status/997901573648015361", "997901573648015361")</f>
        <v/>
      </c>
      <c r="B2466" s="2" t="n">
        <v>43239.75519675926</v>
      </c>
      <c r="C2466" t="n">
        <v>0</v>
      </c>
      <c r="D2466" t="n">
        <v>1</v>
      </c>
      <c r="E2466" t="s">
        <v>2472</v>
      </c>
      <c r="F2466" t="s"/>
      <c r="G2466" t="s"/>
      <c r="H2466" t="s"/>
      <c r="I2466" t="s"/>
      <c r="J2466" t="n">
        <v>0.4019</v>
      </c>
      <c r="K2466" t="n">
        <v>0</v>
      </c>
      <c r="L2466" t="n">
        <v>0.847</v>
      </c>
      <c r="M2466" t="n">
        <v>0.153</v>
      </c>
    </row>
    <row r="2467" spans="1:13">
      <c r="A2467" s="1">
        <f>HYPERLINK("http://www.twitter.com/NathanBLawrence/status/997901018821267457", "997901018821267457")</f>
        <v/>
      </c>
      <c r="B2467" s="2" t="n">
        <v>43239.75366898148</v>
      </c>
      <c r="C2467" t="n">
        <v>0</v>
      </c>
      <c r="D2467" t="n">
        <v>0</v>
      </c>
      <c r="E2467" t="s">
        <v>2473</v>
      </c>
      <c r="F2467" t="s"/>
      <c r="G2467" t="s"/>
      <c r="H2467" t="s"/>
      <c r="I2467" t="s"/>
      <c r="J2467" t="n">
        <v>0.7262999999999999</v>
      </c>
      <c r="K2467" t="n">
        <v>0.08799999999999999</v>
      </c>
      <c r="L2467" t="n">
        <v>0.658</v>
      </c>
      <c r="M2467" t="n">
        <v>0.255</v>
      </c>
    </row>
    <row r="2468" spans="1:13">
      <c r="A2468" s="1">
        <f>HYPERLINK("http://www.twitter.com/NathanBLawrence/status/997897942664085504", "997897942664085504")</f>
        <v/>
      </c>
      <c r="B2468" s="2" t="n">
        <v>43239.74518518519</v>
      </c>
      <c r="C2468" t="n">
        <v>1</v>
      </c>
      <c r="D2468" t="n">
        <v>0</v>
      </c>
      <c r="E2468" t="s">
        <v>2474</v>
      </c>
      <c r="F2468" t="s"/>
      <c r="G2468" t="s"/>
      <c r="H2468" t="s"/>
      <c r="I2468" t="s"/>
      <c r="J2468" t="n">
        <v>-0.0772</v>
      </c>
      <c r="K2468" t="n">
        <v>0.098</v>
      </c>
      <c r="L2468" t="n">
        <v>0.8139999999999999</v>
      </c>
      <c r="M2468" t="n">
        <v>0.08799999999999999</v>
      </c>
    </row>
    <row r="2469" spans="1:13">
      <c r="A2469" s="1">
        <f>HYPERLINK("http://www.twitter.com/NathanBLawrence/status/997893372902862848", "997893372902862848")</f>
        <v/>
      </c>
      <c r="B2469" s="2" t="n">
        <v>43239.73256944444</v>
      </c>
      <c r="C2469" t="n">
        <v>0</v>
      </c>
      <c r="D2469" t="n">
        <v>1611</v>
      </c>
      <c r="E2469" t="s">
        <v>2475</v>
      </c>
      <c r="F2469" t="s"/>
      <c r="G2469" t="s"/>
      <c r="H2469" t="s"/>
      <c r="I2469" t="s"/>
      <c r="J2469" t="n">
        <v>0.6597</v>
      </c>
      <c r="K2469" t="n">
        <v>0.052</v>
      </c>
      <c r="L2469" t="n">
        <v>0.72</v>
      </c>
      <c r="M2469" t="n">
        <v>0.228</v>
      </c>
    </row>
    <row r="2470" spans="1:13">
      <c r="A2470" s="1">
        <f>HYPERLINK("http://www.twitter.com/NathanBLawrence/status/997891299813527552", "997891299813527552")</f>
        <v/>
      </c>
      <c r="B2470" s="2" t="n">
        <v>43239.72685185185</v>
      </c>
      <c r="C2470" t="n">
        <v>0</v>
      </c>
      <c r="D2470" t="n">
        <v>2124</v>
      </c>
      <c r="E2470" t="s">
        <v>2476</v>
      </c>
      <c r="F2470" t="s"/>
      <c r="G2470" t="s"/>
      <c r="H2470" t="s"/>
      <c r="I2470" t="s"/>
      <c r="J2470" t="n">
        <v>-0.4404</v>
      </c>
      <c r="K2470" t="n">
        <v>0.127</v>
      </c>
      <c r="L2470" t="n">
        <v>0.873</v>
      </c>
      <c r="M2470" t="n">
        <v>0</v>
      </c>
    </row>
    <row r="2471" spans="1:13">
      <c r="A2471" s="1">
        <f>HYPERLINK("http://www.twitter.com/NathanBLawrence/status/997891064945049600", "997891064945049600")</f>
        <v/>
      </c>
      <c r="B2471" s="2" t="n">
        <v>43239.72620370371</v>
      </c>
      <c r="C2471" t="n">
        <v>0</v>
      </c>
      <c r="D2471" t="n">
        <v>209</v>
      </c>
      <c r="E2471" t="s">
        <v>2477</v>
      </c>
      <c r="F2471" t="s"/>
      <c r="G2471" t="s"/>
      <c r="H2471" t="s"/>
      <c r="I2471" t="s"/>
      <c r="J2471" t="n">
        <v>0</v>
      </c>
      <c r="K2471" t="n">
        <v>0</v>
      </c>
      <c r="L2471" t="n">
        <v>1</v>
      </c>
      <c r="M2471" t="n">
        <v>0</v>
      </c>
    </row>
    <row r="2472" spans="1:13">
      <c r="A2472" s="1">
        <f>HYPERLINK("http://www.twitter.com/NathanBLawrence/status/997890756777005056", "997890756777005056")</f>
        <v/>
      </c>
      <c r="B2472" s="2" t="n">
        <v>43239.72534722222</v>
      </c>
      <c r="C2472" t="n">
        <v>0</v>
      </c>
      <c r="D2472" t="n">
        <v>196</v>
      </c>
      <c r="E2472" t="s">
        <v>2478</v>
      </c>
      <c r="F2472" t="s"/>
      <c r="G2472" t="s"/>
      <c r="H2472" t="s"/>
      <c r="I2472" t="s"/>
      <c r="J2472" t="n">
        <v>0</v>
      </c>
      <c r="K2472" t="n">
        <v>0</v>
      </c>
      <c r="L2472" t="n">
        <v>1</v>
      </c>
      <c r="M2472" t="n">
        <v>0</v>
      </c>
    </row>
    <row r="2473" spans="1:13">
      <c r="A2473" s="1">
        <f>HYPERLINK("http://www.twitter.com/NathanBLawrence/status/997890343231217664", "997890343231217664")</f>
        <v/>
      </c>
      <c r="B2473" s="2" t="n">
        <v>43239.72421296296</v>
      </c>
      <c r="C2473" t="n">
        <v>0</v>
      </c>
      <c r="D2473" t="n">
        <v>3126</v>
      </c>
      <c r="E2473" t="s">
        <v>2479</v>
      </c>
      <c r="F2473" t="s"/>
      <c r="G2473" t="s"/>
      <c r="H2473" t="s"/>
      <c r="I2473" t="s"/>
      <c r="J2473" t="n">
        <v>0</v>
      </c>
      <c r="K2473" t="n">
        <v>0</v>
      </c>
      <c r="L2473" t="n">
        <v>1</v>
      </c>
      <c r="M2473" t="n">
        <v>0</v>
      </c>
    </row>
    <row r="2474" spans="1:13">
      <c r="A2474" s="1">
        <f>HYPERLINK("http://www.twitter.com/NathanBLawrence/status/997885028251127816", "997885028251127816")</f>
        <v/>
      </c>
      <c r="B2474" s="2" t="n">
        <v>43239.70954861111</v>
      </c>
      <c r="C2474" t="n">
        <v>0</v>
      </c>
      <c r="D2474" t="n">
        <v>1</v>
      </c>
      <c r="E2474" t="s">
        <v>2480</v>
      </c>
      <c r="F2474" t="s"/>
      <c r="G2474" t="s"/>
      <c r="H2474" t="s"/>
      <c r="I2474" t="s"/>
      <c r="J2474" t="n">
        <v>0.049</v>
      </c>
      <c r="K2474" t="n">
        <v>0.115</v>
      </c>
      <c r="L2474" t="n">
        <v>0.76</v>
      </c>
      <c r="M2474" t="n">
        <v>0.125</v>
      </c>
    </row>
    <row r="2475" spans="1:13">
      <c r="A2475" s="1">
        <f>HYPERLINK("http://www.twitter.com/NathanBLawrence/status/997884591703719936", "997884591703719936")</f>
        <v/>
      </c>
      <c r="B2475" s="2" t="n">
        <v>43239.70834490741</v>
      </c>
      <c r="C2475" t="n">
        <v>0</v>
      </c>
      <c r="D2475" t="n">
        <v>0</v>
      </c>
      <c r="E2475" t="s">
        <v>2481</v>
      </c>
      <c r="F2475" t="s"/>
      <c r="G2475" t="s"/>
      <c r="H2475" t="s"/>
      <c r="I2475" t="s"/>
      <c r="J2475" t="n">
        <v>0.1027</v>
      </c>
      <c r="K2475" t="n">
        <v>0</v>
      </c>
      <c r="L2475" t="n">
        <v>0.949</v>
      </c>
      <c r="M2475" t="n">
        <v>0.051</v>
      </c>
    </row>
    <row r="2476" spans="1:13">
      <c r="A2476" s="1">
        <f>HYPERLINK("http://www.twitter.com/NathanBLawrence/status/997883117783474176", "997883117783474176")</f>
        <v/>
      </c>
      <c r="B2476" s="2" t="n">
        <v>43239.70427083333</v>
      </c>
      <c r="C2476" t="n">
        <v>0</v>
      </c>
      <c r="D2476" t="n">
        <v>307</v>
      </c>
      <c r="E2476" t="s">
        <v>2482</v>
      </c>
      <c r="F2476" t="s"/>
      <c r="G2476" t="s"/>
      <c r="H2476" t="s"/>
      <c r="I2476" t="s"/>
      <c r="J2476" t="n">
        <v>0.09569999999999999</v>
      </c>
      <c r="K2476" t="n">
        <v>0.105</v>
      </c>
      <c r="L2476" t="n">
        <v>0.741</v>
      </c>
      <c r="M2476" t="n">
        <v>0.154</v>
      </c>
    </row>
    <row r="2477" spans="1:13">
      <c r="A2477" s="1">
        <f>HYPERLINK("http://www.twitter.com/NathanBLawrence/status/997882993489391616", "997882993489391616")</f>
        <v/>
      </c>
      <c r="B2477" s="2" t="n">
        <v>43239.70393518519</v>
      </c>
      <c r="C2477" t="n">
        <v>0</v>
      </c>
      <c r="D2477" t="n">
        <v>91</v>
      </c>
      <c r="E2477" t="s">
        <v>2483</v>
      </c>
      <c r="F2477" t="s"/>
      <c r="G2477" t="s"/>
      <c r="H2477" t="s"/>
      <c r="I2477" t="s"/>
      <c r="J2477" t="n">
        <v>0</v>
      </c>
      <c r="K2477" t="n">
        <v>0</v>
      </c>
      <c r="L2477" t="n">
        <v>1</v>
      </c>
      <c r="M2477" t="n">
        <v>0</v>
      </c>
    </row>
    <row r="2478" spans="1:13">
      <c r="A2478" s="1">
        <f>HYPERLINK("http://www.twitter.com/NathanBLawrence/status/997882645643186176", "997882645643186176")</f>
        <v/>
      </c>
      <c r="B2478" s="2" t="n">
        <v>43239.70297453704</v>
      </c>
      <c r="C2478" t="n">
        <v>0</v>
      </c>
      <c r="D2478" t="n">
        <v>0</v>
      </c>
      <c r="E2478" t="s">
        <v>2484</v>
      </c>
      <c r="F2478" t="s"/>
      <c r="G2478" t="s"/>
      <c r="H2478" t="s"/>
      <c r="I2478" t="s"/>
      <c r="J2478" t="n">
        <v>-0.8401999999999999</v>
      </c>
      <c r="K2478" t="n">
        <v>0.297</v>
      </c>
      <c r="L2478" t="n">
        <v>0.635</v>
      </c>
      <c r="M2478" t="n">
        <v>0.06900000000000001</v>
      </c>
    </row>
    <row r="2479" spans="1:13">
      <c r="A2479" s="1">
        <f>HYPERLINK("http://www.twitter.com/NathanBLawrence/status/997881528221863936", "997881528221863936")</f>
        <v/>
      </c>
      <c r="B2479" s="2" t="n">
        <v>43239.69988425926</v>
      </c>
      <c r="C2479" t="n">
        <v>0</v>
      </c>
      <c r="D2479" t="n">
        <v>0</v>
      </c>
      <c r="E2479" t="s">
        <v>2485</v>
      </c>
      <c r="F2479" t="s"/>
      <c r="G2479" t="s"/>
      <c r="H2479" t="s"/>
      <c r="I2479" t="s"/>
      <c r="J2479" t="n">
        <v>-0.4149</v>
      </c>
      <c r="K2479" t="n">
        <v>0.152</v>
      </c>
      <c r="L2479" t="n">
        <v>0.724</v>
      </c>
      <c r="M2479" t="n">
        <v>0.124</v>
      </c>
    </row>
    <row r="2480" spans="1:13">
      <c r="A2480" s="1">
        <f>HYPERLINK("http://www.twitter.com/NathanBLawrence/status/997879852605820929", "997879852605820929")</f>
        <v/>
      </c>
      <c r="B2480" s="2" t="n">
        <v>43239.6952662037</v>
      </c>
      <c r="C2480" t="n">
        <v>0</v>
      </c>
      <c r="D2480" t="n">
        <v>0</v>
      </c>
      <c r="E2480" t="s">
        <v>2486</v>
      </c>
      <c r="F2480" t="s"/>
      <c r="G2480" t="s"/>
      <c r="H2480" t="s"/>
      <c r="I2480" t="s"/>
      <c r="J2480" t="n">
        <v>0</v>
      </c>
      <c r="K2480" t="n">
        <v>0</v>
      </c>
      <c r="L2480" t="n">
        <v>1</v>
      </c>
      <c r="M2480" t="n">
        <v>0</v>
      </c>
    </row>
    <row r="2481" spans="1:13">
      <c r="A2481" s="1">
        <f>HYPERLINK("http://www.twitter.com/NathanBLawrence/status/997878425644826624", "997878425644826624")</f>
        <v/>
      </c>
      <c r="B2481" s="2" t="n">
        <v>43239.69133101852</v>
      </c>
      <c r="C2481" t="n">
        <v>0</v>
      </c>
      <c r="D2481" t="n">
        <v>0</v>
      </c>
      <c r="E2481" t="s">
        <v>2487</v>
      </c>
      <c r="F2481" t="s"/>
      <c r="G2481" t="s"/>
      <c r="H2481" t="s"/>
      <c r="I2481" t="s"/>
      <c r="J2481" t="n">
        <v>0.097</v>
      </c>
      <c r="K2481" t="n">
        <v>0.197</v>
      </c>
      <c r="L2481" t="n">
        <v>0.64</v>
      </c>
      <c r="M2481" t="n">
        <v>0.163</v>
      </c>
    </row>
    <row r="2482" spans="1:13">
      <c r="A2482" s="1">
        <f>HYPERLINK("http://www.twitter.com/NathanBLawrence/status/997876741233364995", "997876741233364995")</f>
        <v/>
      </c>
      <c r="B2482" s="2" t="n">
        <v>43239.68667824074</v>
      </c>
      <c r="C2482" t="n">
        <v>0</v>
      </c>
      <c r="D2482" t="n">
        <v>1</v>
      </c>
      <c r="E2482" t="s">
        <v>2488</v>
      </c>
      <c r="F2482" t="s"/>
      <c r="G2482" t="s"/>
      <c r="H2482" t="s"/>
      <c r="I2482" t="s"/>
      <c r="J2482" t="n">
        <v>0.5411</v>
      </c>
      <c r="K2482" t="n">
        <v>0.156</v>
      </c>
      <c r="L2482" t="n">
        <v>0.601</v>
      </c>
      <c r="M2482" t="n">
        <v>0.244</v>
      </c>
    </row>
    <row r="2483" spans="1:13">
      <c r="A2483" s="1">
        <f>HYPERLINK("http://www.twitter.com/NathanBLawrence/status/997872222630043649", "997872222630043649")</f>
        <v/>
      </c>
      <c r="B2483" s="2" t="n">
        <v>43239.67421296296</v>
      </c>
      <c r="C2483" t="n">
        <v>0</v>
      </c>
      <c r="D2483" t="n">
        <v>0</v>
      </c>
      <c r="E2483" t="s">
        <v>2489</v>
      </c>
      <c r="F2483" t="s"/>
      <c r="G2483" t="s"/>
      <c r="H2483" t="s"/>
      <c r="I2483" t="s"/>
      <c r="J2483" t="n">
        <v>0</v>
      </c>
      <c r="K2483" t="n">
        <v>0</v>
      </c>
      <c r="L2483" t="n">
        <v>1</v>
      </c>
      <c r="M2483" t="n">
        <v>0</v>
      </c>
    </row>
    <row r="2484" spans="1:13">
      <c r="A2484" s="1">
        <f>HYPERLINK("http://www.twitter.com/NathanBLawrence/status/997863452101234691", "997863452101234691")</f>
        <v/>
      </c>
      <c r="B2484" s="2" t="n">
        <v>43239.65001157407</v>
      </c>
      <c r="C2484" t="n">
        <v>0</v>
      </c>
      <c r="D2484" t="n">
        <v>6238</v>
      </c>
      <c r="E2484" t="s">
        <v>2490</v>
      </c>
      <c r="F2484">
        <f>HYPERLINK("https://video.twimg.com/amplify_video/997569450068103170/vid/1280x720/5WauE9VUnkTf7o86.mp4?tag=2", "https://video.twimg.com/amplify_video/997569450068103170/vid/1280x720/5WauE9VUnkTf7o86.mp4?tag=2")</f>
        <v/>
      </c>
      <c r="G2484" t="s"/>
      <c r="H2484" t="s"/>
      <c r="I2484" t="s"/>
      <c r="J2484" t="n">
        <v>-0.4215</v>
      </c>
      <c r="K2484" t="n">
        <v>0.188</v>
      </c>
      <c r="L2484" t="n">
        <v>0.719</v>
      </c>
      <c r="M2484" t="n">
        <v>0.092</v>
      </c>
    </row>
    <row r="2485" spans="1:13">
      <c r="A2485" s="1">
        <f>HYPERLINK("http://www.twitter.com/NathanBLawrence/status/997863387311820800", "997863387311820800")</f>
        <v/>
      </c>
      <c r="B2485" s="2" t="n">
        <v>43239.64982638889</v>
      </c>
      <c r="C2485" t="n">
        <v>0</v>
      </c>
      <c r="D2485" t="n">
        <v>108</v>
      </c>
      <c r="E2485" t="s">
        <v>2491</v>
      </c>
      <c r="F2485">
        <f>HYPERLINK("http://pbs.twimg.com/media/DdjpJxgUQAIvRWF.jpg", "http://pbs.twimg.com/media/DdjpJxgUQAIvRWF.jpg")</f>
        <v/>
      </c>
      <c r="G2485" t="s"/>
      <c r="H2485" t="s"/>
      <c r="I2485" t="s"/>
      <c r="J2485" t="n">
        <v>0.836</v>
      </c>
      <c r="K2485" t="n">
        <v>0</v>
      </c>
      <c r="L2485" t="n">
        <v>0.6919999999999999</v>
      </c>
      <c r="M2485" t="n">
        <v>0.308</v>
      </c>
    </row>
    <row r="2486" spans="1:13">
      <c r="A2486" s="1">
        <f>HYPERLINK("http://www.twitter.com/NathanBLawrence/status/997862860230447104", "997862860230447104")</f>
        <v/>
      </c>
      <c r="B2486" s="2" t="n">
        <v>43239.64836805555</v>
      </c>
      <c r="C2486" t="n">
        <v>0</v>
      </c>
      <c r="D2486" t="n">
        <v>121</v>
      </c>
      <c r="E2486" t="s">
        <v>2492</v>
      </c>
      <c r="F2486" t="s"/>
      <c r="G2486" t="s"/>
      <c r="H2486" t="s"/>
      <c r="I2486" t="s"/>
      <c r="J2486" t="n">
        <v>-0.5106000000000001</v>
      </c>
      <c r="K2486" t="n">
        <v>0.136</v>
      </c>
      <c r="L2486" t="n">
        <v>0.864</v>
      </c>
      <c r="M2486" t="n">
        <v>0</v>
      </c>
    </row>
    <row r="2487" spans="1:13">
      <c r="A2487" s="1">
        <f>HYPERLINK("http://www.twitter.com/NathanBLawrence/status/997862750004174848", "997862750004174848")</f>
        <v/>
      </c>
      <c r="B2487" s="2" t="n">
        <v>43239.64806712963</v>
      </c>
      <c r="C2487" t="n">
        <v>0</v>
      </c>
      <c r="D2487" t="n">
        <v>1</v>
      </c>
      <c r="E2487" t="s">
        <v>2493</v>
      </c>
      <c r="F2487">
        <f>HYPERLINK("http://pbs.twimg.com/media/DdkXc7zXcAEZ3Ly.jpg", "http://pbs.twimg.com/media/DdkXc7zXcAEZ3Ly.jpg")</f>
        <v/>
      </c>
      <c r="G2487" t="s"/>
      <c r="H2487" t="s"/>
      <c r="I2487" t="s"/>
      <c r="J2487" t="n">
        <v>0</v>
      </c>
      <c r="K2487" t="n">
        <v>0</v>
      </c>
      <c r="L2487" t="n">
        <v>1</v>
      </c>
      <c r="M2487" t="n">
        <v>0</v>
      </c>
    </row>
    <row r="2488" spans="1:13">
      <c r="A2488" s="1">
        <f>HYPERLINK("http://www.twitter.com/NathanBLawrence/status/997862335711727616", "997862335711727616")</f>
        <v/>
      </c>
      <c r="B2488" s="2" t="n">
        <v>43239.6469212963</v>
      </c>
      <c r="C2488" t="n">
        <v>0</v>
      </c>
      <c r="D2488" t="n">
        <v>159</v>
      </c>
      <c r="E2488" t="s">
        <v>2494</v>
      </c>
      <c r="F2488" t="s"/>
      <c r="G2488" t="s"/>
      <c r="H2488" t="s"/>
      <c r="I2488" t="s"/>
      <c r="J2488" t="n">
        <v>-0.1531</v>
      </c>
      <c r="K2488" t="n">
        <v>0.106</v>
      </c>
      <c r="L2488" t="n">
        <v>0.776</v>
      </c>
      <c r="M2488" t="n">
        <v>0.118</v>
      </c>
    </row>
    <row r="2489" spans="1:13">
      <c r="A2489" s="1">
        <f>HYPERLINK("http://www.twitter.com/NathanBLawrence/status/997859899483803649", "997859899483803649")</f>
        <v/>
      </c>
      <c r="B2489" s="2" t="n">
        <v>43239.64020833333</v>
      </c>
      <c r="C2489" t="n">
        <v>0</v>
      </c>
      <c r="D2489" t="n">
        <v>835</v>
      </c>
      <c r="E2489" t="s">
        <v>2495</v>
      </c>
      <c r="F2489" t="s"/>
      <c r="G2489" t="s"/>
      <c r="H2489" t="s"/>
      <c r="I2489" t="s"/>
      <c r="J2489" t="n">
        <v>0</v>
      </c>
      <c r="K2489" t="n">
        <v>0</v>
      </c>
      <c r="L2489" t="n">
        <v>1</v>
      </c>
      <c r="M2489" t="n">
        <v>0</v>
      </c>
    </row>
    <row r="2490" spans="1:13">
      <c r="A2490" s="1">
        <f>HYPERLINK("http://www.twitter.com/NathanBLawrence/status/997859816180797441", "997859816180797441")</f>
        <v/>
      </c>
      <c r="B2490" s="2" t="n">
        <v>43239.63997685185</v>
      </c>
      <c r="C2490" t="n">
        <v>0</v>
      </c>
      <c r="D2490" t="n">
        <v>916</v>
      </c>
      <c r="E2490" t="s">
        <v>2496</v>
      </c>
      <c r="F2490" t="s"/>
      <c r="G2490" t="s"/>
      <c r="H2490" t="s"/>
      <c r="I2490" t="s"/>
      <c r="J2490" t="n">
        <v>-0.0772</v>
      </c>
      <c r="K2490" t="n">
        <v>0.136</v>
      </c>
      <c r="L2490" t="n">
        <v>0.7</v>
      </c>
      <c r="M2490" t="n">
        <v>0.163</v>
      </c>
    </row>
    <row r="2491" spans="1:13">
      <c r="A2491" s="1">
        <f>HYPERLINK("http://www.twitter.com/NathanBLawrence/status/997859028062568448", "997859028062568448")</f>
        <v/>
      </c>
      <c r="B2491" s="2" t="n">
        <v>43239.63780092593</v>
      </c>
      <c r="C2491" t="n">
        <v>0</v>
      </c>
      <c r="D2491" t="n">
        <v>41</v>
      </c>
      <c r="E2491" t="s">
        <v>2497</v>
      </c>
      <c r="F2491">
        <f>HYPERLINK("http://pbs.twimg.com/media/DdkJbeGWAAAZs5N.jpg", "http://pbs.twimg.com/media/DdkJbeGWAAAZs5N.jpg")</f>
        <v/>
      </c>
      <c r="G2491" t="s"/>
      <c r="H2491" t="s"/>
      <c r="I2491" t="s"/>
      <c r="J2491" t="n">
        <v>0</v>
      </c>
      <c r="K2491" t="n">
        <v>0</v>
      </c>
      <c r="L2491" t="n">
        <v>1</v>
      </c>
      <c r="M2491" t="n">
        <v>0</v>
      </c>
    </row>
    <row r="2492" spans="1:13">
      <c r="A2492" s="1">
        <f>HYPERLINK("http://www.twitter.com/NathanBLawrence/status/997854232983285760", "997854232983285760")</f>
        <v/>
      </c>
      <c r="B2492" s="2" t="n">
        <v>43239.62457175926</v>
      </c>
      <c r="C2492" t="n">
        <v>0</v>
      </c>
      <c r="D2492" t="n">
        <v>0</v>
      </c>
      <c r="E2492" t="s">
        <v>2498</v>
      </c>
      <c r="F2492" t="s"/>
      <c r="G2492" t="s"/>
      <c r="H2492" t="s"/>
      <c r="I2492" t="s"/>
      <c r="J2492" t="n">
        <v>-0.7184</v>
      </c>
      <c r="K2492" t="n">
        <v>0.157</v>
      </c>
      <c r="L2492" t="n">
        <v>0.794</v>
      </c>
      <c r="M2492" t="n">
        <v>0.049</v>
      </c>
    </row>
    <row r="2493" spans="1:13">
      <c r="A2493" s="1">
        <f>HYPERLINK("http://www.twitter.com/NathanBLawrence/status/997851501585469444", "997851501585469444")</f>
        <v/>
      </c>
      <c r="B2493" s="2" t="n">
        <v>43239.61702546296</v>
      </c>
      <c r="C2493" t="n">
        <v>0</v>
      </c>
      <c r="D2493" t="n">
        <v>190</v>
      </c>
      <c r="E2493" t="s">
        <v>2499</v>
      </c>
      <c r="F2493">
        <f>HYPERLINK("https://video.twimg.com/ext_tw_video/997676810233176064/pu/vid/1280x720/HnHEs27StpgfkXw8.mp4?tag=3", "https://video.twimg.com/ext_tw_video/997676810233176064/pu/vid/1280x720/HnHEs27StpgfkXw8.mp4?tag=3")</f>
        <v/>
      </c>
      <c r="G2493" t="s"/>
      <c r="H2493" t="s"/>
      <c r="I2493" t="s"/>
      <c r="J2493" t="n">
        <v>0</v>
      </c>
      <c r="K2493" t="n">
        <v>0</v>
      </c>
      <c r="L2493" t="n">
        <v>1</v>
      </c>
      <c r="M2493" t="n">
        <v>0</v>
      </c>
    </row>
    <row r="2494" spans="1:13">
      <c r="A2494" s="1">
        <f>HYPERLINK("http://www.twitter.com/NathanBLawrence/status/997851284966445058", "997851284966445058")</f>
        <v/>
      </c>
      <c r="B2494" s="2" t="n">
        <v>43239.61643518518</v>
      </c>
      <c r="C2494" t="n">
        <v>0</v>
      </c>
      <c r="D2494" t="n">
        <v>1405</v>
      </c>
      <c r="E2494" t="s">
        <v>2500</v>
      </c>
      <c r="F2494">
        <f>HYPERLINK("http://pbs.twimg.com/media/DdhMnkQVwAAunE5.jpg", "http://pbs.twimg.com/media/DdhMnkQVwAAunE5.jpg")</f>
        <v/>
      </c>
      <c r="G2494" t="s"/>
      <c r="H2494" t="s"/>
      <c r="I2494" t="s"/>
      <c r="J2494" t="n">
        <v>0</v>
      </c>
      <c r="K2494" t="n">
        <v>0</v>
      </c>
      <c r="L2494" t="n">
        <v>1</v>
      </c>
      <c r="M2494" t="n">
        <v>0</v>
      </c>
    </row>
    <row r="2495" spans="1:13">
      <c r="A2495" s="1">
        <f>HYPERLINK("http://www.twitter.com/NathanBLawrence/status/997851241026867202", "997851241026867202")</f>
        <v/>
      </c>
      <c r="B2495" s="2" t="n">
        <v>43239.61630787037</v>
      </c>
      <c r="C2495" t="n">
        <v>0</v>
      </c>
      <c r="D2495" t="n">
        <v>95</v>
      </c>
      <c r="E2495" t="s">
        <v>2501</v>
      </c>
      <c r="F2495" t="s"/>
      <c r="G2495" t="s"/>
      <c r="H2495" t="s"/>
      <c r="I2495" t="s"/>
      <c r="J2495" t="n">
        <v>-0.4019</v>
      </c>
      <c r="K2495" t="n">
        <v>0.144</v>
      </c>
      <c r="L2495" t="n">
        <v>0.856</v>
      </c>
      <c r="M2495" t="n">
        <v>0</v>
      </c>
    </row>
    <row r="2496" spans="1:13">
      <c r="A2496" s="1">
        <f>HYPERLINK("http://www.twitter.com/NathanBLawrence/status/997851200430239747", "997851200430239747")</f>
        <v/>
      </c>
      <c r="B2496" s="2" t="n">
        <v>43239.61620370371</v>
      </c>
      <c r="C2496" t="n">
        <v>0</v>
      </c>
      <c r="D2496" t="n">
        <v>1182</v>
      </c>
      <c r="E2496" t="s">
        <v>2502</v>
      </c>
      <c r="F2496" t="s"/>
      <c r="G2496" t="s"/>
      <c r="H2496" t="s"/>
      <c r="I2496" t="s"/>
      <c r="J2496" t="n">
        <v>-0.7813</v>
      </c>
      <c r="K2496" t="n">
        <v>0.318</v>
      </c>
      <c r="L2496" t="n">
        <v>0.6820000000000001</v>
      </c>
      <c r="M2496" t="n">
        <v>0</v>
      </c>
    </row>
    <row r="2497" spans="1:13">
      <c r="A2497" s="1">
        <f>HYPERLINK("http://www.twitter.com/NathanBLawrence/status/997851137205329921", "997851137205329921")</f>
        <v/>
      </c>
      <c r="B2497" s="2" t="n">
        <v>43239.61601851852</v>
      </c>
      <c r="C2497" t="n">
        <v>0</v>
      </c>
      <c r="D2497" t="n">
        <v>2163</v>
      </c>
      <c r="E2497" t="s">
        <v>2503</v>
      </c>
      <c r="F2497" t="s"/>
      <c r="G2497" t="s"/>
      <c r="H2497" t="s"/>
      <c r="I2497" t="s"/>
      <c r="J2497" t="n">
        <v>-0.7184</v>
      </c>
      <c r="K2497" t="n">
        <v>0.2</v>
      </c>
      <c r="L2497" t="n">
        <v>0.8</v>
      </c>
      <c r="M2497" t="n">
        <v>0</v>
      </c>
    </row>
    <row r="2498" spans="1:13">
      <c r="A2498" s="1">
        <f>HYPERLINK("http://www.twitter.com/NathanBLawrence/status/997851027687858176", "997851027687858176")</f>
        <v/>
      </c>
      <c r="B2498" s="2" t="n">
        <v>43239.61571759259</v>
      </c>
      <c r="C2498" t="n">
        <v>0</v>
      </c>
      <c r="D2498" t="n">
        <v>0</v>
      </c>
      <c r="E2498" t="s">
        <v>2504</v>
      </c>
      <c r="F2498" t="s"/>
      <c r="G2498" t="s"/>
      <c r="H2498" t="s"/>
      <c r="I2498" t="s"/>
      <c r="J2498" t="n">
        <v>0</v>
      </c>
      <c r="K2498" t="n">
        <v>0</v>
      </c>
      <c r="L2498" t="n">
        <v>1</v>
      </c>
      <c r="M2498" t="n">
        <v>0</v>
      </c>
    </row>
    <row r="2499" spans="1:13">
      <c r="A2499" s="1">
        <f>HYPERLINK("http://www.twitter.com/NathanBLawrence/status/997839295917543424", "997839295917543424")</f>
        <v/>
      </c>
      <c r="B2499" s="2" t="n">
        <v>43239.58334490741</v>
      </c>
      <c r="C2499" t="n">
        <v>0</v>
      </c>
      <c r="D2499" t="n">
        <v>0</v>
      </c>
      <c r="E2499" t="s">
        <v>2505</v>
      </c>
      <c r="F2499" t="s"/>
      <c r="G2499" t="s"/>
      <c r="H2499" t="s"/>
      <c r="I2499" t="s"/>
      <c r="J2499" t="n">
        <v>0</v>
      </c>
      <c r="K2499" t="n">
        <v>0</v>
      </c>
      <c r="L2499" t="n">
        <v>1</v>
      </c>
      <c r="M2499" t="n">
        <v>0</v>
      </c>
    </row>
    <row r="2500" spans="1:13">
      <c r="A2500" s="1">
        <f>HYPERLINK("http://www.twitter.com/NathanBLawrence/status/997838501981904896", "997838501981904896")</f>
        <v/>
      </c>
      <c r="B2500" s="2" t="n">
        <v>43239.58115740741</v>
      </c>
      <c r="C2500" t="n">
        <v>0</v>
      </c>
      <c r="D2500" t="n">
        <v>3</v>
      </c>
      <c r="E2500" t="s">
        <v>2506</v>
      </c>
      <c r="F2500">
        <f>HYPERLINK("http://pbs.twimg.com/media/Ddj8GXhW0AEbRAK.jpg", "http://pbs.twimg.com/media/Ddj8GXhW0AEbRAK.jpg")</f>
        <v/>
      </c>
      <c r="G2500" t="s"/>
      <c r="H2500" t="s"/>
      <c r="I2500" t="s"/>
      <c r="J2500" t="n">
        <v>-0.3818</v>
      </c>
      <c r="K2500" t="n">
        <v>0.11</v>
      </c>
      <c r="L2500" t="n">
        <v>0.89</v>
      </c>
      <c r="M2500" t="n">
        <v>0</v>
      </c>
    </row>
    <row r="2501" spans="1:13">
      <c r="A2501" s="1">
        <f>HYPERLINK("http://www.twitter.com/NathanBLawrence/status/997838294170955776", "997838294170955776")</f>
        <v/>
      </c>
      <c r="B2501" s="2" t="n">
        <v>43239.5805787037</v>
      </c>
      <c r="C2501" t="n">
        <v>1</v>
      </c>
      <c r="D2501" t="n">
        <v>2</v>
      </c>
      <c r="E2501" t="s">
        <v>2507</v>
      </c>
      <c r="F2501" t="s"/>
      <c r="G2501" t="s"/>
      <c r="H2501" t="s"/>
      <c r="I2501" t="s"/>
      <c r="J2501" t="n">
        <v>0.4199</v>
      </c>
      <c r="K2501" t="n">
        <v>0.134</v>
      </c>
      <c r="L2501" t="n">
        <v>0.6929999999999999</v>
      </c>
      <c r="M2501" t="n">
        <v>0.173</v>
      </c>
    </row>
    <row r="2502" spans="1:13">
      <c r="A2502" s="1">
        <f>HYPERLINK("http://www.twitter.com/NathanBLawrence/status/997836581905068034", "997836581905068034")</f>
        <v/>
      </c>
      <c r="B2502" s="2" t="n">
        <v>43239.57585648148</v>
      </c>
      <c r="C2502" t="n">
        <v>0</v>
      </c>
      <c r="D2502" t="n">
        <v>1101</v>
      </c>
      <c r="E2502" t="s">
        <v>2508</v>
      </c>
      <c r="F2502" t="s"/>
      <c r="G2502" t="s"/>
      <c r="H2502" t="s"/>
      <c r="I2502" t="s"/>
      <c r="J2502" t="n">
        <v>-0.6549</v>
      </c>
      <c r="K2502" t="n">
        <v>0.225</v>
      </c>
      <c r="L2502" t="n">
        <v>0.648</v>
      </c>
      <c r="M2502" t="n">
        <v>0.127</v>
      </c>
    </row>
    <row r="2503" spans="1:13">
      <c r="A2503" s="1">
        <f>HYPERLINK("http://www.twitter.com/NathanBLawrence/status/997836438728298496", "997836438728298496")</f>
        <v/>
      </c>
      <c r="B2503" s="2" t="n">
        <v>43239.57546296297</v>
      </c>
      <c r="C2503" t="n">
        <v>0</v>
      </c>
      <c r="D2503" t="n">
        <v>5</v>
      </c>
      <c r="E2503" t="s">
        <v>2509</v>
      </c>
      <c r="F2503" t="s"/>
      <c r="G2503" t="s"/>
      <c r="H2503" t="s"/>
      <c r="I2503" t="s"/>
      <c r="J2503" t="n">
        <v>0.3182</v>
      </c>
      <c r="K2503" t="n">
        <v>0</v>
      </c>
      <c r="L2503" t="n">
        <v>0.892</v>
      </c>
      <c r="M2503" t="n">
        <v>0.108</v>
      </c>
    </row>
    <row r="2504" spans="1:13">
      <c r="A2504" s="1">
        <f>HYPERLINK("http://www.twitter.com/NathanBLawrence/status/997836327298138112", "997836327298138112")</f>
        <v/>
      </c>
      <c r="B2504" s="2" t="n">
        <v>43239.57515046297</v>
      </c>
      <c r="C2504" t="n">
        <v>0</v>
      </c>
      <c r="D2504" t="n">
        <v>181</v>
      </c>
      <c r="E2504" t="s">
        <v>2510</v>
      </c>
      <c r="F2504">
        <f>HYPERLINK("http://pbs.twimg.com/media/Dc68h-rVMAABw-5.jpg", "http://pbs.twimg.com/media/Dc68h-rVMAABw-5.jpg")</f>
        <v/>
      </c>
      <c r="G2504" t="s"/>
      <c r="H2504" t="s"/>
      <c r="I2504" t="s"/>
      <c r="J2504" t="n">
        <v>0.3182</v>
      </c>
      <c r="K2504" t="n">
        <v>0</v>
      </c>
      <c r="L2504" t="n">
        <v>0.897</v>
      </c>
      <c r="M2504" t="n">
        <v>0.103</v>
      </c>
    </row>
    <row r="2505" spans="1:13">
      <c r="A2505" s="1">
        <f>HYPERLINK("http://www.twitter.com/NathanBLawrence/status/997836264123588608", "997836264123588608")</f>
        <v/>
      </c>
      <c r="B2505" s="2" t="n">
        <v>43239.57497685185</v>
      </c>
      <c r="C2505" t="n">
        <v>0</v>
      </c>
      <c r="D2505" t="n">
        <v>36</v>
      </c>
      <c r="E2505" t="s">
        <v>2511</v>
      </c>
      <c r="F2505" t="s"/>
      <c r="G2505" t="s"/>
      <c r="H2505" t="s"/>
      <c r="I2505" t="s"/>
      <c r="J2505" t="n">
        <v>0</v>
      </c>
      <c r="K2505" t="n">
        <v>0</v>
      </c>
      <c r="L2505" t="n">
        <v>1</v>
      </c>
      <c r="M2505" t="n">
        <v>0</v>
      </c>
    </row>
    <row r="2506" spans="1:13">
      <c r="A2506" s="1">
        <f>HYPERLINK("http://www.twitter.com/NathanBLawrence/status/997835568426946561", "997835568426946561")</f>
        <v/>
      </c>
      <c r="B2506" s="2" t="n">
        <v>43239.57306712963</v>
      </c>
      <c r="C2506" t="n">
        <v>0</v>
      </c>
      <c r="D2506" t="n">
        <v>9</v>
      </c>
      <c r="E2506" t="s">
        <v>2512</v>
      </c>
      <c r="F2506" t="s"/>
      <c r="G2506" t="s"/>
      <c r="H2506" t="s"/>
      <c r="I2506" t="s"/>
      <c r="J2506" t="n">
        <v>0.9081</v>
      </c>
      <c r="K2506" t="n">
        <v>0</v>
      </c>
      <c r="L2506" t="n">
        <v>0.467</v>
      </c>
      <c r="M2506" t="n">
        <v>0.533</v>
      </c>
    </row>
    <row r="2507" spans="1:13">
      <c r="A2507" s="1">
        <f>HYPERLINK("http://www.twitter.com/NathanBLawrence/status/997832602911498246", "997832602911498246")</f>
        <v/>
      </c>
      <c r="B2507" s="2" t="n">
        <v>43239.56488425926</v>
      </c>
      <c r="C2507" t="n">
        <v>0</v>
      </c>
      <c r="D2507" t="n">
        <v>2</v>
      </c>
      <c r="E2507" t="s">
        <v>2513</v>
      </c>
      <c r="F2507" t="s"/>
      <c r="G2507" t="s"/>
      <c r="H2507" t="s"/>
      <c r="I2507" t="s"/>
      <c r="J2507" t="n">
        <v>0.4215</v>
      </c>
      <c r="K2507" t="n">
        <v>0.101</v>
      </c>
      <c r="L2507" t="n">
        <v>0.6850000000000001</v>
      </c>
      <c r="M2507" t="n">
        <v>0.214</v>
      </c>
    </row>
    <row r="2508" spans="1:13">
      <c r="A2508" s="1">
        <f>HYPERLINK("http://www.twitter.com/NathanBLawrence/status/997832513262374914", "997832513262374914")</f>
        <v/>
      </c>
      <c r="B2508" s="2" t="n">
        <v>43239.56462962963</v>
      </c>
      <c r="C2508" t="n">
        <v>0</v>
      </c>
      <c r="D2508" t="n">
        <v>4</v>
      </c>
      <c r="E2508" t="s">
        <v>2514</v>
      </c>
      <c r="F2508" t="s"/>
      <c r="G2508" t="s"/>
      <c r="H2508" t="s"/>
      <c r="I2508" t="s"/>
      <c r="J2508" t="n">
        <v>0</v>
      </c>
      <c r="K2508" t="n">
        <v>0</v>
      </c>
      <c r="L2508" t="n">
        <v>1</v>
      </c>
      <c r="M2508" t="n">
        <v>0</v>
      </c>
    </row>
    <row r="2509" spans="1:13">
      <c r="A2509" s="1">
        <f>HYPERLINK("http://www.twitter.com/NathanBLawrence/status/997831907135184897", "997831907135184897")</f>
        <v/>
      </c>
      <c r="B2509" s="2" t="n">
        <v>43239.56296296296</v>
      </c>
      <c r="C2509" t="n">
        <v>1</v>
      </c>
      <c r="D2509" t="n">
        <v>0</v>
      </c>
      <c r="E2509" t="s">
        <v>2515</v>
      </c>
      <c r="F2509" t="s"/>
      <c r="G2509" t="s"/>
      <c r="H2509" t="s"/>
      <c r="I2509" t="s"/>
      <c r="J2509" t="n">
        <v>-0.9514</v>
      </c>
      <c r="K2509" t="n">
        <v>0.307</v>
      </c>
      <c r="L2509" t="n">
        <v>0.624</v>
      </c>
      <c r="M2509" t="n">
        <v>0.06900000000000001</v>
      </c>
    </row>
    <row r="2510" spans="1:13">
      <c r="A2510" s="1">
        <f>HYPERLINK("http://www.twitter.com/NathanBLawrence/status/997830503779717120", "997830503779717120")</f>
        <v/>
      </c>
      <c r="B2510" s="2" t="n">
        <v>43239.55908564815</v>
      </c>
      <c r="C2510" t="n">
        <v>0</v>
      </c>
      <c r="D2510" t="n">
        <v>1</v>
      </c>
      <c r="E2510" t="s">
        <v>2516</v>
      </c>
      <c r="F2510" t="s"/>
      <c r="G2510" t="s"/>
      <c r="H2510" t="s"/>
      <c r="I2510" t="s"/>
      <c r="J2510" t="n">
        <v>0</v>
      </c>
      <c r="K2510" t="n">
        <v>0</v>
      </c>
      <c r="L2510" t="n">
        <v>1</v>
      </c>
      <c r="M2510" t="n">
        <v>0</v>
      </c>
    </row>
    <row r="2511" spans="1:13">
      <c r="A2511" s="1">
        <f>HYPERLINK("http://www.twitter.com/NathanBLawrence/status/997830467897430016", "997830467897430016")</f>
        <v/>
      </c>
      <c r="B2511" s="2" t="n">
        <v>43239.55898148148</v>
      </c>
      <c r="C2511" t="n">
        <v>0</v>
      </c>
      <c r="D2511" t="n">
        <v>8</v>
      </c>
      <c r="E2511" t="s">
        <v>2517</v>
      </c>
      <c r="F2511" t="s"/>
      <c r="G2511" t="s"/>
      <c r="H2511" t="s"/>
      <c r="I2511" t="s"/>
      <c r="J2511" t="n">
        <v>0.4215</v>
      </c>
      <c r="K2511" t="n">
        <v>0</v>
      </c>
      <c r="L2511" t="n">
        <v>0.887</v>
      </c>
      <c r="M2511" t="n">
        <v>0.113</v>
      </c>
    </row>
    <row r="2512" spans="1:13">
      <c r="A2512" s="1">
        <f>HYPERLINK("http://www.twitter.com/NathanBLawrence/status/997830339035844608", "997830339035844608")</f>
        <v/>
      </c>
      <c r="B2512" s="2" t="n">
        <v>43239.55863425926</v>
      </c>
      <c r="C2512" t="n">
        <v>0</v>
      </c>
      <c r="D2512" t="n">
        <v>5206</v>
      </c>
      <c r="E2512" t="s">
        <v>2518</v>
      </c>
      <c r="F2512" t="s"/>
      <c r="G2512" t="s"/>
      <c r="H2512" t="s"/>
      <c r="I2512" t="s"/>
      <c r="J2512" t="n">
        <v>-0.4391</v>
      </c>
      <c r="K2512" t="n">
        <v>0.194</v>
      </c>
      <c r="L2512" t="n">
        <v>0.806</v>
      </c>
      <c r="M2512" t="n">
        <v>0</v>
      </c>
    </row>
    <row r="2513" spans="1:13">
      <c r="A2513" s="1">
        <f>HYPERLINK("http://www.twitter.com/NathanBLawrence/status/997830303690448897", "997830303690448897")</f>
        <v/>
      </c>
      <c r="B2513" s="2" t="n">
        <v>43239.5585300926</v>
      </c>
      <c r="C2513" t="n">
        <v>0</v>
      </c>
      <c r="D2513" t="n">
        <v>2018</v>
      </c>
      <c r="E2513" t="s">
        <v>2519</v>
      </c>
      <c r="F2513" t="s"/>
      <c r="G2513" t="s"/>
      <c r="H2513" t="s"/>
      <c r="I2513" t="s"/>
      <c r="J2513" t="n">
        <v>-0.296</v>
      </c>
      <c r="K2513" t="n">
        <v>0.091</v>
      </c>
      <c r="L2513" t="n">
        <v>0.909</v>
      </c>
      <c r="M2513" t="n">
        <v>0</v>
      </c>
    </row>
    <row r="2514" spans="1:13">
      <c r="A2514" s="1">
        <f>HYPERLINK("http://www.twitter.com/NathanBLawrence/status/997830214804738048", "997830214804738048")</f>
        <v/>
      </c>
      <c r="B2514" s="2" t="n">
        <v>43239.55828703703</v>
      </c>
      <c r="C2514" t="n">
        <v>0</v>
      </c>
      <c r="D2514" t="n">
        <v>5387</v>
      </c>
      <c r="E2514" t="s">
        <v>2520</v>
      </c>
      <c r="F2514" t="s"/>
      <c r="G2514" t="s"/>
      <c r="H2514" t="s"/>
      <c r="I2514" t="s"/>
      <c r="J2514" t="n">
        <v>-0.8126</v>
      </c>
      <c r="K2514" t="n">
        <v>0.461</v>
      </c>
      <c r="L2514" t="n">
        <v>0.539</v>
      </c>
      <c r="M2514" t="n">
        <v>0</v>
      </c>
    </row>
    <row r="2515" spans="1:13">
      <c r="A2515" s="1">
        <f>HYPERLINK("http://www.twitter.com/NathanBLawrence/status/997830081614680064", "997830081614680064")</f>
        <v/>
      </c>
      <c r="B2515" s="2" t="n">
        <v>43239.55791666666</v>
      </c>
      <c r="C2515" t="n">
        <v>0</v>
      </c>
      <c r="D2515" t="n">
        <v>135</v>
      </c>
      <c r="E2515" t="s">
        <v>2521</v>
      </c>
      <c r="F2515" t="s"/>
      <c r="G2515" t="s"/>
      <c r="H2515" t="s"/>
      <c r="I2515" t="s"/>
      <c r="J2515" t="n">
        <v>0.6369</v>
      </c>
      <c r="K2515" t="n">
        <v>0</v>
      </c>
      <c r="L2515" t="n">
        <v>0.802</v>
      </c>
      <c r="M2515" t="n">
        <v>0.198</v>
      </c>
    </row>
    <row r="2516" spans="1:13">
      <c r="A2516" s="1">
        <f>HYPERLINK("http://www.twitter.com/NathanBLawrence/status/997830025541050368", "997830025541050368")</f>
        <v/>
      </c>
      <c r="B2516" s="2" t="n">
        <v>43239.5577662037</v>
      </c>
      <c r="C2516" t="n">
        <v>0</v>
      </c>
      <c r="D2516" t="n">
        <v>3667</v>
      </c>
      <c r="E2516" t="s">
        <v>2522</v>
      </c>
      <c r="F2516" t="s"/>
      <c r="G2516" t="s"/>
      <c r="H2516" t="s"/>
      <c r="I2516" t="s"/>
      <c r="J2516" t="n">
        <v>0.4019</v>
      </c>
      <c r="K2516" t="n">
        <v>0</v>
      </c>
      <c r="L2516" t="n">
        <v>0.891</v>
      </c>
      <c r="M2516" t="n">
        <v>0.109</v>
      </c>
    </row>
    <row r="2517" spans="1:13">
      <c r="A2517" s="1">
        <f>HYPERLINK("http://www.twitter.com/NathanBLawrence/status/997829922939985920", "997829922939985920")</f>
        <v/>
      </c>
      <c r="B2517" s="2" t="n">
        <v>43239.55748842593</v>
      </c>
      <c r="C2517" t="n">
        <v>0</v>
      </c>
      <c r="D2517" t="n">
        <v>23</v>
      </c>
      <c r="E2517" t="s">
        <v>2523</v>
      </c>
      <c r="F2517">
        <f>HYPERLINK("http://pbs.twimg.com/media/Ddj47V0U0AE5DVp.jpg", "http://pbs.twimg.com/media/Ddj47V0U0AE5DVp.jpg")</f>
        <v/>
      </c>
      <c r="G2517" t="s"/>
      <c r="H2517" t="s"/>
      <c r="I2517" t="s"/>
      <c r="J2517" t="n">
        <v>0.4939</v>
      </c>
      <c r="K2517" t="n">
        <v>0</v>
      </c>
      <c r="L2517" t="n">
        <v>0.775</v>
      </c>
      <c r="M2517" t="n">
        <v>0.225</v>
      </c>
    </row>
    <row r="2518" spans="1:13">
      <c r="A2518" s="1">
        <f>HYPERLINK("http://www.twitter.com/NathanBLawrence/status/997829783554838529", "997829783554838529")</f>
        <v/>
      </c>
      <c r="B2518" s="2" t="n">
        <v>43239.55709490741</v>
      </c>
      <c r="C2518" t="n">
        <v>0</v>
      </c>
      <c r="D2518" t="n">
        <v>43</v>
      </c>
      <c r="E2518" t="s">
        <v>2524</v>
      </c>
      <c r="F2518" t="s"/>
      <c r="G2518" t="s"/>
      <c r="H2518" t="s"/>
      <c r="I2518" t="s"/>
      <c r="J2518" t="n">
        <v>0.8777</v>
      </c>
      <c r="K2518" t="n">
        <v>0</v>
      </c>
      <c r="L2518" t="n">
        <v>0.665</v>
      </c>
      <c r="M2518" t="n">
        <v>0.335</v>
      </c>
    </row>
    <row r="2519" spans="1:13">
      <c r="A2519" s="1">
        <f>HYPERLINK("http://www.twitter.com/NathanBLawrence/status/997829654957494273", "997829654957494273")</f>
        <v/>
      </c>
      <c r="B2519" s="2" t="n">
        <v>43239.55674768519</v>
      </c>
      <c r="C2519" t="n">
        <v>0</v>
      </c>
      <c r="D2519" t="n">
        <v>83</v>
      </c>
      <c r="E2519" t="s">
        <v>2525</v>
      </c>
      <c r="F2519" t="s"/>
      <c r="G2519" t="s"/>
      <c r="H2519" t="s"/>
      <c r="I2519" t="s"/>
      <c r="J2519" t="n">
        <v>0.0516</v>
      </c>
      <c r="K2519" t="n">
        <v>0.08599999999999999</v>
      </c>
      <c r="L2519" t="n">
        <v>0.786</v>
      </c>
      <c r="M2519" t="n">
        <v>0.129</v>
      </c>
    </row>
    <row r="2520" spans="1:13">
      <c r="A2520" s="1">
        <f>HYPERLINK("http://www.twitter.com/NathanBLawrence/status/997829568609374208", "997829568609374208")</f>
        <v/>
      </c>
      <c r="B2520" s="2" t="n">
        <v>43239.55650462963</v>
      </c>
      <c r="C2520" t="n">
        <v>0</v>
      </c>
      <c r="D2520" t="n">
        <v>173</v>
      </c>
      <c r="E2520" t="s">
        <v>2526</v>
      </c>
      <c r="F2520">
        <f>HYPERLINK("http://pbs.twimg.com/media/Ddf7L7NV4AA0c6Z.jpg", "http://pbs.twimg.com/media/Ddf7L7NV4AA0c6Z.jpg")</f>
        <v/>
      </c>
      <c r="G2520" t="s"/>
      <c r="H2520" t="s"/>
      <c r="I2520" t="s"/>
      <c r="J2520" t="n">
        <v>0.4871</v>
      </c>
      <c r="K2520" t="n">
        <v>0</v>
      </c>
      <c r="L2520" t="n">
        <v>0.869</v>
      </c>
      <c r="M2520" t="n">
        <v>0.131</v>
      </c>
    </row>
    <row r="2521" spans="1:13">
      <c r="A2521" s="1">
        <f>HYPERLINK("http://www.twitter.com/NathanBLawrence/status/997829515169628160", "997829515169628160")</f>
        <v/>
      </c>
      <c r="B2521" s="2" t="n">
        <v>43239.55635416666</v>
      </c>
      <c r="C2521" t="n">
        <v>0</v>
      </c>
      <c r="D2521" t="n">
        <v>6</v>
      </c>
      <c r="E2521" t="s">
        <v>2527</v>
      </c>
      <c r="F2521" t="s"/>
      <c r="G2521" t="s"/>
      <c r="H2521" t="s"/>
      <c r="I2521" t="s"/>
      <c r="J2521" t="n">
        <v>-0.25</v>
      </c>
      <c r="K2521" t="n">
        <v>0.08599999999999999</v>
      </c>
      <c r="L2521" t="n">
        <v>0.865</v>
      </c>
      <c r="M2521" t="n">
        <v>0.049</v>
      </c>
    </row>
    <row r="2522" spans="1:13">
      <c r="A2522" s="1">
        <f>HYPERLINK("http://www.twitter.com/NathanBLawrence/status/997829465110654976", "997829465110654976")</f>
        <v/>
      </c>
      <c r="B2522" s="2" t="n">
        <v>43239.55621527778</v>
      </c>
      <c r="C2522" t="n">
        <v>0</v>
      </c>
      <c r="D2522" t="n">
        <v>1578</v>
      </c>
      <c r="E2522" t="s">
        <v>2528</v>
      </c>
      <c r="F2522">
        <f>HYPERLINK("http://pbs.twimg.com/media/Ddf0D_FVMAYCbKr.jpg", "http://pbs.twimg.com/media/Ddf0D_FVMAYCbKr.jpg")</f>
        <v/>
      </c>
      <c r="G2522" t="s"/>
      <c r="H2522" t="s"/>
      <c r="I2522" t="s"/>
      <c r="J2522" t="n">
        <v>-0.4421</v>
      </c>
      <c r="K2522" t="n">
        <v>0.26</v>
      </c>
      <c r="L2522" t="n">
        <v>0.586</v>
      </c>
      <c r="M2522" t="n">
        <v>0.154</v>
      </c>
    </row>
    <row r="2523" spans="1:13">
      <c r="A2523" s="1">
        <f>HYPERLINK("http://www.twitter.com/NathanBLawrence/status/997829347640791041", "997829347640791041")</f>
        <v/>
      </c>
      <c r="B2523" s="2" t="n">
        <v>43239.5558912037</v>
      </c>
      <c r="C2523" t="n">
        <v>1</v>
      </c>
      <c r="D2523" t="n">
        <v>0</v>
      </c>
      <c r="E2523" t="s">
        <v>2529</v>
      </c>
      <c r="F2523" t="s"/>
      <c r="G2523" t="s"/>
      <c r="H2523" t="s"/>
      <c r="I2523" t="s"/>
      <c r="J2523" t="n">
        <v>-0.0258</v>
      </c>
      <c r="K2523" t="n">
        <v>0.223</v>
      </c>
      <c r="L2523" t="n">
        <v>0.5580000000000001</v>
      </c>
      <c r="M2523" t="n">
        <v>0.219</v>
      </c>
    </row>
    <row r="2524" spans="1:13">
      <c r="A2524" s="1">
        <f>HYPERLINK("http://www.twitter.com/NathanBLawrence/status/997828999278747653", "997828999278747653")</f>
        <v/>
      </c>
      <c r="B2524" s="2" t="n">
        <v>43239.55493055555</v>
      </c>
      <c r="C2524" t="n">
        <v>0</v>
      </c>
      <c r="D2524" t="n">
        <v>5049</v>
      </c>
      <c r="E2524" t="s">
        <v>2530</v>
      </c>
      <c r="F2524" t="s"/>
      <c r="G2524" t="s"/>
      <c r="H2524" t="s"/>
      <c r="I2524" t="s"/>
      <c r="J2524" t="n">
        <v>0.3327</v>
      </c>
      <c r="K2524" t="n">
        <v>0</v>
      </c>
      <c r="L2524" t="n">
        <v>0.91</v>
      </c>
      <c r="M2524" t="n">
        <v>0.09</v>
      </c>
    </row>
    <row r="2525" spans="1:13">
      <c r="A2525" s="1">
        <f>HYPERLINK("http://www.twitter.com/NathanBLawrence/status/997828977141145601", "997828977141145601")</f>
        <v/>
      </c>
      <c r="B2525" s="2" t="n">
        <v>43239.55487268518</v>
      </c>
      <c r="C2525" t="n">
        <v>0</v>
      </c>
      <c r="D2525" t="n">
        <v>1461</v>
      </c>
      <c r="E2525" t="s">
        <v>2531</v>
      </c>
      <c r="F2525" t="s"/>
      <c r="G2525" t="s"/>
      <c r="H2525" t="s"/>
      <c r="I2525" t="s"/>
      <c r="J2525" t="n">
        <v>-0.7531</v>
      </c>
      <c r="K2525" t="n">
        <v>0.263</v>
      </c>
      <c r="L2525" t="n">
        <v>0.737</v>
      </c>
      <c r="M2525" t="n">
        <v>0</v>
      </c>
    </row>
    <row r="2526" spans="1:13">
      <c r="A2526" s="1">
        <f>HYPERLINK("http://www.twitter.com/NathanBLawrence/status/997828741249359873", "997828741249359873")</f>
        <v/>
      </c>
      <c r="B2526" s="2" t="n">
        <v>43239.55422453704</v>
      </c>
      <c r="C2526" t="n">
        <v>0</v>
      </c>
      <c r="D2526" t="n">
        <v>3</v>
      </c>
      <c r="E2526" t="s">
        <v>2532</v>
      </c>
      <c r="F2526" t="s"/>
      <c r="G2526" t="s"/>
      <c r="H2526" t="s"/>
      <c r="I2526" t="s"/>
      <c r="J2526" t="n">
        <v>-0.5106000000000001</v>
      </c>
      <c r="K2526" t="n">
        <v>0.235</v>
      </c>
      <c r="L2526" t="n">
        <v>0.765</v>
      </c>
      <c r="M2526" t="n">
        <v>0</v>
      </c>
    </row>
    <row r="2527" spans="1:13">
      <c r="A2527" s="1">
        <f>HYPERLINK("http://www.twitter.com/NathanBLawrence/status/997828660991283200", "997828660991283200")</f>
        <v/>
      </c>
      <c r="B2527" s="2" t="n">
        <v>43239.55400462963</v>
      </c>
      <c r="C2527" t="n">
        <v>0</v>
      </c>
      <c r="D2527" t="n">
        <v>65</v>
      </c>
      <c r="E2527" t="s">
        <v>2533</v>
      </c>
      <c r="F2527">
        <f>HYPERLINK("https://video.twimg.com/amplify_video/997443569119039488/vid/1280x720/Q5gTD2F7Su5Ij9Yh.mp4?tag=2", "https://video.twimg.com/amplify_video/997443569119039488/vid/1280x720/Q5gTD2F7Su5Ij9Yh.mp4?tag=2")</f>
        <v/>
      </c>
      <c r="G2527" t="s"/>
      <c r="H2527" t="s"/>
      <c r="I2527" t="s"/>
      <c r="J2527" t="n">
        <v>0.5266999999999999</v>
      </c>
      <c r="K2527" t="n">
        <v>0</v>
      </c>
      <c r="L2527" t="n">
        <v>0.827</v>
      </c>
      <c r="M2527" t="n">
        <v>0.173</v>
      </c>
    </row>
    <row r="2528" spans="1:13">
      <c r="A2528" s="1">
        <f>HYPERLINK("http://www.twitter.com/NathanBLawrence/status/997828234417860608", "997828234417860608")</f>
        <v/>
      </c>
      <c r="B2528" s="2" t="n">
        <v>43239.55282407408</v>
      </c>
      <c r="C2528" t="n">
        <v>0</v>
      </c>
      <c r="D2528" t="n">
        <v>15</v>
      </c>
      <c r="E2528" t="s">
        <v>2534</v>
      </c>
      <c r="F2528">
        <f>HYPERLINK("http://pbs.twimg.com/media/Ddj1il8VQAEf3OH.jpg", "http://pbs.twimg.com/media/Ddj1il8VQAEf3OH.jpg")</f>
        <v/>
      </c>
      <c r="G2528" t="s"/>
      <c r="H2528" t="s"/>
      <c r="I2528" t="s"/>
      <c r="J2528" t="n">
        <v>0</v>
      </c>
      <c r="K2528" t="n">
        <v>0</v>
      </c>
      <c r="L2528" t="n">
        <v>1</v>
      </c>
      <c r="M2528" t="n">
        <v>0</v>
      </c>
    </row>
    <row r="2529" spans="1:13">
      <c r="A2529" s="1">
        <f>HYPERLINK("http://www.twitter.com/NathanBLawrence/status/997828174401679360", "997828174401679360")</f>
        <v/>
      </c>
      <c r="B2529" s="2" t="n">
        <v>43239.55266203704</v>
      </c>
      <c r="C2529" t="n">
        <v>0</v>
      </c>
      <c r="D2529" t="n">
        <v>78</v>
      </c>
      <c r="E2529" t="s">
        <v>2535</v>
      </c>
      <c r="F2529" t="s"/>
      <c r="G2529" t="s"/>
      <c r="H2529" t="s"/>
      <c r="I2529" t="s"/>
      <c r="J2529" t="n">
        <v>0</v>
      </c>
      <c r="K2529" t="n">
        <v>0</v>
      </c>
      <c r="L2529" t="n">
        <v>1</v>
      </c>
      <c r="M2529" t="n">
        <v>0</v>
      </c>
    </row>
    <row r="2530" spans="1:13">
      <c r="A2530" s="1">
        <f>HYPERLINK("http://www.twitter.com/NathanBLawrence/status/997828136485249024", "997828136485249024")</f>
        <v/>
      </c>
      <c r="B2530" s="2" t="n">
        <v>43239.55255787037</v>
      </c>
      <c r="C2530" t="n">
        <v>0</v>
      </c>
      <c r="D2530" t="n">
        <v>12</v>
      </c>
      <c r="E2530" t="s">
        <v>2536</v>
      </c>
      <c r="F2530" t="s"/>
      <c r="G2530" t="s"/>
      <c r="H2530" t="s"/>
      <c r="I2530" t="s"/>
      <c r="J2530" t="n">
        <v>0.4404</v>
      </c>
      <c r="K2530" t="n">
        <v>0</v>
      </c>
      <c r="L2530" t="n">
        <v>0.868</v>
      </c>
      <c r="M2530" t="n">
        <v>0.132</v>
      </c>
    </row>
    <row r="2531" spans="1:13">
      <c r="A2531" s="1">
        <f>HYPERLINK("http://www.twitter.com/NathanBLawrence/status/997828054465511431", "997828054465511431")</f>
        <v/>
      </c>
      <c r="B2531" s="2" t="n">
        <v>43239.55232638889</v>
      </c>
      <c r="C2531" t="n">
        <v>0</v>
      </c>
      <c r="D2531" t="n">
        <v>4</v>
      </c>
      <c r="E2531" t="s">
        <v>2537</v>
      </c>
      <c r="F2531">
        <f>HYPERLINK("http://pbs.twimg.com/media/DdiN-ggW0AEXL0S.jpg", "http://pbs.twimg.com/media/DdiN-ggW0AEXL0S.jpg")</f>
        <v/>
      </c>
      <c r="G2531" t="s"/>
      <c r="H2531" t="s"/>
      <c r="I2531" t="s"/>
      <c r="J2531" t="n">
        <v>-0.296</v>
      </c>
      <c r="K2531" t="n">
        <v>0.128</v>
      </c>
      <c r="L2531" t="n">
        <v>0.872</v>
      </c>
      <c r="M2531" t="n">
        <v>0</v>
      </c>
    </row>
    <row r="2532" spans="1:13">
      <c r="A2532" s="1">
        <f>HYPERLINK("http://www.twitter.com/NathanBLawrence/status/997828000921145344", "997828000921145344")</f>
        <v/>
      </c>
      <c r="B2532" s="2" t="n">
        <v>43239.55217592593</v>
      </c>
      <c r="C2532" t="n">
        <v>0</v>
      </c>
      <c r="D2532" t="n">
        <v>56</v>
      </c>
      <c r="E2532" t="s">
        <v>2538</v>
      </c>
      <c r="F2532" t="s"/>
      <c r="G2532" t="s"/>
      <c r="H2532" t="s"/>
      <c r="I2532" t="s"/>
      <c r="J2532" t="n">
        <v>0.3182</v>
      </c>
      <c r="K2532" t="n">
        <v>0</v>
      </c>
      <c r="L2532" t="n">
        <v>0.913</v>
      </c>
      <c r="M2532" t="n">
        <v>0.08699999999999999</v>
      </c>
    </row>
    <row r="2533" spans="1:13">
      <c r="A2533" s="1">
        <f>HYPERLINK("http://www.twitter.com/NathanBLawrence/status/997827963969302528", "997827963969302528")</f>
        <v/>
      </c>
      <c r="B2533" s="2" t="n">
        <v>43239.55208333334</v>
      </c>
      <c r="C2533" t="n">
        <v>0</v>
      </c>
      <c r="D2533" t="n">
        <v>280</v>
      </c>
      <c r="E2533" t="s">
        <v>2539</v>
      </c>
      <c r="F2533">
        <f>HYPERLINK("https://video.twimg.com/ext_tw_video/786772633484308481/pu/vid/720x720/3n6nN6op3H9958RH.mp4", "https://video.twimg.com/ext_tw_video/786772633484308481/pu/vid/720x720/3n6nN6op3H9958RH.mp4")</f>
        <v/>
      </c>
      <c r="G2533" t="s"/>
      <c r="H2533" t="s"/>
      <c r="I2533" t="s"/>
      <c r="J2533" t="n">
        <v>0</v>
      </c>
      <c r="K2533" t="n">
        <v>0</v>
      </c>
      <c r="L2533" t="n">
        <v>1</v>
      </c>
      <c r="M2533" t="n">
        <v>0</v>
      </c>
    </row>
    <row r="2534" spans="1:13">
      <c r="A2534" s="1">
        <f>HYPERLINK("http://www.twitter.com/NathanBLawrence/status/997826457001975808", "997826457001975808")</f>
        <v/>
      </c>
      <c r="B2534" s="2" t="n">
        <v>43239.54791666667</v>
      </c>
      <c r="C2534" t="n">
        <v>6</v>
      </c>
      <c r="D2534" t="n">
        <v>6</v>
      </c>
      <c r="E2534" t="s">
        <v>2540</v>
      </c>
      <c r="F2534" t="s"/>
      <c r="G2534" t="s"/>
      <c r="H2534" t="s"/>
      <c r="I2534" t="s"/>
      <c r="J2534" t="n">
        <v>0</v>
      </c>
      <c r="K2534" t="n">
        <v>0</v>
      </c>
      <c r="L2534" t="n">
        <v>1</v>
      </c>
      <c r="M2534" t="n">
        <v>0</v>
      </c>
    </row>
    <row r="2535" spans="1:13">
      <c r="A2535" s="1">
        <f>HYPERLINK("http://www.twitter.com/NathanBLawrence/status/997826166504542210", "997826166504542210")</f>
        <v/>
      </c>
      <c r="B2535" s="2" t="n">
        <v>43239.54711805555</v>
      </c>
      <c r="C2535" t="n">
        <v>0</v>
      </c>
      <c r="D2535" t="n">
        <v>1112</v>
      </c>
      <c r="E2535" t="s">
        <v>2541</v>
      </c>
      <c r="F2535" t="s"/>
      <c r="G2535" t="s"/>
      <c r="H2535" t="s"/>
      <c r="I2535" t="s"/>
      <c r="J2535" t="n">
        <v>-0.5574</v>
      </c>
      <c r="K2535" t="n">
        <v>0.146</v>
      </c>
      <c r="L2535" t="n">
        <v>0.854</v>
      </c>
      <c r="M2535" t="n">
        <v>0</v>
      </c>
    </row>
    <row r="2536" spans="1:13">
      <c r="A2536" s="1">
        <f>HYPERLINK("http://www.twitter.com/NathanBLawrence/status/997826115241697281", "997826115241697281")</f>
        <v/>
      </c>
      <c r="B2536" s="2" t="n">
        <v>43239.54697916667</v>
      </c>
      <c r="C2536" t="n">
        <v>0</v>
      </c>
      <c r="D2536" t="n">
        <v>53</v>
      </c>
      <c r="E2536" t="s">
        <v>2542</v>
      </c>
      <c r="F2536">
        <f>HYPERLINK("http://pbs.twimg.com/media/Ddj1qluV0AUC7Dn.jpg", "http://pbs.twimg.com/media/Ddj1qluV0AUC7Dn.jpg")</f>
        <v/>
      </c>
      <c r="G2536">
        <f>HYPERLINK("http://pbs.twimg.com/media/Ddj1scDVAAAWEAG.jpg", "http://pbs.twimg.com/media/Ddj1scDVAAAWEAG.jpg")</f>
        <v/>
      </c>
      <c r="H2536" t="s"/>
      <c r="I2536" t="s"/>
      <c r="J2536" t="n">
        <v>0.4939</v>
      </c>
      <c r="K2536" t="n">
        <v>0</v>
      </c>
      <c r="L2536" t="n">
        <v>0.873</v>
      </c>
      <c r="M2536" t="n">
        <v>0.127</v>
      </c>
    </row>
    <row r="2537" spans="1:13">
      <c r="A2537" s="1">
        <f>HYPERLINK("http://www.twitter.com/NathanBLawrence/status/997825963764453376", "997825963764453376")</f>
        <v/>
      </c>
      <c r="B2537" s="2" t="n">
        <v>43239.5465625</v>
      </c>
      <c r="C2537" t="n">
        <v>0</v>
      </c>
      <c r="D2537" t="n">
        <v>369</v>
      </c>
      <c r="E2537" t="s">
        <v>2543</v>
      </c>
      <c r="F2537" t="s"/>
      <c r="G2537" t="s"/>
      <c r="H2537" t="s"/>
      <c r="I2537" t="s"/>
      <c r="J2537" t="n">
        <v>-0.34</v>
      </c>
      <c r="K2537" t="n">
        <v>0.118</v>
      </c>
      <c r="L2537" t="n">
        <v>0.882</v>
      </c>
      <c r="M2537" t="n">
        <v>0</v>
      </c>
    </row>
    <row r="2538" spans="1:13">
      <c r="A2538" s="1">
        <f>HYPERLINK("http://www.twitter.com/NathanBLawrence/status/997825859435278337", "997825859435278337")</f>
        <v/>
      </c>
      <c r="B2538" s="2" t="n">
        <v>43239.54627314815</v>
      </c>
      <c r="C2538" t="n">
        <v>0</v>
      </c>
      <c r="D2538" t="n">
        <v>4</v>
      </c>
      <c r="E2538" t="s">
        <v>2544</v>
      </c>
      <c r="F2538" t="s"/>
      <c r="G2538" t="s"/>
      <c r="H2538" t="s"/>
      <c r="I2538" t="s"/>
      <c r="J2538" t="n">
        <v>0.5719</v>
      </c>
      <c r="K2538" t="n">
        <v>0</v>
      </c>
      <c r="L2538" t="n">
        <v>0.837</v>
      </c>
      <c r="M2538" t="n">
        <v>0.163</v>
      </c>
    </row>
    <row r="2539" spans="1:13">
      <c r="A2539" s="1">
        <f>HYPERLINK("http://www.twitter.com/NathanBLawrence/status/997825765986258944", "997825765986258944")</f>
        <v/>
      </c>
      <c r="B2539" s="2" t="n">
        <v>43239.54600694445</v>
      </c>
      <c r="C2539" t="n">
        <v>0</v>
      </c>
      <c r="D2539" t="n">
        <v>182</v>
      </c>
      <c r="E2539" t="s">
        <v>2545</v>
      </c>
      <c r="F2539" t="s"/>
      <c r="G2539" t="s"/>
      <c r="H2539" t="s"/>
      <c r="I2539" t="s"/>
      <c r="J2539" t="n">
        <v>0</v>
      </c>
      <c r="K2539" t="n">
        <v>0</v>
      </c>
      <c r="L2539" t="n">
        <v>1</v>
      </c>
      <c r="M2539" t="n">
        <v>0</v>
      </c>
    </row>
    <row r="2540" spans="1:13">
      <c r="A2540" s="1">
        <f>HYPERLINK("http://www.twitter.com/NathanBLawrence/status/997825612340449280", "997825612340449280")</f>
        <v/>
      </c>
      <c r="B2540" s="2" t="n">
        <v>43239.54559027778</v>
      </c>
      <c r="C2540" t="n">
        <v>1</v>
      </c>
      <c r="D2540" t="n">
        <v>1</v>
      </c>
      <c r="E2540" t="s">
        <v>2546</v>
      </c>
      <c r="F2540" t="s"/>
      <c r="G2540" t="s"/>
      <c r="H2540" t="s"/>
      <c r="I2540" t="s"/>
      <c r="J2540" t="n">
        <v>0.0258</v>
      </c>
      <c r="K2540" t="n">
        <v>0.103</v>
      </c>
      <c r="L2540" t="n">
        <v>0.759</v>
      </c>
      <c r="M2540" t="n">
        <v>0.138</v>
      </c>
    </row>
    <row r="2541" spans="1:13">
      <c r="A2541" s="1">
        <f>HYPERLINK("http://www.twitter.com/NathanBLawrence/status/997823854826479617", "997823854826479617")</f>
        <v/>
      </c>
      <c r="B2541" s="2" t="n">
        <v>43239.54074074074</v>
      </c>
      <c r="C2541" t="n">
        <v>0</v>
      </c>
      <c r="D2541" t="n">
        <v>631</v>
      </c>
      <c r="E2541" t="s">
        <v>2547</v>
      </c>
      <c r="F2541" t="s"/>
      <c r="G2541" t="s"/>
      <c r="H2541" t="s"/>
      <c r="I2541" t="s"/>
      <c r="J2541" t="n">
        <v>-0.1759</v>
      </c>
      <c r="K2541" t="n">
        <v>0.102</v>
      </c>
      <c r="L2541" t="n">
        <v>0.819</v>
      </c>
      <c r="M2541" t="n">
        <v>0.079</v>
      </c>
    </row>
    <row r="2542" spans="1:13">
      <c r="A2542" s="1">
        <f>HYPERLINK("http://www.twitter.com/NathanBLawrence/status/997823783019872256", "997823783019872256")</f>
        <v/>
      </c>
      <c r="B2542" s="2" t="n">
        <v>43239.54054398148</v>
      </c>
      <c r="C2542" t="n">
        <v>0</v>
      </c>
      <c r="D2542" t="n">
        <v>1</v>
      </c>
      <c r="E2542" t="s">
        <v>2548</v>
      </c>
      <c r="F2542" t="s"/>
      <c r="G2542" t="s"/>
      <c r="H2542" t="s"/>
      <c r="I2542" t="s"/>
      <c r="J2542" t="n">
        <v>0</v>
      </c>
      <c r="K2542" t="n">
        <v>0</v>
      </c>
      <c r="L2542" t="n">
        <v>1</v>
      </c>
      <c r="M2542" t="n">
        <v>0</v>
      </c>
    </row>
    <row r="2543" spans="1:13">
      <c r="A2543" s="1">
        <f>HYPERLINK("http://www.twitter.com/NathanBLawrence/status/997823721355309056", "997823721355309056")</f>
        <v/>
      </c>
      <c r="B2543" s="2" t="n">
        <v>43239.54037037037</v>
      </c>
      <c r="C2543" t="n">
        <v>0</v>
      </c>
      <c r="D2543" t="n">
        <v>3046</v>
      </c>
      <c r="E2543" t="s">
        <v>2549</v>
      </c>
      <c r="F2543" t="s"/>
      <c r="G2543" t="s"/>
      <c r="H2543" t="s"/>
      <c r="I2543" t="s"/>
      <c r="J2543" t="n">
        <v>0</v>
      </c>
      <c r="K2543" t="n">
        <v>0</v>
      </c>
      <c r="L2543" t="n">
        <v>1</v>
      </c>
      <c r="M2543" t="n">
        <v>0</v>
      </c>
    </row>
    <row r="2544" spans="1:13">
      <c r="A2544" s="1">
        <f>HYPERLINK("http://www.twitter.com/NathanBLawrence/status/997823189580439552", "997823189580439552")</f>
        <v/>
      </c>
      <c r="B2544" s="2" t="n">
        <v>43239.53890046296</v>
      </c>
      <c r="C2544" t="n">
        <v>0</v>
      </c>
      <c r="D2544" t="n">
        <v>36</v>
      </c>
      <c r="E2544" t="s">
        <v>2550</v>
      </c>
      <c r="F2544" t="s"/>
      <c r="G2544" t="s"/>
      <c r="H2544" t="s"/>
      <c r="I2544" t="s"/>
      <c r="J2544" t="n">
        <v>0</v>
      </c>
      <c r="K2544" t="n">
        <v>0</v>
      </c>
      <c r="L2544" t="n">
        <v>1</v>
      </c>
      <c r="M2544" t="n">
        <v>0</v>
      </c>
    </row>
    <row r="2545" spans="1:13">
      <c r="A2545" s="1">
        <f>HYPERLINK("http://www.twitter.com/NathanBLawrence/status/997822532609769473", "997822532609769473")</f>
        <v/>
      </c>
      <c r="B2545" s="2" t="n">
        <v>43239.53709490741</v>
      </c>
      <c r="C2545" t="n">
        <v>0</v>
      </c>
      <c r="D2545" t="n">
        <v>2019</v>
      </c>
      <c r="E2545" t="s">
        <v>2551</v>
      </c>
      <c r="F2545" t="s"/>
      <c r="G2545" t="s"/>
      <c r="H2545" t="s"/>
      <c r="I2545" t="s"/>
      <c r="J2545" t="n">
        <v>-0.8834</v>
      </c>
      <c r="K2545" t="n">
        <v>0.352</v>
      </c>
      <c r="L2545" t="n">
        <v>0.648</v>
      </c>
      <c r="M2545" t="n">
        <v>0</v>
      </c>
    </row>
    <row r="2546" spans="1:13">
      <c r="A2546" s="1">
        <f>HYPERLINK("http://www.twitter.com/NathanBLawrence/status/997822472123756546", "997822472123756546")</f>
        <v/>
      </c>
      <c r="B2546" s="2" t="n">
        <v>43239.5369212963</v>
      </c>
      <c r="C2546" t="n">
        <v>0</v>
      </c>
      <c r="D2546" t="n">
        <v>1080</v>
      </c>
      <c r="E2546" t="s">
        <v>2552</v>
      </c>
      <c r="F2546" t="s"/>
      <c r="G2546" t="s"/>
      <c r="H2546" t="s"/>
      <c r="I2546" t="s"/>
      <c r="J2546" t="n">
        <v>-0.8544</v>
      </c>
      <c r="K2546" t="n">
        <v>0.317</v>
      </c>
      <c r="L2546" t="n">
        <v>0.6830000000000001</v>
      </c>
      <c r="M2546" t="n">
        <v>0</v>
      </c>
    </row>
    <row r="2547" spans="1:13">
      <c r="A2547" s="1">
        <f>HYPERLINK("http://www.twitter.com/NathanBLawrence/status/997822326250115072", "997822326250115072")</f>
        <v/>
      </c>
      <c r="B2547" s="2" t="n">
        <v>43239.53651620371</v>
      </c>
      <c r="C2547" t="n">
        <v>0</v>
      </c>
      <c r="D2547" t="n">
        <v>2720</v>
      </c>
      <c r="E2547" t="s">
        <v>2553</v>
      </c>
      <c r="F2547">
        <f>HYPERLINK("https://video.twimg.com/ext_tw_video/997541939590316032/pu/vid/480x480/_GuLLiAR9Ow-otvY.mp4?tag=3", "https://video.twimg.com/ext_tw_video/997541939590316032/pu/vid/480x480/_GuLLiAR9Ow-otvY.mp4?tag=3")</f>
        <v/>
      </c>
      <c r="G2547" t="s"/>
      <c r="H2547" t="s"/>
      <c r="I2547" t="s"/>
      <c r="J2547" t="n">
        <v>0.8728</v>
      </c>
      <c r="K2547" t="n">
        <v>0</v>
      </c>
      <c r="L2547" t="n">
        <v>0.711</v>
      </c>
      <c r="M2547" t="n">
        <v>0.289</v>
      </c>
    </row>
    <row r="2548" spans="1:13">
      <c r="A2548" s="1">
        <f>HYPERLINK("http://www.twitter.com/NathanBLawrence/status/997822306276737024", "997822306276737024")</f>
        <v/>
      </c>
      <c r="B2548" s="2" t="n">
        <v>43239.53646990741</v>
      </c>
      <c r="C2548" t="n">
        <v>0</v>
      </c>
      <c r="D2548" t="n">
        <v>47</v>
      </c>
      <c r="E2548" t="s">
        <v>2554</v>
      </c>
      <c r="F2548" t="s"/>
      <c r="G2548" t="s"/>
      <c r="H2548" t="s"/>
      <c r="I2548" t="s"/>
      <c r="J2548" t="n">
        <v>0</v>
      </c>
      <c r="K2548" t="n">
        <v>0</v>
      </c>
      <c r="L2548" t="n">
        <v>1</v>
      </c>
      <c r="M2548" t="n">
        <v>0</v>
      </c>
    </row>
    <row r="2549" spans="1:13">
      <c r="A2549" s="1">
        <f>HYPERLINK("http://www.twitter.com/NathanBLawrence/status/997822126559293440", "997822126559293440")</f>
        <v/>
      </c>
      <c r="B2549" s="2" t="n">
        <v>43239.53597222222</v>
      </c>
      <c r="C2549" t="n">
        <v>0</v>
      </c>
      <c r="D2549" t="n">
        <v>51</v>
      </c>
      <c r="E2549" t="s">
        <v>2555</v>
      </c>
      <c r="F2549">
        <f>HYPERLINK("http://pbs.twimg.com/media/DdjrWa8UwAAh54H.jpg", "http://pbs.twimg.com/media/DdjrWa8UwAAh54H.jpg")</f>
        <v/>
      </c>
      <c r="G2549" t="s"/>
      <c r="H2549" t="s"/>
      <c r="I2549" t="s"/>
      <c r="J2549" t="n">
        <v>-0.3818</v>
      </c>
      <c r="K2549" t="n">
        <v>0.11</v>
      </c>
      <c r="L2549" t="n">
        <v>0.89</v>
      </c>
      <c r="M2549" t="n">
        <v>0</v>
      </c>
    </row>
    <row r="2550" spans="1:13">
      <c r="A2550" s="1">
        <f>HYPERLINK("http://www.twitter.com/NathanBLawrence/status/997822078135996417", "997822078135996417")</f>
        <v/>
      </c>
      <c r="B2550" s="2" t="n">
        <v>43239.53583333334</v>
      </c>
      <c r="C2550" t="n">
        <v>0</v>
      </c>
      <c r="D2550" t="n">
        <v>10952</v>
      </c>
      <c r="E2550" t="s">
        <v>2556</v>
      </c>
      <c r="F2550">
        <f>HYPERLINK("http://pbs.twimg.com/media/DdgbzxVWsAAPzBL.jpg", "http://pbs.twimg.com/media/DdgbzxVWsAAPzBL.jpg")</f>
        <v/>
      </c>
      <c r="G2550" t="s"/>
      <c r="H2550" t="s"/>
      <c r="I2550" t="s"/>
      <c r="J2550" t="n">
        <v>0.7579</v>
      </c>
      <c r="K2550" t="n">
        <v>0.053</v>
      </c>
      <c r="L2550" t="n">
        <v>0.6840000000000001</v>
      </c>
      <c r="M2550" t="n">
        <v>0.262</v>
      </c>
    </row>
    <row r="2551" spans="1:13">
      <c r="A2551" s="1">
        <f>HYPERLINK("http://www.twitter.com/NathanBLawrence/status/997821841329852418", "997821841329852418")</f>
        <v/>
      </c>
      <c r="B2551" s="2" t="n">
        <v>43239.53518518519</v>
      </c>
      <c r="C2551" t="n">
        <v>1</v>
      </c>
      <c r="D2551" t="n">
        <v>0</v>
      </c>
      <c r="E2551" t="s">
        <v>2557</v>
      </c>
      <c r="F2551">
        <f>HYPERLINK("http://pbs.twimg.com/media/Ddj5rE0V0AA-tY7.jpg", "http://pbs.twimg.com/media/Ddj5rE0V0AA-tY7.jpg")</f>
        <v/>
      </c>
      <c r="G2551" t="s"/>
      <c r="H2551" t="s"/>
      <c r="I2551" t="s"/>
      <c r="J2551" t="n">
        <v>0</v>
      </c>
      <c r="K2551" t="n">
        <v>0</v>
      </c>
      <c r="L2551" t="n">
        <v>1</v>
      </c>
      <c r="M2551" t="n">
        <v>0</v>
      </c>
    </row>
    <row r="2552" spans="1:13">
      <c r="A2552" s="1">
        <f>HYPERLINK("http://www.twitter.com/NathanBLawrence/status/997820316700348416", "997820316700348416")</f>
        <v/>
      </c>
      <c r="B2552" s="2" t="n">
        <v>43239.53097222222</v>
      </c>
      <c r="C2552" t="n">
        <v>0</v>
      </c>
      <c r="D2552" t="n">
        <v>749</v>
      </c>
      <c r="E2552" t="s">
        <v>2558</v>
      </c>
      <c r="F2552" t="s"/>
      <c r="G2552" t="s"/>
      <c r="H2552" t="s"/>
      <c r="I2552" t="s"/>
      <c r="J2552" t="n">
        <v>-0.8371</v>
      </c>
      <c r="K2552" t="n">
        <v>0.284</v>
      </c>
      <c r="L2552" t="n">
        <v>0.716</v>
      </c>
      <c r="M2552" t="n">
        <v>0</v>
      </c>
    </row>
    <row r="2553" spans="1:13">
      <c r="A2553" s="1">
        <f>HYPERLINK("http://www.twitter.com/NathanBLawrence/status/997820264347029505", "997820264347029505")</f>
        <v/>
      </c>
      <c r="B2553" s="2" t="n">
        <v>43239.53083333333</v>
      </c>
      <c r="C2553" t="n">
        <v>0</v>
      </c>
      <c r="D2553" t="n">
        <v>113</v>
      </c>
      <c r="E2553" t="s">
        <v>2559</v>
      </c>
      <c r="F2553" t="s"/>
      <c r="G2553" t="s"/>
      <c r="H2553" t="s"/>
      <c r="I2553" t="s"/>
      <c r="J2553" t="n">
        <v>-0.9186</v>
      </c>
      <c r="K2553" t="n">
        <v>0.387</v>
      </c>
      <c r="L2553" t="n">
        <v>0.613</v>
      </c>
      <c r="M2553" t="n">
        <v>0</v>
      </c>
    </row>
    <row r="2554" spans="1:13">
      <c r="A2554" s="1">
        <f>HYPERLINK("http://www.twitter.com/NathanBLawrence/status/997820111015866368", "997820111015866368")</f>
        <v/>
      </c>
      <c r="B2554" s="2" t="n">
        <v>43239.53040509259</v>
      </c>
      <c r="C2554" t="n">
        <v>0</v>
      </c>
      <c r="D2554" t="n">
        <v>333</v>
      </c>
      <c r="E2554" t="s">
        <v>2560</v>
      </c>
      <c r="F2554" t="s"/>
      <c r="G2554" t="s"/>
      <c r="H2554" t="s"/>
      <c r="I2554" t="s"/>
      <c r="J2554" t="n">
        <v>0</v>
      </c>
      <c r="K2554" t="n">
        <v>0</v>
      </c>
      <c r="L2554" t="n">
        <v>1</v>
      </c>
      <c r="M2554" t="n">
        <v>0</v>
      </c>
    </row>
    <row r="2555" spans="1:13">
      <c r="A2555" s="1">
        <f>HYPERLINK("http://www.twitter.com/NathanBLawrence/status/997819911878725632", "997819911878725632")</f>
        <v/>
      </c>
      <c r="B2555" s="2" t="n">
        <v>43239.52986111111</v>
      </c>
      <c r="C2555" t="n">
        <v>0</v>
      </c>
      <c r="D2555" t="n">
        <v>251</v>
      </c>
      <c r="E2555" t="s">
        <v>2561</v>
      </c>
      <c r="F2555" t="s"/>
      <c r="G2555" t="s"/>
      <c r="H2555" t="s"/>
      <c r="I2555" t="s"/>
      <c r="J2555" t="n">
        <v>0.7845</v>
      </c>
      <c r="K2555" t="n">
        <v>0.1</v>
      </c>
      <c r="L2555" t="n">
        <v>0.522</v>
      </c>
      <c r="M2555" t="n">
        <v>0.378</v>
      </c>
    </row>
    <row r="2556" spans="1:13">
      <c r="A2556" s="1">
        <f>HYPERLINK("http://www.twitter.com/NathanBLawrence/status/997819742705643524", "997819742705643524")</f>
        <v/>
      </c>
      <c r="B2556" s="2" t="n">
        <v>43239.52938657408</v>
      </c>
      <c r="C2556" t="n">
        <v>0</v>
      </c>
      <c r="D2556" t="n">
        <v>574</v>
      </c>
      <c r="E2556" t="s">
        <v>2562</v>
      </c>
      <c r="F2556" t="s"/>
      <c r="G2556" t="s"/>
      <c r="H2556" t="s"/>
      <c r="I2556" t="s"/>
      <c r="J2556" t="n">
        <v>0.3818</v>
      </c>
      <c r="K2556" t="n">
        <v>0</v>
      </c>
      <c r="L2556" t="n">
        <v>0.885</v>
      </c>
      <c r="M2556" t="n">
        <v>0.115</v>
      </c>
    </row>
    <row r="2557" spans="1:13">
      <c r="A2557" s="1">
        <f>HYPERLINK("http://www.twitter.com/NathanBLawrence/status/997819022308671493", "997819022308671493")</f>
        <v/>
      </c>
      <c r="B2557" s="2" t="n">
        <v>43239.5274074074</v>
      </c>
      <c r="C2557" t="n">
        <v>0</v>
      </c>
      <c r="D2557" t="n">
        <v>587</v>
      </c>
      <c r="E2557" t="s">
        <v>2563</v>
      </c>
      <c r="F2557" t="s"/>
      <c r="G2557" t="s"/>
      <c r="H2557" t="s"/>
      <c r="I2557" t="s"/>
      <c r="J2557" t="n">
        <v>-0.5904</v>
      </c>
      <c r="K2557" t="n">
        <v>0.154</v>
      </c>
      <c r="L2557" t="n">
        <v>0.846</v>
      </c>
      <c r="M2557" t="n">
        <v>0</v>
      </c>
    </row>
    <row r="2558" spans="1:13">
      <c r="A2558" s="1">
        <f>HYPERLINK("http://www.twitter.com/NathanBLawrence/status/997815076882087939", "997815076882087939")</f>
        <v/>
      </c>
      <c r="B2558" s="2" t="n">
        <v>43239.5165162037</v>
      </c>
      <c r="C2558" t="n">
        <v>0</v>
      </c>
      <c r="D2558" t="n">
        <v>41</v>
      </c>
      <c r="E2558" t="s">
        <v>2564</v>
      </c>
      <c r="F2558" t="s"/>
      <c r="G2558" t="s"/>
      <c r="H2558" t="s"/>
      <c r="I2558" t="s"/>
      <c r="J2558" t="n">
        <v>0</v>
      </c>
      <c r="K2558" t="n">
        <v>0</v>
      </c>
      <c r="L2558" t="n">
        <v>1</v>
      </c>
      <c r="M2558" t="n">
        <v>0</v>
      </c>
    </row>
    <row r="2559" spans="1:13">
      <c r="A2559" s="1">
        <f>HYPERLINK("http://www.twitter.com/NathanBLawrence/status/997815040018472960", "997815040018472960")</f>
        <v/>
      </c>
      <c r="B2559" s="2" t="n">
        <v>43239.51641203704</v>
      </c>
      <c r="C2559" t="n">
        <v>0</v>
      </c>
      <c r="D2559" t="n">
        <v>20</v>
      </c>
      <c r="E2559" t="s">
        <v>2565</v>
      </c>
      <c r="F2559" t="s"/>
      <c r="G2559" t="s"/>
      <c r="H2559" t="s"/>
      <c r="I2559" t="s"/>
      <c r="J2559" t="n">
        <v>-0.128</v>
      </c>
      <c r="K2559" t="n">
        <v>0.07000000000000001</v>
      </c>
      <c r="L2559" t="n">
        <v>0.93</v>
      </c>
      <c r="M2559" t="n">
        <v>0</v>
      </c>
    </row>
    <row r="2560" spans="1:13">
      <c r="A2560" s="1">
        <f>HYPERLINK("http://www.twitter.com/NathanBLawrence/status/997814994044628993", "997814994044628993")</f>
        <v/>
      </c>
      <c r="B2560" s="2" t="n">
        <v>43239.51628472222</v>
      </c>
      <c r="C2560" t="n">
        <v>0</v>
      </c>
      <c r="D2560" t="n">
        <v>24</v>
      </c>
      <c r="E2560" t="s">
        <v>2566</v>
      </c>
      <c r="F2560">
        <f>HYPERLINK("https://video.twimg.com/ext_tw_video/995078366427582470/pu/vid/1274x720/tgk320XhDzICvP4C.mp4?tag=3", "https://video.twimg.com/ext_tw_video/995078366427582470/pu/vid/1274x720/tgk320XhDzICvP4C.mp4?tag=3")</f>
        <v/>
      </c>
      <c r="G2560" t="s"/>
      <c r="H2560" t="s"/>
      <c r="I2560" t="s"/>
      <c r="J2560" t="n">
        <v>-0.1531</v>
      </c>
      <c r="K2560" t="n">
        <v>0.115</v>
      </c>
      <c r="L2560" t="n">
        <v>0.789</v>
      </c>
      <c r="M2560" t="n">
        <v>0.095</v>
      </c>
    </row>
    <row r="2561" spans="1:13">
      <c r="A2561" s="1">
        <f>HYPERLINK("http://www.twitter.com/NathanBLawrence/status/997814957289897985", "997814957289897985")</f>
        <v/>
      </c>
      <c r="B2561" s="2" t="n">
        <v>43239.51618055555</v>
      </c>
      <c r="C2561" t="n">
        <v>0</v>
      </c>
      <c r="D2561" t="n">
        <v>0</v>
      </c>
      <c r="E2561" t="s">
        <v>2567</v>
      </c>
      <c r="F2561" t="s"/>
      <c r="G2561" t="s"/>
      <c r="H2561" t="s"/>
      <c r="I2561" t="s"/>
      <c r="J2561" t="n">
        <v>0</v>
      </c>
      <c r="K2561" t="n">
        <v>0</v>
      </c>
      <c r="L2561" t="n">
        <v>1</v>
      </c>
      <c r="M2561" t="n">
        <v>0</v>
      </c>
    </row>
    <row r="2562" spans="1:13">
      <c r="A2562" s="1">
        <f>HYPERLINK("http://www.twitter.com/NathanBLawrence/status/997814755661410304", "997814755661410304")</f>
        <v/>
      </c>
      <c r="B2562" s="2" t="n">
        <v>43239.515625</v>
      </c>
      <c r="C2562" t="n">
        <v>0</v>
      </c>
      <c r="D2562" t="n">
        <v>574</v>
      </c>
      <c r="E2562" t="s">
        <v>2568</v>
      </c>
      <c r="F2562">
        <f>HYPERLINK("https://video.twimg.com/ext_tw_video/994776119491645440/pu/vid/1280x720/yHUqRC2j7FgZ5LbF.mp4?tag=3", "https://video.twimg.com/ext_tw_video/994776119491645440/pu/vid/1280x720/yHUqRC2j7FgZ5LbF.mp4?tag=3")</f>
        <v/>
      </c>
      <c r="G2562" t="s"/>
      <c r="H2562" t="s"/>
      <c r="I2562" t="s"/>
      <c r="J2562" t="n">
        <v>0.3612</v>
      </c>
      <c r="K2562" t="n">
        <v>0</v>
      </c>
      <c r="L2562" t="n">
        <v>0.898</v>
      </c>
      <c r="M2562" t="n">
        <v>0.102</v>
      </c>
    </row>
    <row r="2563" spans="1:13">
      <c r="A2563" s="1">
        <f>HYPERLINK("http://www.twitter.com/NathanBLawrence/status/997814414245015558", "997814414245015558")</f>
        <v/>
      </c>
      <c r="B2563" s="2" t="n">
        <v>43239.5146875</v>
      </c>
      <c r="C2563" t="n">
        <v>0</v>
      </c>
      <c r="D2563" t="n">
        <v>0</v>
      </c>
      <c r="E2563" t="s">
        <v>2569</v>
      </c>
      <c r="F2563" t="s"/>
      <c r="G2563" t="s"/>
      <c r="H2563" t="s"/>
      <c r="I2563" t="s"/>
      <c r="J2563" t="n">
        <v>0</v>
      </c>
      <c r="K2563" t="n">
        <v>0</v>
      </c>
      <c r="L2563" t="n">
        <v>1</v>
      </c>
      <c r="M2563" t="n">
        <v>0</v>
      </c>
    </row>
    <row r="2564" spans="1:13">
      <c r="A2564" s="1">
        <f>HYPERLINK("http://www.twitter.com/NathanBLawrence/status/997813313001181184", "997813313001181184")</f>
        <v/>
      </c>
      <c r="B2564" s="2" t="n">
        <v>43239.51164351852</v>
      </c>
      <c r="C2564" t="n">
        <v>0</v>
      </c>
      <c r="D2564" t="n">
        <v>1</v>
      </c>
      <c r="E2564" t="s">
        <v>2570</v>
      </c>
      <c r="F2564">
        <f>HYPERLINK("http://pbs.twimg.com/media/DdjxV1KVwAArXZI.jpg", "http://pbs.twimg.com/media/DdjxV1KVwAArXZI.jpg")</f>
        <v/>
      </c>
      <c r="G2564" t="s"/>
      <c r="H2564" t="s"/>
      <c r="I2564" t="s"/>
      <c r="J2564" t="n">
        <v>-0.1779</v>
      </c>
      <c r="K2564" t="n">
        <v>0.116</v>
      </c>
      <c r="L2564" t="n">
        <v>0.884</v>
      </c>
      <c r="M2564" t="n">
        <v>0</v>
      </c>
    </row>
    <row r="2565" spans="1:13">
      <c r="A2565" s="1">
        <f>HYPERLINK("http://www.twitter.com/NathanBLawrence/status/997813243187027968", "997813243187027968")</f>
        <v/>
      </c>
      <c r="B2565" s="2" t="n">
        <v>43239.51145833333</v>
      </c>
      <c r="C2565" t="n">
        <v>0</v>
      </c>
      <c r="D2565" t="n">
        <v>0</v>
      </c>
      <c r="E2565" t="s">
        <v>2571</v>
      </c>
      <c r="F2565" t="s"/>
      <c r="G2565" t="s"/>
      <c r="H2565" t="s"/>
      <c r="I2565" t="s"/>
      <c r="J2565" t="n">
        <v>0.6124000000000001</v>
      </c>
      <c r="K2565" t="n">
        <v>0</v>
      </c>
      <c r="L2565" t="n">
        <v>0.886</v>
      </c>
      <c r="M2565" t="n">
        <v>0.114</v>
      </c>
    </row>
    <row r="2566" spans="1:13">
      <c r="A2566" s="1">
        <f>HYPERLINK("http://www.twitter.com/NathanBLawrence/status/997811837843501056", "997811837843501056")</f>
        <v/>
      </c>
      <c r="B2566" s="2" t="n">
        <v>43239.50758101852</v>
      </c>
      <c r="C2566" t="n">
        <v>0</v>
      </c>
      <c r="D2566" t="n">
        <v>1792</v>
      </c>
      <c r="E2566" t="s">
        <v>2572</v>
      </c>
      <c r="F2566" t="s"/>
      <c r="G2566" t="s"/>
      <c r="H2566" t="s"/>
      <c r="I2566" t="s"/>
      <c r="J2566" t="n">
        <v>0.34</v>
      </c>
      <c r="K2566" t="n">
        <v>0</v>
      </c>
      <c r="L2566" t="n">
        <v>0.897</v>
      </c>
      <c r="M2566" t="n">
        <v>0.103</v>
      </c>
    </row>
    <row r="2567" spans="1:13">
      <c r="A2567" s="1">
        <f>HYPERLINK("http://www.twitter.com/NathanBLawrence/status/997811797267795968", "997811797267795968")</f>
        <v/>
      </c>
      <c r="B2567" s="2" t="n">
        <v>43239.50746527778</v>
      </c>
      <c r="C2567" t="n">
        <v>0</v>
      </c>
      <c r="D2567" t="n">
        <v>9</v>
      </c>
      <c r="E2567" t="s">
        <v>2573</v>
      </c>
      <c r="F2567" t="s"/>
      <c r="G2567" t="s"/>
      <c r="H2567" t="s"/>
      <c r="I2567" t="s"/>
      <c r="J2567" t="n">
        <v>0.4995</v>
      </c>
      <c r="K2567" t="n">
        <v>0</v>
      </c>
      <c r="L2567" t="n">
        <v>0.885</v>
      </c>
      <c r="M2567" t="n">
        <v>0.115</v>
      </c>
    </row>
    <row r="2568" spans="1:13">
      <c r="A2568" s="1">
        <f>HYPERLINK("http://www.twitter.com/NathanBLawrence/status/997811523211972608", "997811523211972608")</f>
        <v/>
      </c>
      <c r="B2568" s="2" t="n">
        <v>43239.50671296296</v>
      </c>
      <c r="C2568" t="n">
        <v>0</v>
      </c>
      <c r="D2568" t="n">
        <v>2783</v>
      </c>
      <c r="E2568" t="s">
        <v>2574</v>
      </c>
      <c r="F2568" t="s"/>
      <c r="G2568" t="s"/>
      <c r="H2568" t="s"/>
      <c r="I2568" t="s"/>
      <c r="J2568" t="n">
        <v>0</v>
      </c>
      <c r="K2568" t="n">
        <v>0</v>
      </c>
      <c r="L2568" t="n">
        <v>1</v>
      </c>
      <c r="M2568" t="n">
        <v>0</v>
      </c>
    </row>
    <row r="2569" spans="1:13">
      <c r="A2569" s="1">
        <f>HYPERLINK("http://www.twitter.com/NathanBLawrence/status/997811467016638464", "997811467016638464")</f>
        <v/>
      </c>
      <c r="B2569" s="2" t="n">
        <v>43239.50655092593</v>
      </c>
      <c r="C2569" t="n">
        <v>0</v>
      </c>
      <c r="D2569" t="n">
        <v>1494</v>
      </c>
      <c r="E2569" t="s">
        <v>2575</v>
      </c>
      <c r="F2569" t="s"/>
      <c r="G2569" t="s"/>
      <c r="H2569" t="s"/>
      <c r="I2569" t="s"/>
      <c r="J2569" t="n">
        <v>0</v>
      </c>
      <c r="K2569" t="n">
        <v>0</v>
      </c>
      <c r="L2569" t="n">
        <v>1</v>
      </c>
      <c r="M2569" t="n">
        <v>0</v>
      </c>
    </row>
    <row r="2570" spans="1:13">
      <c r="A2570" s="1">
        <f>HYPERLINK("http://www.twitter.com/NathanBLawrence/status/997811364973424640", "997811364973424640")</f>
        <v/>
      </c>
      <c r="B2570" s="2" t="n">
        <v>43239.50627314814</v>
      </c>
      <c r="C2570" t="n">
        <v>0</v>
      </c>
      <c r="D2570" t="n">
        <v>1061</v>
      </c>
      <c r="E2570" t="s">
        <v>2576</v>
      </c>
      <c r="F2570" t="s"/>
      <c r="G2570" t="s"/>
      <c r="H2570" t="s"/>
      <c r="I2570" t="s"/>
      <c r="J2570" t="n">
        <v>0</v>
      </c>
      <c r="K2570" t="n">
        <v>0</v>
      </c>
      <c r="L2570" t="n">
        <v>1</v>
      </c>
      <c r="M2570" t="n">
        <v>0</v>
      </c>
    </row>
    <row r="2571" spans="1:13">
      <c r="A2571" s="1">
        <f>HYPERLINK("http://www.twitter.com/NathanBLawrence/status/997811323093356552", "997811323093356552")</f>
        <v/>
      </c>
      <c r="B2571" s="2" t="n">
        <v>43239.50615740741</v>
      </c>
      <c r="C2571" t="n">
        <v>0</v>
      </c>
      <c r="D2571" t="n">
        <v>96</v>
      </c>
      <c r="E2571" t="s">
        <v>2577</v>
      </c>
      <c r="F2571">
        <f>HYPERLINK("http://pbs.twimg.com/media/DdhiWICW4AEH-ZS.jpg", "http://pbs.twimg.com/media/DdhiWICW4AEH-ZS.jpg")</f>
        <v/>
      </c>
      <c r="G2571" t="s"/>
      <c r="H2571" t="s"/>
      <c r="I2571" t="s"/>
      <c r="J2571" t="n">
        <v>-0.9313</v>
      </c>
      <c r="K2571" t="n">
        <v>0.428</v>
      </c>
      <c r="L2571" t="n">
        <v>0.535</v>
      </c>
      <c r="M2571" t="n">
        <v>0.037</v>
      </c>
    </row>
    <row r="2572" spans="1:13">
      <c r="A2572" s="1">
        <f>HYPERLINK("http://www.twitter.com/NathanBLawrence/status/997811158877908992", "997811158877908992")</f>
        <v/>
      </c>
      <c r="B2572" s="2" t="n">
        <v>43239.50570601852</v>
      </c>
      <c r="C2572" t="n">
        <v>0</v>
      </c>
      <c r="D2572" t="n">
        <v>1236</v>
      </c>
      <c r="E2572" t="s">
        <v>2578</v>
      </c>
      <c r="F2572" t="s"/>
      <c r="G2572" t="s"/>
      <c r="H2572" t="s"/>
      <c r="I2572" t="s"/>
      <c r="J2572" t="n">
        <v>0</v>
      </c>
      <c r="K2572" t="n">
        <v>0</v>
      </c>
      <c r="L2572" t="n">
        <v>1</v>
      </c>
      <c r="M2572" t="n">
        <v>0</v>
      </c>
    </row>
    <row r="2573" spans="1:13">
      <c r="A2573" s="1">
        <f>HYPERLINK("http://www.twitter.com/NathanBLawrence/status/997811119317291008", "997811119317291008")</f>
        <v/>
      </c>
      <c r="B2573" s="2" t="n">
        <v>43239.50559027777</v>
      </c>
      <c r="C2573" t="n">
        <v>0</v>
      </c>
      <c r="D2573" t="n">
        <v>11</v>
      </c>
      <c r="E2573" t="s">
        <v>2579</v>
      </c>
      <c r="F2573">
        <f>HYPERLINK("http://pbs.twimg.com/media/DdhGToBU8AA_4bM.jpg", "http://pbs.twimg.com/media/DdhGToBU8AA_4bM.jpg")</f>
        <v/>
      </c>
      <c r="G2573" t="s"/>
      <c r="H2573" t="s"/>
      <c r="I2573" t="s"/>
      <c r="J2573" t="n">
        <v>-0.7783</v>
      </c>
      <c r="K2573" t="n">
        <v>0.291</v>
      </c>
      <c r="L2573" t="n">
        <v>0.709</v>
      </c>
      <c r="M2573" t="n">
        <v>0</v>
      </c>
    </row>
    <row r="2574" spans="1:13">
      <c r="A2574" s="1">
        <f>HYPERLINK("http://www.twitter.com/NathanBLawrence/status/997811056784412672", "997811056784412672")</f>
        <v/>
      </c>
      <c r="B2574" s="2" t="n">
        <v>43239.50542824074</v>
      </c>
      <c r="C2574" t="n">
        <v>0</v>
      </c>
      <c r="D2574" t="n">
        <v>1881</v>
      </c>
      <c r="E2574" t="s">
        <v>2580</v>
      </c>
      <c r="F2574" t="s"/>
      <c r="G2574" t="s"/>
      <c r="H2574" t="s"/>
      <c r="I2574" t="s"/>
      <c r="J2574" t="n">
        <v>0</v>
      </c>
      <c r="K2574" t="n">
        <v>0</v>
      </c>
      <c r="L2574" t="n">
        <v>1</v>
      </c>
      <c r="M2574" t="n">
        <v>0</v>
      </c>
    </row>
    <row r="2575" spans="1:13">
      <c r="A2575" s="1">
        <f>HYPERLINK("http://www.twitter.com/NathanBLawrence/status/997810942388948992", "997810942388948992")</f>
        <v/>
      </c>
      <c r="B2575" s="2" t="n">
        <v>43239.50510416667</v>
      </c>
      <c r="C2575" t="n">
        <v>0</v>
      </c>
      <c r="D2575" t="n">
        <v>8</v>
      </c>
      <c r="E2575" t="s">
        <v>2581</v>
      </c>
      <c r="F2575">
        <f>HYPERLINK("http://pbs.twimg.com/media/Ddh4A8fVwAAo2zi.jpg", "http://pbs.twimg.com/media/Ddh4A8fVwAAo2zi.jpg")</f>
        <v/>
      </c>
      <c r="G2575" t="s"/>
      <c r="H2575" t="s"/>
      <c r="I2575" t="s"/>
      <c r="J2575" t="n">
        <v>-0.657</v>
      </c>
      <c r="K2575" t="n">
        <v>0.285</v>
      </c>
      <c r="L2575" t="n">
        <v>0.715</v>
      </c>
      <c r="M2575" t="n">
        <v>0</v>
      </c>
    </row>
    <row r="2576" spans="1:13">
      <c r="A2576" s="1">
        <f>HYPERLINK("http://www.twitter.com/NathanBLawrence/status/997810822964482055", "997810822964482055")</f>
        <v/>
      </c>
      <c r="B2576" s="2" t="n">
        <v>43239.50478009259</v>
      </c>
      <c r="C2576" t="n">
        <v>0</v>
      </c>
      <c r="D2576" t="n">
        <v>3</v>
      </c>
      <c r="E2576" t="s">
        <v>2582</v>
      </c>
      <c r="F2576" t="s"/>
      <c r="G2576" t="s"/>
      <c r="H2576" t="s"/>
      <c r="I2576" t="s"/>
      <c r="J2576" t="n">
        <v>0</v>
      </c>
      <c r="K2576" t="n">
        <v>0</v>
      </c>
      <c r="L2576" t="n">
        <v>1</v>
      </c>
      <c r="M2576" t="n">
        <v>0</v>
      </c>
    </row>
    <row r="2577" spans="1:13">
      <c r="A2577" s="1">
        <f>HYPERLINK("http://www.twitter.com/NathanBLawrence/status/997810778714624000", "997810778714624000")</f>
        <v/>
      </c>
      <c r="B2577" s="2" t="n">
        <v>43239.50465277778</v>
      </c>
      <c r="C2577" t="n">
        <v>0</v>
      </c>
      <c r="D2577" t="n">
        <v>1</v>
      </c>
      <c r="E2577" t="s">
        <v>2583</v>
      </c>
      <c r="F2577" t="s"/>
      <c r="G2577" t="s"/>
      <c r="H2577" t="s"/>
      <c r="I2577" t="s"/>
      <c r="J2577" t="n">
        <v>-0.802</v>
      </c>
      <c r="K2577" t="n">
        <v>0.301</v>
      </c>
      <c r="L2577" t="n">
        <v>0.699</v>
      </c>
      <c r="M2577" t="n">
        <v>0</v>
      </c>
    </row>
    <row r="2578" spans="1:13">
      <c r="A2578" s="1">
        <f>HYPERLINK("http://www.twitter.com/NathanBLawrence/status/997809443206246400", "997809443206246400")</f>
        <v/>
      </c>
      <c r="B2578" s="2" t="n">
        <v>43239.50097222222</v>
      </c>
      <c r="C2578" t="n">
        <v>1</v>
      </c>
      <c r="D2578" t="n">
        <v>0</v>
      </c>
      <c r="E2578" t="s">
        <v>2584</v>
      </c>
      <c r="F2578" t="s"/>
      <c r="G2578" t="s"/>
      <c r="H2578" t="s"/>
      <c r="I2578" t="s"/>
      <c r="J2578" t="n">
        <v>0.4184</v>
      </c>
      <c r="K2578" t="n">
        <v>0</v>
      </c>
      <c r="L2578" t="n">
        <v>0.852</v>
      </c>
      <c r="M2578" t="n">
        <v>0.148</v>
      </c>
    </row>
    <row r="2579" spans="1:13">
      <c r="A2579" s="1">
        <f>HYPERLINK("http://www.twitter.com/NathanBLawrence/status/997806853395550208", "997806853395550208")</f>
        <v/>
      </c>
      <c r="B2579" s="2" t="n">
        <v>43239.49381944445</v>
      </c>
      <c r="C2579" t="n">
        <v>1</v>
      </c>
      <c r="D2579" t="n">
        <v>1</v>
      </c>
      <c r="E2579" t="s">
        <v>2585</v>
      </c>
      <c r="F2579" t="s"/>
      <c r="G2579" t="s"/>
      <c r="H2579" t="s"/>
      <c r="I2579" t="s"/>
      <c r="J2579" t="n">
        <v>-0.9442</v>
      </c>
      <c r="K2579" t="n">
        <v>0.344</v>
      </c>
      <c r="L2579" t="n">
        <v>0.609</v>
      </c>
      <c r="M2579" t="n">
        <v>0.047</v>
      </c>
    </row>
    <row r="2580" spans="1:13">
      <c r="A2580" s="1">
        <f>HYPERLINK("http://www.twitter.com/NathanBLawrence/status/997805476858531840", "997805476858531840")</f>
        <v/>
      </c>
      <c r="B2580" s="2" t="n">
        <v>43239.49002314815</v>
      </c>
      <c r="C2580" t="n">
        <v>0</v>
      </c>
      <c r="D2580" t="n">
        <v>1</v>
      </c>
      <c r="E2580" t="s">
        <v>2586</v>
      </c>
      <c r="F2580" t="s"/>
      <c r="G2580" t="s"/>
      <c r="H2580" t="s"/>
      <c r="I2580" t="s"/>
      <c r="J2580" t="n">
        <v>-0.2244</v>
      </c>
      <c r="K2580" t="n">
        <v>0.254</v>
      </c>
      <c r="L2580" t="n">
        <v>0.541</v>
      </c>
      <c r="M2580" t="n">
        <v>0.205</v>
      </c>
    </row>
    <row r="2581" spans="1:13">
      <c r="A2581" s="1">
        <f>HYPERLINK("http://www.twitter.com/NathanBLawrence/status/997805405307834368", "997805405307834368")</f>
        <v/>
      </c>
      <c r="B2581" s="2" t="n">
        <v>43239.48982638889</v>
      </c>
      <c r="C2581" t="n">
        <v>0</v>
      </c>
      <c r="D2581" t="n">
        <v>5</v>
      </c>
      <c r="E2581" t="s">
        <v>2587</v>
      </c>
      <c r="F2581" t="s"/>
      <c r="G2581" t="s"/>
      <c r="H2581" t="s"/>
      <c r="I2581" t="s"/>
      <c r="J2581" t="n">
        <v>-0.7003</v>
      </c>
      <c r="K2581" t="n">
        <v>0.304</v>
      </c>
      <c r="L2581" t="n">
        <v>0.615</v>
      </c>
      <c r="M2581" t="n">
        <v>0.081</v>
      </c>
    </row>
    <row r="2582" spans="1:13">
      <c r="A2582" s="1">
        <f>HYPERLINK("http://www.twitter.com/NathanBLawrence/status/997804994148622336", "997804994148622336")</f>
        <v/>
      </c>
      <c r="B2582" s="2" t="n">
        <v>43239.48869212963</v>
      </c>
      <c r="C2582" t="n">
        <v>0</v>
      </c>
      <c r="D2582" t="n">
        <v>22</v>
      </c>
      <c r="E2582" t="s">
        <v>2588</v>
      </c>
      <c r="F2582" t="s"/>
      <c r="G2582" t="s"/>
      <c r="H2582" t="s"/>
      <c r="I2582" t="s"/>
      <c r="J2582" t="n">
        <v>-0.2263</v>
      </c>
      <c r="K2582" t="n">
        <v>0.147</v>
      </c>
      <c r="L2582" t="n">
        <v>0.769</v>
      </c>
      <c r="M2582" t="n">
        <v>0.08400000000000001</v>
      </c>
    </row>
    <row r="2583" spans="1:13">
      <c r="A2583" s="1">
        <f>HYPERLINK("http://www.twitter.com/NathanBLawrence/status/997804954696941569", "997804954696941569")</f>
        <v/>
      </c>
      <c r="B2583" s="2" t="n">
        <v>43239.48858796297</v>
      </c>
      <c r="C2583" t="n">
        <v>1</v>
      </c>
      <c r="D2583" t="n">
        <v>0</v>
      </c>
      <c r="E2583" t="s">
        <v>2589</v>
      </c>
      <c r="F2583" t="s"/>
      <c r="G2583" t="s"/>
      <c r="H2583" t="s"/>
      <c r="I2583" t="s"/>
      <c r="J2583" t="n">
        <v>0.7579</v>
      </c>
      <c r="K2583" t="n">
        <v>0</v>
      </c>
      <c r="L2583" t="n">
        <v>0.615</v>
      </c>
      <c r="M2583" t="n">
        <v>0.385</v>
      </c>
    </row>
    <row r="2584" spans="1:13">
      <c r="A2584" s="1">
        <f>HYPERLINK("http://www.twitter.com/NathanBLawrence/status/997804183964307456", "997804183964307456")</f>
        <v/>
      </c>
      <c r="B2584" s="2" t="n">
        <v>43239.48645833333</v>
      </c>
      <c r="C2584" t="n">
        <v>0</v>
      </c>
      <c r="D2584" t="n">
        <v>6</v>
      </c>
      <c r="E2584" t="s">
        <v>2590</v>
      </c>
      <c r="F2584" t="s"/>
      <c r="G2584" t="s"/>
      <c r="H2584" t="s"/>
      <c r="I2584" t="s"/>
      <c r="J2584" t="n">
        <v>-0.1779</v>
      </c>
      <c r="K2584" t="n">
        <v>0.145</v>
      </c>
      <c r="L2584" t="n">
        <v>0.763</v>
      </c>
      <c r="M2584" t="n">
        <v>0.092</v>
      </c>
    </row>
    <row r="2585" spans="1:13">
      <c r="A2585" s="1">
        <f>HYPERLINK("http://www.twitter.com/NathanBLawrence/status/997679456478289920", "997679456478289920")</f>
        <v/>
      </c>
      <c r="B2585" s="2" t="n">
        <v>43239.14228009259</v>
      </c>
      <c r="C2585" t="n">
        <v>0</v>
      </c>
      <c r="D2585" t="n">
        <v>1</v>
      </c>
      <c r="E2585" t="s">
        <v>2591</v>
      </c>
      <c r="F2585" t="s"/>
      <c r="G2585" t="s"/>
      <c r="H2585" t="s"/>
      <c r="I2585" t="s"/>
      <c r="J2585" t="n">
        <v>0</v>
      </c>
      <c r="K2585" t="n">
        <v>0</v>
      </c>
      <c r="L2585" t="n">
        <v>1</v>
      </c>
      <c r="M2585" t="n">
        <v>0</v>
      </c>
    </row>
    <row r="2586" spans="1:13">
      <c r="A2586" s="1">
        <f>HYPERLINK("http://www.twitter.com/NathanBLawrence/status/997679388392153088", "997679388392153088")</f>
        <v/>
      </c>
      <c r="B2586" s="2" t="n">
        <v>43239.14208333333</v>
      </c>
      <c r="C2586" t="n">
        <v>0</v>
      </c>
      <c r="D2586" t="n">
        <v>3</v>
      </c>
      <c r="E2586" t="s">
        <v>2592</v>
      </c>
      <c r="F2586" t="s"/>
      <c r="G2586" t="s"/>
      <c r="H2586" t="s"/>
      <c r="I2586" t="s"/>
      <c r="J2586" t="n">
        <v>0</v>
      </c>
      <c r="K2586" t="n">
        <v>0</v>
      </c>
      <c r="L2586" t="n">
        <v>1</v>
      </c>
      <c r="M2586" t="n">
        <v>0</v>
      </c>
    </row>
    <row r="2587" spans="1:13">
      <c r="A2587" s="1">
        <f>HYPERLINK("http://www.twitter.com/NathanBLawrence/status/997678851475066880", "997678851475066880")</f>
        <v/>
      </c>
      <c r="B2587" s="2" t="n">
        <v>43239.14060185185</v>
      </c>
      <c r="C2587" t="n">
        <v>0</v>
      </c>
      <c r="D2587" t="n">
        <v>113</v>
      </c>
      <c r="E2587" t="s">
        <v>2593</v>
      </c>
      <c r="F2587" t="s"/>
      <c r="G2587" t="s"/>
      <c r="H2587" t="s"/>
      <c r="I2587" t="s"/>
      <c r="J2587" t="n">
        <v>-0.5423</v>
      </c>
      <c r="K2587" t="n">
        <v>0.156</v>
      </c>
      <c r="L2587" t="n">
        <v>0.844</v>
      </c>
      <c r="M2587" t="n">
        <v>0</v>
      </c>
    </row>
    <row r="2588" spans="1:13">
      <c r="A2588" s="1">
        <f>HYPERLINK("http://www.twitter.com/NathanBLawrence/status/997673761573875712", "997673761573875712")</f>
        <v/>
      </c>
      <c r="B2588" s="2" t="n">
        <v>43239.1265625</v>
      </c>
      <c r="C2588" t="n">
        <v>0</v>
      </c>
      <c r="D2588" t="n">
        <v>2211</v>
      </c>
      <c r="E2588" t="s">
        <v>2594</v>
      </c>
      <c r="F2588">
        <f>HYPERLINK("http://pbs.twimg.com/media/DdhntoeXkAALWaX.jpg", "http://pbs.twimg.com/media/DdhntoeXkAALWaX.jpg")</f>
        <v/>
      </c>
      <c r="G2588">
        <f>HYPERLINK("http://pbs.twimg.com/media/DdhntogXUAA269W.jpg", "http://pbs.twimg.com/media/DdhntogXUAA269W.jpg")</f>
        <v/>
      </c>
      <c r="H2588" t="s"/>
      <c r="I2588" t="s"/>
      <c r="J2588" t="n">
        <v>0</v>
      </c>
      <c r="K2588" t="n">
        <v>0</v>
      </c>
      <c r="L2588" t="n">
        <v>1</v>
      </c>
      <c r="M2588" t="n">
        <v>0</v>
      </c>
    </row>
    <row r="2589" spans="1:13">
      <c r="A2589" s="1">
        <f>HYPERLINK("http://www.twitter.com/NathanBLawrence/status/997673614702010368", "997673614702010368")</f>
        <v/>
      </c>
      <c r="B2589" s="2" t="n">
        <v>43239.12615740741</v>
      </c>
      <c r="C2589" t="n">
        <v>0</v>
      </c>
      <c r="D2589" t="n">
        <v>231</v>
      </c>
      <c r="E2589" t="s">
        <v>2595</v>
      </c>
      <c r="F2589" t="s"/>
      <c r="G2589" t="s"/>
      <c r="H2589" t="s"/>
      <c r="I2589" t="s"/>
      <c r="J2589" t="n">
        <v>-0.5266999999999999</v>
      </c>
      <c r="K2589" t="n">
        <v>0.185</v>
      </c>
      <c r="L2589" t="n">
        <v>0.8149999999999999</v>
      </c>
      <c r="M2589" t="n">
        <v>0</v>
      </c>
    </row>
    <row r="2590" spans="1:13">
      <c r="A2590" s="1">
        <f>HYPERLINK("http://www.twitter.com/NathanBLawrence/status/997673563892133889", "997673563892133889")</f>
        <v/>
      </c>
      <c r="B2590" s="2" t="n">
        <v>43239.12601851852</v>
      </c>
      <c r="C2590" t="n">
        <v>0</v>
      </c>
      <c r="D2590" t="n">
        <v>126</v>
      </c>
      <c r="E2590" t="s">
        <v>2596</v>
      </c>
      <c r="F2590" t="s"/>
      <c r="G2590" t="s"/>
      <c r="H2590" t="s"/>
      <c r="I2590" t="s"/>
      <c r="J2590" t="n">
        <v>0.7579</v>
      </c>
      <c r="K2590" t="n">
        <v>0</v>
      </c>
      <c r="L2590" t="n">
        <v>0.755</v>
      </c>
      <c r="M2590" t="n">
        <v>0.245</v>
      </c>
    </row>
    <row r="2591" spans="1:13">
      <c r="A2591" s="1">
        <f>HYPERLINK("http://www.twitter.com/NathanBLawrence/status/997672710317764608", "997672710317764608")</f>
        <v/>
      </c>
      <c r="B2591" s="2" t="n">
        <v>43239.12365740741</v>
      </c>
      <c r="C2591" t="n">
        <v>0</v>
      </c>
      <c r="D2591" t="n">
        <v>3722</v>
      </c>
      <c r="E2591" t="s">
        <v>2597</v>
      </c>
      <c r="F2591">
        <f>HYPERLINK("https://video.twimg.com/ext_tw_video/997623971477671941/pu/vid/1280x720/Ei0FT_ZYph_k6jIn.mp4?tag=3", "https://video.twimg.com/ext_tw_video/997623971477671941/pu/vid/1280x720/Ei0FT_ZYph_k6jIn.mp4?tag=3")</f>
        <v/>
      </c>
      <c r="G2591" t="s"/>
      <c r="H2591" t="s"/>
      <c r="I2591" t="s"/>
      <c r="J2591" t="n">
        <v>-0.6697</v>
      </c>
      <c r="K2591" t="n">
        <v>0.191</v>
      </c>
      <c r="L2591" t="n">
        <v>0.8090000000000001</v>
      </c>
      <c r="M2591" t="n">
        <v>0</v>
      </c>
    </row>
    <row r="2592" spans="1:13">
      <c r="A2592" s="1">
        <f>HYPERLINK("http://www.twitter.com/NathanBLawrence/status/997672283324977153", "997672283324977153")</f>
        <v/>
      </c>
      <c r="B2592" s="2" t="n">
        <v>43239.12247685185</v>
      </c>
      <c r="C2592" t="n">
        <v>0</v>
      </c>
      <c r="D2592" t="n">
        <v>6085</v>
      </c>
      <c r="E2592" t="s">
        <v>2598</v>
      </c>
      <c r="F2592">
        <f>HYPERLINK("http://pbs.twimg.com/media/DdhSwyQWAAEeHmc.jpg", "http://pbs.twimg.com/media/DdhSwyQWAAEeHmc.jpg")</f>
        <v/>
      </c>
      <c r="G2592" t="s"/>
      <c r="H2592" t="s"/>
      <c r="I2592" t="s"/>
      <c r="J2592" t="n">
        <v>0</v>
      </c>
      <c r="K2592" t="n">
        <v>0</v>
      </c>
      <c r="L2592" t="n">
        <v>1</v>
      </c>
      <c r="M2592" t="n">
        <v>0</v>
      </c>
    </row>
    <row r="2593" spans="1:13">
      <c r="A2593" s="1">
        <f>HYPERLINK("http://www.twitter.com/NathanBLawrence/status/997672070745124864", "997672070745124864")</f>
        <v/>
      </c>
      <c r="B2593" s="2" t="n">
        <v>43239.12189814815</v>
      </c>
      <c r="C2593" t="n">
        <v>0</v>
      </c>
      <c r="D2593" t="n">
        <v>327</v>
      </c>
      <c r="E2593" t="s">
        <v>2599</v>
      </c>
      <c r="F2593" t="s"/>
      <c r="G2593" t="s"/>
      <c r="H2593" t="s"/>
      <c r="I2593" t="s"/>
      <c r="J2593" t="n">
        <v>0.3182</v>
      </c>
      <c r="K2593" t="n">
        <v>0.079</v>
      </c>
      <c r="L2593" t="n">
        <v>0.788</v>
      </c>
      <c r="M2593" t="n">
        <v>0.133</v>
      </c>
    </row>
    <row r="2594" spans="1:13">
      <c r="A2594" s="1">
        <f>HYPERLINK("http://www.twitter.com/NathanBLawrence/status/997672004697325568", "997672004697325568")</f>
        <v/>
      </c>
      <c r="B2594" s="2" t="n">
        <v>43239.12171296297</v>
      </c>
      <c r="C2594" t="n">
        <v>0</v>
      </c>
      <c r="D2594" t="n">
        <v>73</v>
      </c>
      <c r="E2594" t="s">
        <v>2600</v>
      </c>
      <c r="F2594" t="s"/>
      <c r="G2594" t="s"/>
      <c r="H2594" t="s"/>
      <c r="I2594" t="s"/>
      <c r="J2594" t="n">
        <v>0</v>
      </c>
      <c r="K2594" t="n">
        <v>0</v>
      </c>
      <c r="L2594" t="n">
        <v>1</v>
      </c>
      <c r="M2594" t="n">
        <v>0</v>
      </c>
    </row>
    <row r="2595" spans="1:13">
      <c r="A2595" s="1">
        <f>HYPERLINK("http://www.twitter.com/NathanBLawrence/status/997671950267944963", "997671950267944963")</f>
        <v/>
      </c>
      <c r="B2595" s="2" t="n">
        <v>43239.1215625</v>
      </c>
      <c r="C2595" t="n">
        <v>0</v>
      </c>
      <c r="D2595" t="n">
        <v>302</v>
      </c>
      <c r="E2595" t="s">
        <v>2601</v>
      </c>
      <c r="F2595" t="s"/>
      <c r="G2595" t="s"/>
      <c r="H2595" t="s"/>
      <c r="I2595" t="s"/>
      <c r="J2595" t="n">
        <v>0.6423</v>
      </c>
      <c r="K2595" t="n">
        <v>0</v>
      </c>
      <c r="L2595" t="n">
        <v>0.832</v>
      </c>
      <c r="M2595" t="n">
        <v>0.168</v>
      </c>
    </row>
    <row r="2596" spans="1:13">
      <c r="A2596" s="1">
        <f>HYPERLINK("http://www.twitter.com/NathanBLawrence/status/997671756994314240", "997671756994314240")</f>
        <v/>
      </c>
      <c r="B2596" s="2" t="n">
        <v>43239.1210300926</v>
      </c>
      <c r="C2596" t="n">
        <v>0</v>
      </c>
      <c r="D2596" t="n">
        <v>1632</v>
      </c>
      <c r="E2596" t="s">
        <v>2602</v>
      </c>
      <c r="F2596" t="s"/>
      <c r="G2596" t="s"/>
      <c r="H2596" t="s"/>
      <c r="I2596" t="s"/>
      <c r="J2596" t="n">
        <v>-0.5106000000000001</v>
      </c>
      <c r="K2596" t="n">
        <v>0.13</v>
      </c>
      <c r="L2596" t="n">
        <v>0.87</v>
      </c>
      <c r="M2596" t="n">
        <v>0</v>
      </c>
    </row>
    <row r="2597" spans="1:13">
      <c r="A2597" s="1">
        <f>HYPERLINK("http://www.twitter.com/NathanBLawrence/status/997671724408819713", "997671724408819713")</f>
        <v/>
      </c>
      <c r="B2597" s="2" t="n">
        <v>43239.1209375</v>
      </c>
      <c r="C2597" t="n">
        <v>0</v>
      </c>
      <c r="D2597" t="n">
        <v>57</v>
      </c>
      <c r="E2597" t="s">
        <v>2603</v>
      </c>
      <c r="F2597" t="s"/>
      <c r="G2597" t="s"/>
      <c r="H2597" t="s"/>
      <c r="I2597" t="s"/>
      <c r="J2597" t="n">
        <v>0.4939</v>
      </c>
      <c r="K2597" t="n">
        <v>0</v>
      </c>
      <c r="L2597" t="n">
        <v>0.652</v>
      </c>
      <c r="M2597" t="n">
        <v>0.348</v>
      </c>
    </row>
    <row r="2598" spans="1:13">
      <c r="A2598" s="1">
        <f>HYPERLINK("http://www.twitter.com/NathanBLawrence/status/997671663444643841", "997671663444643841")</f>
        <v/>
      </c>
      <c r="B2598" s="2" t="n">
        <v>43239.12077546296</v>
      </c>
      <c r="C2598" t="n">
        <v>0</v>
      </c>
      <c r="D2598" t="n">
        <v>201</v>
      </c>
      <c r="E2598" t="s">
        <v>2604</v>
      </c>
      <c r="F2598" t="s"/>
      <c r="G2598" t="s"/>
      <c r="H2598" t="s"/>
      <c r="I2598" t="s"/>
      <c r="J2598" t="n">
        <v>0.4449</v>
      </c>
      <c r="K2598" t="n">
        <v>0</v>
      </c>
      <c r="L2598" t="n">
        <v>0.867</v>
      </c>
      <c r="M2598" t="n">
        <v>0.133</v>
      </c>
    </row>
    <row r="2599" spans="1:13">
      <c r="A2599" s="1">
        <f>HYPERLINK("http://www.twitter.com/NathanBLawrence/status/997671609321316353", "997671609321316353")</f>
        <v/>
      </c>
      <c r="B2599" s="2" t="n">
        <v>43239.120625</v>
      </c>
      <c r="C2599" t="n">
        <v>0</v>
      </c>
      <c r="D2599" t="n">
        <v>3440</v>
      </c>
      <c r="E2599" t="s">
        <v>2605</v>
      </c>
      <c r="F2599" t="s"/>
      <c r="G2599" t="s"/>
      <c r="H2599" t="s"/>
      <c r="I2599" t="s"/>
      <c r="J2599" t="n">
        <v>-0.4767</v>
      </c>
      <c r="K2599" t="n">
        <v>0.219</v>
      </c>
      <c r="L2599" t="n">
        <v>0.679</v>
      </c>
      <c r="M2599" t="n">
        <v>0.102</v>
      </c>
    </row>
    <row r="2600" spans="1:13">
      <c r="A2600" s="1">
        <f>HYPERLINK("http://www.twitter.com/NathanBLawrence/status/997671453599334402", "997671453599334402")</f>
        <v/>
      </c>
      <c r="B2600" s="2" t="n">
        <v>43239.12019675926</v>
      </c>
      <c r="C2600" t="n">
        <v>0</v>
      </c>
      <c r="D2600" t="n">
        <v>66</v>
      </c>
      <c r="E2600" t="s">
        <v>2606</v>
      </c>
      <c r="F2600" t="s"/>
      <c r="G2600" t="s"/>
      <c r="H2600" t="s"/>
      <c r="I2600" t="s"/>
      <c r="J2600" t="n">
        <v>0.2732</v>
      </c>
      <c r="K2600" t="n">
        <v>0.106</v>
      </c>
      <c r="L2600" t="n">
        <v>0.717</v>
      </c>
      <c r="M2600" t="n">
        <v>0.177</v>
      </c>
    </row>
    <row r="2601" spans="1:13">
      <c r="A2601" s="1">
        <f>HYPERLINK("http://www.twitter.com/NathanBLawrence/status/997671421441658880", "997671421441658880")</f>
        <v/>
      </c>
      <c r="B2601" s="2" t="n">
        <v>43239.12010416666</v>
      </c>
      <c r="C2601" t="n">
        <v>0</v>
      </c>
      <c r="D2601" t="n">
        <v>249</v>
      </c>
      <c r="E2601" t="s">
        <v>2607</v>
      </c>
      <c r="F2601" t="s"/>
      <c r="G2601" t="s"/>
      <c r="H2601" t="s"/>
      <c r="I2601" t="s"/>
      <c r="J2601" t="n">
        <v>0.7003</v>
      </c>
      <c r="K2601" t="n">
        <v>0</v>
      </c>
      <c r="L2601" t="n">
        <v>0.734</v>
      </c>
      <c r="M2601" t="n">
        <v>0.266</v>
      </c>
    </row>
    <row r="2602" spans="1:13">
      <c r="A2602" s="1">
        <f>HYPERLINK("http://www.twitter.com/NathanBLawrence/status/997671377988669440", "997671377988669440")</f>
        <v/>
      </c>
      <c r="B2602" s="2" t="n">
        <v>43239.11998842593</v>
      </c>
      <c r="C2602" t="n">
        <v>0</v>
      </c>
      <c r="D2602" t="n">
        <v>423</v>
      </c>
      <c r="E2602" t="s">
        <v>2608</v>
      </c>
      <c r="F2602" t="s"/>
      <c r="G2602" t="s"/>
      <c r="H2602" t="s"/>
      <c r="I2602" t="s"/>
      <c r="J2602" t="n">
        <v>0.6369</v>
      </c>
      <c r="K2602" t="n">
        <v>0</v>
      </c>
      <c r="L2602" t="n">
        <v>0.794</v>
      </c>
      <c r="M2602" t="n">
        <v>0.206</v>
      </c>
    </row>
    <row r="2603" spans="1:13">
      <c r="A2603" s="1">
        <f>HYPERLINK("http://www.twitter.com/NathanBLawrence/status/997671345914859521", "997671345914859521")</f>
        <v/>
      </c>
      <c r="B2603" s="2" t="n">
        <v>43239.11989583333</v>
      </c>
      <c r="C2603" t="n">
        <v>0</v>
      </c>
      <c r="D2603" t="n">
        <v>3958</v>
      </c>
      <c r="E2603" t="s">
        <v>2609</v>
      </c>
      <c r="F2603" t="s"/>
      <c r="G2603" t="s"/>
      <c r="H2603" t="s"/>
      <c r="I2603" t="s"/>
      <c r="J2603" t="n">
        <v>0</v>
      </c>
      <c r="K2603" t="n">
        <v>0</v>
      </c>
      <c r="L2603" t="n">
        <v>1</v>
      </c>
      <c r="M2603" t="n">
        <v>0</v>
      </c>
    </row>
    <row r="2604" spans="1:13">
      <c r="A2604" s="1">
        <f>HYPERLINK("http://www.twitter.com/NathanBLawrence/status/997671318798716928", "997671318798716928")</f>
        <v/>
      </c>
      <c r="B2604" s="2" t="n">
        <v>43239.11981481482</v>
      </c>
      <c r="C2604" t="n">
        <v>0</v>
      </c>
      <c r="D2604" t="n">
        <v>211</v>
      </c>
      <c r="E2604" t="s">
        <v>2610</v>
      </c>
      <c r="F2604" t="s"/>
      <c r="G2604" t="s"/>
      <c r="H2604" t="s"/>
      <c r="I2604" t="s"/>
      <c r="J2604" t="n">
        <v>-0.6808</v>
      </c>
      <c r="K2604" t="n">
        <v>0.268</v>
      </c>
      <c r="L2604" t="n">
        <v>0.732</v>
      </c>
      <c r="M2604" t="n">
        <v>0</v>
      </c>
    </row>
    <row r="2605" spans="1:13">
      <c r="A2605" s="1">
        <f>HYPERLINK("http://www.twitter.com/NathanBLawrence/status/997671268815163393", "997671268815163393")</f>
        <v/>
      </c>
      <c r="B2605" s="2" t="n">
        <v>43239.11967592593</v>
      </c>
      <c r="C2605" t="n">
        <v>0</v>
      </c>
      <c r="D2605" t="n">
        <v>1546</v>
      </c>
      <c r="E2605" t="s">
        <v>2611</v>
      </c>
      <c r="F2605" t="s"/>
      <c r="G2605" t="s"/>
      <c r="H2605" t="s"/>
      <c r="I2605" t="s"/>
      <c r="J2605" t="n">
        <v>-0.3612</v>
      </c>
      <c r="K2605" t="n">
        <v>0.174</v>
      </c>
      <c r="L2605" t="n">
        <v>0.711</v>
      </c>
      <c r="M2605" t="n">
        <v>0.115</v>
      </c>
    </row>
    <row r="2606" spans="1:13">
      <c r="A2606" s="1">
        <f>HYPERLINK("http://www.twitter.com/NathanBLawrence/status/997671231313928193", "997671231313928193")</f>
        <v/>
      </c>
      <c r="B2606" s="2" t="n">
        <v>43239.11958333333</v>
      </c>
      <c r="C2606" t="n">
        <v>0</v>
      </c>
      <c r="D2606" t="n">
        <v>480</v>
      </c>
      <c r="E2606" t="s">
        <v>2612</v>
      </c>
      <c r="F2606" t="s"/>
      <c r="G2606" t="s"/>
      <c r="H2606" t="s"/>
      <c r="I2606" t="s"/>
      <c r="J2606" t="n">
        <v>-0.3818</v>
      </c>
      <c r="K2606" t="n">
        <v>0.219</v>
      </c>
      <c r="L2606" t="n">
        <v>0.625</v>
      </c>
      <c r="M2606" t="n">
        <v>0.156</v>
      </c>
    </row>
    <row r="2607" spans="1:13">
      <c r="A2607" s="1">
        <f>HYPERLINK("http://www.twitter.com/NathanBLawrence/status/997671142658859008", "997671142658859008")</f>
        <v/>
      </c>
      <c r="B2607" s="2" t="n">
        <v>43239.1193287037</v>
      </c>
      <c r="C2607" t="n">
        <v>0</v>
      </c>
      <c r="D2607" t="n">
        <v>6275</v>
      </c>
      <c r="E2607" t="s">
        <v>2613</v>
      </c>
      <c r="F2607" t="s"/>
      <c r="G2607" t="s"/>
      <c r="H2607" t="s"/>
      <c r="I2607" t="s"/>
      <c r="J2607" t="n">
        <v>-0.7351</v>
      </c>
      <c r="K2607" t="n">
        <v>0.304</v>
      </c>
      <c r="L2607" t="n">
        <v>0.6</v>
      </c>
      <c r="M2607" t="n">
        <v>0.096</v>
      </c>
    </row>
    <row r="2608" spans="1:13">
      <c r="A2608" s="1">
        <f>HYPERLINK("http://www.twitter.com/NathanBLawrence/status/997670991982747649", "997670991982747649")</f>
        <v/>
      </c>
      <c r="B2608" s="2" t="n">
        <v>43239.11891203704</v>
      </c>
      <c r="C2608" t="n">
        <v>0</v>
      </c>
      <c r="D2608" t="n">
        <v>164</v>
      </c>
      <c r="E2608" t="s">
        <v>2614</v>
      </c>
      <c r="F2608" t="s"/>
      <c r="G2608" t="s"/>
      <c r="H2608" t="s"/>
      <c r="I2608" t="s"/>
      <c r="J2608" t="n">
        <v>0.7269</v>
      </c>
      <c r="K2608" t="n">
        <v>0</v>
      </c>
      <c r="L2608" t="n">
        <v>0.534</v>
      </c>
      <c r="M2608" t="n">
        <v>0.466</v>
      </c>
    </row>
    <row r="2609" spans="1:13">
      <c r="A2609" s="1">
        <f>HYPERLINK("http://www.twitter.com/NathanBLawrence/status/997670951461507072", "997670951461507072")</f>
        <v/>
      </c>
      <c r="B2609" s="2" t="n">
        <v>43239.11880787037</v>
      </c>
      <c r="C2609" t="n">
        <v>0</v>
      </c>
      <c r="D2609" t="n">
        <v>27</v>
      </c>
      <c r="E2609" t="s">
        <v>2615</v>
      </c>
      <c r="F2609" t="s"/>
      <c r="G2609" t="s"/>
      <c r="H2609" t="s"/>
      <c r="I2609" t="s"/>
      <c r="J2609" t="n">
        <v>-0.6369</v>
      </c>
      <c r="K2609" t="n">
        <v>0.227</v>
      </c>
      <c r="L2609" t="n">
        <v>0.6820000000000001</v>
      </c>
      <c r="M2609" t="n">
        <v>0.091</v>
      </c>
    </row>
    <row r="2610" spans="1:13">
      <c r="A2610" s="1">
        <f>HYPERLINK("http://www.twitter.com/NathanBLawrence/status/997670922348892161", "997670922348892161")</f>
        <v/>
      </c>
      <c r="B2610" s="2" t="n">
        <v>43239.11872685186</v>
      </c>
      <c r="C2610" t="n">
        <v>0</v>
      </c>
      <c r="D2610" t="n">
        <v>192</v>
      </c>
      <c r="E2610" t="s">
        <v>2616</v>
      </c>
      <c r="F2610" t="s"/>
      <c r="G2610" t="s"/>
      <c r="H2610" t="s"/>
      <c r="I2610" t="s"/>
      <c r="J2610" t="n">
        <v>0.3182</v>
      </c>
      <c r="K2610" t="n">
        <v>0.154</v>
      </c>
      <c r="L2610" t="n">
        <v>0.609</v>
      </c>
      <c r="M2610" t="n">
        <v>0.237</v>
      </c>
    </row>
    <row r="2611" spans="1:13">
      <c r="A2611" s="1">
        <f>HYPERLINK("http://www.twitter.com/NathanBLawrence/status/997670724478357504", "997670724478357504")</f>
        <v/>
      </c>
      <c r="B2611" s="2" t="n">
        <v>43239.11818287037</v>
      </c>
      <c r="C2611" t="n">
        <v>0</v>
      </c>
      <c r="D2611" t="n">
        <v>168</v>
      </c>
      <c r="E2611" t="s">
        <v>2617</v>
      </c>
      <c r="F2611">
        <f>HYPERLINK("https://video.twimg.com/amplify_video/996885723222560768/vid/1280x720/rkMWkpKiMHM9Lch4.mp4?tag=2", "https://video.twimg.com/amplify_video/996885723222560768/vid/1280x720/rkMWkpKiMHM9Lch4.mp4?tag=2")</f>
        <v/>
      </c>
      <c r="G2611" t="s"/>
      <c r="H2611" t="s"/>
      <c r="I2611" t="s"/>
      <c r="J2611" t="n">
        <v>0.705</v>
      </c>
      <c r="K2611" t="n">
        <v>0</v>
      </c>
      <c r="L2611" t="n">
        <v>0.765</v>
      </c>
      <c r="M2611" t="n">
        <v>0.235</v>
      </c>
    </row>
    <row r="2612" spans="1:13">
      <c r="A2612" s="1">
        <f>HYPERLINK("http://www.twitter.com/NathanBLawrence/status/997670667679084544", "997670667679084544")</f>
        <v/>
      </c>
      <c r="B2612" s="2" t="n">
        <v>43239.11802083333</v>
      </c>
      <c r="C2612" t="n">
        <v>0</v>
      </c>
      <c r="D2612" t="n">
        <v>531</v>
      </c>
      <c r="E2612" t="s">
        <v>2618</v>
      </c>
      <c r="F2612">
        <f>HYPERLINK("http://pbs.twimg.com/media/DdVzJ_IX0AEhhzw.jpg", "http://pbs.twimg.com/media/DdVzJ_IX0AEhhzw.jpg")</f>
        <v/>
      </c>
      <c r="G2612" t="s"/>
      <c r="H2612" t="s"/>
      <c r="I2612" t="s"/>
      <c r="J2612" t="n">
        <v>-0.296</v>
      </c>
      <c r="K2612" t="n">
        <v>0.091</v>
      </c>
      <c r="L2612" t="n">
        <v>0.909</v>
      </c>
      <c r="M2612" t="n">
        <v>0</v>
      </c>
    </row>
    <row r="2613" spans="1:13">
      <c r="A2613" s="1">
        <f>HYPERLINK("http://www.twitter.com/NathanBLawrence/status/997670593687379975", "997670593687379975")</f>
        <v/>
      </c>
      <c r="B2613" s="2" t="n">
        <v>43239.11782407408</v>
      </c>
      <c r="C2613" t="n">
        <v>0</v>
      </c>
      <c r="D2613" t="n">
        <v>248</v>
      </c>
      <c r="E2613" t="s">
        <v>2619</v>
      </c>
      <c r="F2613" t="s"/>
      <c r="G2613" t="s"/>
      <c r="H2613" t="s"/>
      <c r="I2613" t="s"/>
      <c r="J2613" t="n">
        <v>-0.395</v>
      </c>
      <c r="K2613" t="n">
        <v>0.16</v>
      </c>
      <c r="L2613" t="n">
        <v>0.84</v>
      </c>
      <c r="M2613" t="n">
        <v>0</v>
      </c>
    </row>
    <row r="2614" spans="1:13">
      <c r="A2614" s="1">
        <f>HYPERLINK("http://www.twitter.com/NathanBLawrence/status/997670511634276352", "997670511634276352")</f>
        <v/>
      </c>
      <c r="B2614" s="2" t="n">
        <v>43239.11759259259</v>
      </c>
      <c r="C2614" t="n">
        <v>0</v>
      </c>
      <c r="D2614" t="n">
        <v>19</v>
      </c>
      <c r="E2614" t="s">
        <v>2620</v>
      </c>
      <c r="F2614" t="s"/>
      <c r="G2614" t="s"/>
      <c r="H2614" t="s"/>
      <c r="I2614" t="s"/>
      <c r="J2614" t="n">
        <v>0</v>
      </c>
      <c r="K2614" t="n">
        <v>0</v>
      </c>
      <c r="L2614" t="n">
        <v>1</v>
      </c>
      <c r="M2614" t="n">
        <v>0</v>
      </c>
    </row>
    <row r="2615" spans="1:13">
      <c r="A2615" s="1">
        <f>HYPERLINK("http://www.twitter.com/NathanBLawrence/status/997670453320847360", "997670453320847360")</f>
        <v/>
      </c>
      <c r="B2615" s="2" t="n">
        <v>43239.11743055555</v>
      </c>
      <c r="C2615" t="n">
        <v>0</v>
      </c>
      <c r="D2615" t="n">
        <v>45</v>
      </c>
      <c r="E2615" t="s">
        <v>2621</v>
      </c>
      <c r="F2615" t="s"/>
      <c r="G2615" t="s"/>
      <c r="H2615" t="s"/>
      <c r="I2615" t="s"/>
      <c r="J2615" t="n">
        <v>0.3182</v>
      </c>
      <c r="K2615" t="n">
        <v>0</v>
      </c>
      <c r="L2615" t="n">
        <v>0.909</v>
      </c>
      <c r="M2615" t="n">
        <v>0.091</v>
      </c>
    </row>
    <row r="2616" spans="1:13">
      <c r="A2616" s="1">
        <f>HYPERLINK("http://www.twitter.com/NathanBLawrence/status/997670298089553920", "997670298089553920")</f>
        <v/>
      </c>
      <c r="B2616" s="2" t="n">
        <v>43239.11700231482</v>
      </c>
      <c r="C2616" t="n">
        <v>0</v>
      </c>
      <c r="D2616" t="n">
        <v>35</v>
      </c>
      <c r="E2616" t="s">
        <v>2622</v>
      </c>
      <c r="F2616" t="s"/>
      <c r="G2616" t="s"/>
      <c r="H2616" t="s"/>
      <c r="I2616" t="s"/>
      <c r="J2616" t="n">
        <v>0</v>
      </c>
      <c r="K2616" t="n">
        <v>0</v>
      </c>
      <c r="L2616" t="n">
        <v>1</v>
      </c>
      <c r="M2616" t="n">
        <v>0</v>
      </c>
    </row>
    <row r="2617" spans="1:13">
      <c r="A2617" s="1">
        <f>HYPERLINK("http://www.twitter.com/NathanBLawrence/status/997670173623619585", "997670173623619585")</f>
        <v/>
      </c>
      <c r="B2617" s="2" t="n">
        <v>43239.11665509259</v>
      </c>
      <c r="C2617" t="n">
        <v>0</v>
      </c>
      <c r="D2617" t="n">
        <v>45</v>
      </c>
      <c r="E2617" t="s">
        <v>2623</v>
      </c>
      <c r="F2617" t="s"/>
      <c r="G2617" t="s"/>
      <c r="H2617" t="s"/>
      <c r="I2617" t="s"/>
      <c r="J2617" t="n">
        <v>0</v>
      </c>
      <c r="K2617" t="n">
        <v>0</v>
      </c>
      <c r="L2617" t="n">
        <v>1</v>
      </c>
      <c r="M2617" t="n">
        <v>0</v>
      </c>
    </row>
    <row r="2618" spans="1:13">
      <c r="A2618" s="1">
        <f>HYPERLINK("http://www.twitter.com/NathanBLawrence/status/997670037539426309", "997670037539426309")</f>
        <v/>
      </c>
      <c r="B2618" s="2" t="n">
        <v>43239.11628472222</v>
      </c>
      <c r="C2618" t="n">
        <v>0</v>
      </c>
      <c r="D2618" t="n">
        <v>127</v>
      </c>
      <c r="E2618" t="s">
        <v>2624</v>
      </c>
      <c r="F2618" t="s"/>
      <c r="G2618" t="s"/>
      <c r="H2618" t="s"/>
      <c r="I2618" t="s"/>
      <c r="J2618" t="n">
        <v>0</v>
      </c>
      <c r="K2618" t="n">
        <v>0</v>
      </c>
      <c r="L2618" t="n">
        <v>1</v>
      </c>
      <c r="M2618" t="n">
        <v>0</v>
      </c>
    </row>
    <row r="2619" spans="1:13">
      <c r="A2619" s="1">
        <f>HYPERLINK("http://www.twitter.com/NathanBLawrence/status/997669931322888193", "997669931322888193")</f>
        <v/>
      </c>
      <c r="B2619" s="2" t="n">
        <v>43239.11599537037</v>
      </c>
      <c r="C2619" t="n">
        <v>0</v>
      </c>
      <c r="D2619" t="n">
        <v>895</v>
      </c>
      <c r="E2619" t="s">
        <v>2625</v>
      </c>
      <c r="F2619" t="s"/>
      <c r="G2619" t="s"/>
      <c r="H2619" t="s"/>
      <c r="I2619" t="s"/>
      <c r="J2619" t="n">
        <v>0</v>
      </c>
      <c r="K2619" t="n">
        <v>0</v>
      </c>
      <c r="L2619" t="n">
        <v>1</v>
      </c>
      <c r="M2619" t="n">
        <v>0</v>
      </c>
    </row>
    <row r="2620" spans="1:13">
      <c r="A2620" s="1">
        <f>HYPERLINK("http://www.twitter.com/NathanBLawrence/status/997669853115842560", "997669853115842560")</f>
        <v/>
      </c>
      <c r="B2620" s="2" t="n">
        <v>43239.11577546296</v>
      </c>
      <c r="C2620" t="n">
        <v>0</v>
      </c>
      <c r="D2620" t="n">
        <v>110</v>
      </c>
      <c r="E2620" t="s">
        <v>2626</v>
      </c>
      <c r="F2620" t="s"/>
      <c r="G2620" t="s"/>
      <c r="H2620" t="s"/>
      <c r="I2620" t="s"/>
      <c r="J2620" t="n">
        <v>0</v>
      </c>
      <c r="K2620" t="n">
        <v>0</v>
      </c>
      <c r="L2620" t="n">
        <v>1</v>
      </c>
      <c r="M2620" t="n">
        <v>0</v>
      </c>
    </row>
    <row r="2621" spans="1:13">
      <c r="A2621" s="1">
        <f>HYPERLINK("http://www.twitter.com/NathanBLawrence/status/997668818221662208", "997668818221662208")</f>
        <v/>
      </c>
      <c r="B2621" s="2" t="n">
        <v>43239.11291666667</v>
      </c>
      <c r="C2621" t="n">
        <v>0</v>
      </c>
      <c r="D2621" t="n">
        <v>2</v>
      </c>
      <c r="E2621" t="s">
        <v>2627</v>
      </c>
      <c r="F2621" t="s"/>
      <c r="G2621" t="s"/>
      <c r="H2621" t="s"/>
      <c r="I2621" t="s"/>
      <c r="J2621" t="n">
        <v>0</v>
      </c>
      <c r="K2621" t="n">
        <v>0</v>
      </c>
      <c r="L2621" t="n">
        <v>1</v>
      </c>
      <c r="M2621" t="n">
        <v>0</v>
      </c>
    </row>
    <row r="2622" spans="1:13">
      <c r="A2622" s="1">
        <f>HYPERLINK("http://www.twitter.com/NathanBLawrence/status/997668734411132928", "997668734411132928")</f>
        <v/>
      </c>
      <c r="B2622" s="2" t="n">
        <v>43239.11268518519</v>
      </c>
      <c r="C2622" t="n">
        <v>0</v>
      </c>
      <c r="D2622" t="n">
        <v>1221</v>
      </c>
      <c r="E2622" t="s">
        <v>2628</v>
      </c>
      <c r="F2622" t="s"/>
      <c r="G2622" t="s"/>
      <c r="H2622" t="s"/>
      <c r="I2622" t="s"/>
      <c r="J2622" t="n">
        <v>0.4404</v>
      </c>
      <c r="K2622" t="n">
        <v>0</v>
      </c>
      <c r="L2622" t="n">
        <v>0.838</v>
      </c>
      <c r="M2622" t="n">
        <v>0.162</v>
      </c>
    </row>
    <row r="2623" spans="1:13">
      <c r="A2623" s="1">
        <f>HYPERLINK("http://www.twitter.com/NathanBLawrence/status/997666300515274753", "997666300515274753")</f>
        <v/>
      </c>
      <c r="B2623" s="2" t="n">
        <v>43239.10597222222</v>
      </c>
      <c r="C2623" t="n">
        <v>0</v>
      </c>
      <c r="D2623" t="n">
        <v>3427</v>
      </c>
      <c r="E2623" t="s">
        <v>2629</v>
      </c>
      <c r="F2623">
        <f>HYPERLINK("http://pbs.twimg.com/media/DdhejhHUQAEJt74.jpg", "http://pbs.twimg.com/media/DdhejhHUQAEJt74.jpg")</f>
        <v/>
      </c>
      <c r="G2623" t="s"/>
      <c r="H2623" t="s"/>
      <c r="I2623" t="s"/>
      <c r="J2623" t="n">
        <v>-0.2023</v>
      </c>
      <c r="K2623" t="n">
        <v>0.102</v>
      </c>
      <c r="L2623" t="n">
        <v>0.827</v>
      </c>
      <c r="M2623" t="n">
        <v>0.07099999999999999</v>
      </c>
    </row>
    <row r="2624" spans="1:13">
      <c r="A2624" s="1">
        <f>HYPERLINK("http://www.twitter.com/NathanBLawrence/status/997665718412902400", "997665718412902400")</f>
        <v/>
      </c>
      <c r="B2624" s="2" t="n">
        <v>43239.10436342593</v>
      </c>
      <c r="C2624" t="n">
        <v>0</v>
      </c>
      <c r="D2624" t="n">
        <v>0</v>
      </c>
      <c r="E2624" t="s">
        <v>2630</v>
      </c>
      <c r="F2624" t="s"/>
      <c r="G2624" t="s"/>
      <c r="H2624" t="s"/>
      <c r="I2624" t="s"/>
      <c r="J2624" t="n">
        <v>0</v>
      </c>
      <c r="K2624" t="n">
        <v>0</v>
      </c>
      <c r="L2624" t="n">
        <v>1</v>
      </c>
      <c r="M2624" t="n">
        <v>0</v>
      </c>
    </row>
    <row r="2625" spans="1:13">
      <c r="A2625" s="1">
        <f>HYPERLINK("http://www.twitter.com/NathanBLawrence/status/997665338333548544", "997665338333548544")</f>
        <v/>
      </c>
      <c r="B2625" s="2" t="n">
        <v>43239.10332175926</v>
      </c>
      <c r="C2625" t="n">
        <v>0</v>
      </c>
      <c r="D2625" t="n">
        <v>0</v>
      </c>
      <c r="E2625" t="s">
        <v>2631</v>
      </c>
      <c r="F2625" t="s"/>
      <c r="G2625" t="s"/>
      <c r="H2625" t="s"/>
      <c r="I2625" t="s"/>
      <c r="J2625" t="n">
        <v>0.4574</v>
      </c>
      <c r="K2625" t="n">
        <v>0</v>
      </c>
      <c r="L2625" t="n">
        <v>0.842</v>
      </c>
      <c r="M2625" t="n">
        <v>0.158</v>
      </c>
    </row>
    <row r="2626" spans="1:13">
      <c r="A2626" s="1">
        <f>HYPERLINK("http://www.twitter.com/NathanBLawrence/status/997664473321299968", "997664473321299968")</f>
        <v/>
      </c>
      <c r="B2626" s="2" t="n">
        <v>43239.10092592592</v>
      </c>
      <c r="C2626" t="n">
        <v>0</v>
      </c>
      <c r="D2626" t="n">
        <v>0</v>
      </c>
      <c r="E2626" t="s">
        <v>2632</v>
      </c>
      <c r="F2626" t="s"/>
      <c r="G2626" t="s"/>
      <c r="H2626" t="s"/>
      <c r="I2626" t="s"/>
      <c r="J2626" t="n">
        <v>-0.1531</v>
      </c>
      <c r="K2626" t="n">
        <v>0.204</v>
      </c>
      <c r="L2626" t="n">
        <v>0.664</v>
      </c>
      <c r="M2626" t="n">
        <v>0.133</v>
      </c>
    </row>
    <row r="2627" spans="1:13">
      <c r="A2627" s="1">
        <f>HYPERLINK("http://www.twitter.com/NathanBLawrence/status/997656843886489600", "997656843886489600")</f>
        <v/>
      </c>
      <c r="B2627" s="2" t="n">
        <v>43239.07987268519</v>
      </c>
      <c r="C2627" t="n">
        <v>3</v>
      </c>
      <c r="D2627" t="n">
        <v>3</v>
      </c>
      <c r="E2627" t="s">
        <v>2633</v>
      </c>
      <c r="F2627" t="s"/>
      <c r="G2627" t="s"/>
      <c r="H2627" t="s"/>
      <c r="I2627" t="s"/>
      <c r="J2627" t="n">
        <v>-0.3816</v>
      </c>
      <c r="K2627" t="n">
        <v>0.183</v>
      </c>
      <c r="L2627" t="n">
        <v>0.6899999999999999</v>
      </c>
      <c r="M2627" t="n">
        <v>0.127</v>
      </c>
    </row>
    <row r="2628" spans="1:13">
      <c r="A2628" s="1">
        <f>HYPERLINK("http://www.twitter.com/NathanBLawrence/status/997655822787334144", "997655822787334144")</f>
        <v/>
      </c>
      <c r="B2628" s="2" t="n">
        <v>43239.07706018518</v>
      </c>
      <c r="C2628" t="n">
        <v>0</v>
      </c>
      <c r="D2628" t="n">
        <v>140</v>
      </c>
      <c r="E2628" t="s">
        <v>2634</v>
      </c>
      <c r="F2628" t="s"/>
      <c r="G2628" t="s"/>
      <c r="H2628" t="s"/>
      <c r="I2628" t="s"/>
      <c r="J2628" t="n">
        <v>0</v>
      </c>
      <c r="K2628" t="n">
        <v>0</v>
      </c>
      <c r="L2628" t="n">
        <v>1</v>
      </c>
      <c r="M2628" t="n">
        <v>0</v>
      </c>
    </row>
    <row r="2629" spans="1:13">
      <c r="A2629" s="1">
        <f>HYPERLINK("http://www.twitter.com/NathanBLawrence/status/997655796673589248", "997655796673589248")</f>
        <v/>
      </c>
      <c r="B2629" s="2" t="n">
        <v>43239.07699074074</v>
      </c>
      <c r="C2629" t="n">
        <v>0</v>
      </c>
      <c r="D2629" t="n">
        <v>840</v>
      </c>
      <c r="E2629" t="s">
        <v>2635</v>
      </c>
      <c r="F2629" t="s"/>
      <c r="G2629" t="s"/>
      <c r="H2629" t="s"/>
      <c r="I2629" t="s"/>
      <c r="J2629" t="n">
        <v>-0.1419</v>
      </c>
      <c r="K2629" t="n">
        <v>0.066</v>
      </c>
      <c r="L2629" t="n">
        <v>0.9340000000000001</v>
      </c>
      <c r="M2629" t="n">
        <v>0</v>
      </c>
    </row>
    <row r="2630" spans="1:13">
      <c r="A2630" s="1">
        <f>HYPERLINK("http://www.twitter.com/NathanBLawrence/status/997655202357501952", "997655202357501952")</f>
        <v/>
      </c>
      <c r="B2630" s="2" t="n">
        <v>43239.07534722222</v>
      </c>
      <c r="C2630" t="n">
        <v>0</v>
      </c>
      <c r="D2630" t="n">
        <v>2556</v>
      </c>
      <c r="E2630" t="s">
        <v>2636</v>
      </c>
      <c r="F2630">
        <f>HYPERLINK("http://pbs.twimg.com/media/DdfvAv4V0AA7XX0.jpg", "http://pbs.twimg.com/media/DdfvAv4V0AA7XX0.jpg")</f>
        <v/>
      </c>
      <c r="G2630" t="s"/>
      <c r="H2630" t="s"/>
      <c r="I2630" t="s"/>
      <c r="J2630" t="n">
        <v>0.1531</v>
      </c>
      <c r="K2630" t="n">
        <v>0</v>
      </c>
      <c r="L2630" t="n">
        <v>0.9379999999999999</v>
      </c>
      <c r="M2630" t="n">
        <v>0.062</v>
      </c>
    </row>
    <row r="2631" spans="1:13">
      <c r="A2631" s="1">
        <f>HYPERLINK("http://www.twitter.com/NathanBLawrence/status/997654963164676096", "997654963164676096")</f>
        <v/>
      </c>
      <c r="B2631" s="2" t="n">
        <v>43239.0746875</v>
      </c>
      <c r="C2631" t="n">
        <v>0</v>
      </c>
      <c r="D2631" t="n">
        <v>1199</v>
      </c>
      <c r="E2631" t="s">
        <v>2637</v>
      </c>
      <c r="F2631" t="s"/>
      <c r="G2631" t="s"/>
      <c r="H2631" t="s"/>
      <c r="I2631" t="s"/>
      <c r="J2631" t="n">
        <v>0.4019</v>
      </c>
      <c r="K2631" t="n">
        <v>0</v>
      </c>
      <c r="L2631" t="n">
        <v>0.87</v>
      </c>
      <c r="M2631" t="n">
        <v>0.13</v>
      </c>
    </row>
    <row r="2632" spans="1:13">
      <c r="A2632" s="1">
        <f>HYPERLINK("http://www.twitter.com/NathanBLawrence/status/997654930696671232", "997654930696671232")</f>
        <v/>
      </c>
      <c r="B2632" s="2" t="n">
        <v>43239.0745949074</v>
      </c>
      <c r="C2632" t="n">
        <v>0</v>
      </c>
      <c r="D2632" t="n">
        <v>10</v>
      </c>
      <c r="E2632" t="s">
        <v>2638</v>
      </c>
      <c r="F2632" t="s"/>
      <c r="G2632" t="s"/>
      <c r="H2632" t="s"/>
      <c r="I2632" t="s"/>
      <c r="J2632" t="n">
        <v>0</v>
      </c>
      <c r="K2632" t="n">
        <v>0</v>
      </c>
      <c r="L2632" t="n">
        <v>1</v>
      </c>
      <c r="M2632" t="n">
        <v>0</v>
      </c>
    </row>
    <row r="2633" spans="1:13">
      <c r="A2633" s="1">
        <f>HYPERLINK("http://www.twitter.com/NathanBLawrence/status/997654847389396998", "997654847389396998")</f>
        <v/>
      </c>
      <c r="B2633" s="2" t="n">
        <v>43239.07436342593</v>
      </c>
      <c r="C2633" t="n">
        <v>0</v>
      </c>
      <c r="D2633" t="n">
        <v>193</v>
      </c>
      <c r="E2633" t="s">
        <v>2639</v>
      </c>
      <c r="F2633" t="s"/>
      <c r="G2633" t="s"/>
      <c r="H2633" t="s"/>
      <c r="I2633" t="s"/>
      <c r="J2633" t="n">
        <v>0.0258</v>
      </c>
      <c r="K2633" t="n">
        <v>0.09</v>
      </c>
      <c r="L2633" t="n">
        <v>0.8159999999999999</v>
      </c>
      <c r="M2633" t="n">
        <v>0.094</v>
      </c>
    </row>
    <row r="2634" spans="1:13">
      <c r="A2634" s="1">
        <f>HYPERLINK("http://www.twitter.com/NathanBLawrence/status/997654777243820032", "997654777243820032")</f>
        <v/>
      </c>
      <c r="B2634" s="2" t="n">
        <v>43239.07417824074</v>
      </c>
      <c r="C2634" t="n">
        <v>0</v>
      </c>
      <c r="D2634" t="n">
        <v>14</v>
      </c>
      <c r="E2634" t="s">
        <v>2640</v>
      </c>
      <c r="F2634" t="s"/>
      <c r="G2634" t="s"/>
      <c r="H2634" t="s"/>
      <c r="I2634" t="s"/>
      <c r="J2634" t="n">
        <v>0.27</v>
      </c>
      <c r="K2634" t="n">
        <v>0.083</v>
      </c>
      <c r="L2634" t="n">
        <v>0.751</v>
      </c>
      <c r="M2634" t="n">
        <v>0.166</v>
      </c>
    </row>
    <row r="2635" spans="1:13">
      <c r="A2635" s="1">
        <f>HYPERLINK("http://www.twitter.com/NathanBLawrence/status/997654264041361408", "997654264041361408")</f>
        <v/>
      </c>
      <c r="B2635" s="2" t="n">
        <v>43239.07275462963</v>
      </c>
      <c r="C2635" t="n">
        <v>0</v>
      </c>
      <c r="D2635" t="n">
        <v>3263</v>
      </c>
      <c r="E2635" t="s">
        <v>2641</v>
      </c>
      <c r="F2635" t="s"/>
      <c r="G2635" t="s"/>
      <c r="H2635" t="s"/>
      <c r="I2635" t="s"/>
      <c r="J2635" t="n">
        <v>-0.8270999999999999</v>
      </c>
      <c r="K2635" t="n">
        <v>0.339</v>
      </c>
      <c r="L2635" t="n">
        <v>0.661</v>
      </c>
      <c r="M2635" t="n">
        <v>0</v>
      </c>
    </row>
    <row r="2636" spans="1:13">
      <c r="A2636" s="1">
        <f>HYPERLINK("http://www.twitter.com/NathanBLawrence/status/997653385510834177", "997653385510834177")</f>
        <v/>
      </c>
      <c r="B2636" s="2" t="n">
        <v>43239.07033564815</v>
      </c>
      <c r="C2636" t="n">
        <v>0</v>
      </c>
      <c r="D2636" t="n">
        <v>110</v>
      </c>
      <c r="E2636" t="s">
        <v>2642</v>
      </c>
      <c r="F2636" t="s"/>
      <c r="G2636" t="s"/>
      <c r="H2636" t="s"/>
      <c r="I2636" t="s"/>
      <c r="J2636" t="n">
        <v>-0.5994</v>
      </c>
      <c r="K2636" t="n">
        <v>0.189</v>
      </c>
      <c r="L2636" t="n">
        <v>0.8110000000000001</v>
      </c>
      <c r="M2636" t="n">
        <v>0</v>
      </c>
    </row>
    <row r="2637" spans="1:13">
      <c r="A2637" s="1">
        <f>HYPERLINK("http://www.twitter.com/NathanBLawrence/status/997653243806343168", "997653243806343168")</f>
        <v/>
      </c>
      <c r="B2637" s="2" t="n">
        <v>43239.06994212963</v>
      </c>
      <c r="C2637" t="n">
        <v>0</v>
      </c>
      <c r="D2637" t="n">
        <v>16</v>
      </c>
      <c r="E2637" t="s">
        <v>2643</v>
      </c>
      <c r="F2637">
        <f>HYPERLINK("http://pbs.twimg.com/media/DdgivczWAAU_utm.jpg", "http://pbs.twimg.com/media/DdgivczWAAU_utm.jpg")</f>
        <v/>
      </c>
      <c r="G2637" t="s"/>
      <c r="H2637" t="s"/>
      <c r="I2637" t="s"/>
      <c r="J2637" t="n">
        <v>0</v>
      </c>
      <c r="K2637" t="n">
        <v>0</v>
      </c>
      <c r="L2637" t="n">
        <v>1</v>
      </c>
      <c r="M2637" t="n">
        <v>0</v>
      </c>
    </row>
    <row r="2638" spans="1:13">
      <c r="A2638" s="1">
        <f>HYPERLINK("http://www.twitter.com/NathanBLawrence/status/997653182527541253", "997653182527541253")</f>
        <v/>
      </c>
      <c r="B2638" s="2" t="n">
        <v>43239.06976851852</v>
      </c>
      <c r="C2638" t="n">
        <v>0</v>
      </c>
      <c r="D2638" t="n">
        <v>260</v>
      </c>
      <c r="E2638" t="s">
        <v>2644</v>
      </c>
      <c r="F2638" t="s"/>
      <c r="G2638" t="s"/>
      <c r="H2638" t="s"/>
      <c r="I2638" t="s"/>
      <c r="J2638" t="n">
        <v>0</v>
      </c>
      <c r="K2638" t="n">
        <v>0</v>
      </c>
      <c r="L2638" t="n">
        <v>1</v>
      </c>
      <c r="M2638" t="n">
        <v>0</v>
      </c>
    </row>
    <row r="2639" spans="1:13">
      <c r="A2639" s="1">
        <f>HYPERLINK("http://www.twitter.com/NathanBLawrence/status/997652679932502017", "997652679932502017")</f>
        <v/>
      </c>
      <c r="B2639" s="2" t="n">
        <v>43239.06839120371</v>
      </c>
      <c r="C2639" t="n">
        <v>6</v>
      </c>
      <c r="D2639" t="n">
        <v>3</v>
      </c>
      <c r="E2639" t="s">
        <v>2645</v>
      </c>
      <c r="F2639" t="s"/>
      <c r="G2639" t="s"/>
      <c r="H2639" t="s"/>
      <c r="I2639" t="s"/>
      <c r="J2639" t="n">
        <v>0.8934</v>
      </c>
      <c r="K2639" t="n">
        <v>0</v>
      </c>
      <c r="L2639" t="n">
        <v>0.374</v>
      </c>
      <c r="M2639" t="n">
        <v>0.626</v>
      </c>
    </row>
    <row r="2640" spans="1:13">
      <c r="A2640" s="1">
        <f>HYPERLINK("http://www.twitter.com/NathanBLawrence/status/997652296745046017", "997652296745046017")</f>
        <v/>
      </c>
      <c r="B2640" s="2" t="n">
        <v>43239.06732638889</v>
      </c>
      <c r="C2640" t="n">
        <v>0</v>
      </c>
      <c r="D2640" t="n">
        <v>10</v>
      </c>
      <c r="E2640" t="s">
        <v>2646</v>
      </c>
      <c r="F2640" t="s"/>
      <c r="G2640" t="s"/>
      <c r="H2640" t="s"/>
      <c r="I2640" t="s"/>
      <c r="J2640" t="n">
        <v>0</v>
      </c>
      <c r="K2640" t="n">
        <v>0</v>
      </c>
      <c r="L2640" t="n">
        <v>1</v>
      </c>
      <c r="M2640" t="n">
        <v>0</v>
      </c>
    </row>
    <row r="2641" spans="1:13">
      <c r="A2641" s="1">
        <f>HYPERLINK("http://www.twitter.com/NathanBLawrence/status/997652246488932359", "997652246488932359")</f>
        <v/>
      </c>
      <c r="B2641" s="2" t="n">
        <v>43239.0671875</v>
      </c>
      <c r="C2641" t="n">
        <v>0</v>
      </c>
      <c r="D2641" t="n">
        <v>8</v>
      </c>
      <c r="E2641" t="s">
        <v>2647</v>
      </c>
      <c r="F2641">
        <f>HYPERLINK("http://pbs.twimg.com/media/DdhMhFOW4AAPEp1.jpg", "http://pbs.twimg.com/media/DdhMhFOW4AAPEp1.jpg")</f>
        <v/>
      </c>
      <c r="G2641" t="s"/>
      <c r="H2641" t="s"/>
      <c r="I2641" t="s"/>
      <c r="J2641" t="n">
        <v>0.34</v>
      </c>
      <c r="K2641" t="n">
        <v>0</v>
      </c>
      <c r="L2641" t="n">
        <v>0.789</v>
      </c>
      <c r="M2641" t="n">
        <v>0.211</v>
      </c>
    </row>
    <row r="2642" spans="1:13">
      <c r="A2642" s="1">
        <f>HYPERLINK("http://www.twitter.com/NathanBLawrence/status/997652109712674816", "997652109712674816")</f>
        <v/>
      </c>
      <c r="B2642" s="2" t="n">
        <v>43239.06681712963</v>
      </c>
      <c r="C2642" t="n">
        <v>0</v>
      </c>
      <c r="D2642" t="n">
        <v>78</v>
      </c>
      <c r="E2642" t="s">
        <v>2648</v>
      </c>
      <c r="F2642" t="s"/>
      <c r="G2642" t="s"/>
      <c r="H2642" t="s"/>
      <c r="I2642" t="s"/>
      <c r="J2642" t="n">
        <v>0</v>
      </c>
      <c r="K2642" t="n">
        <v>0</v>
      </c>
      <c r="L2642" t="n">
        <v>1</v>
      </c>
      <c r="M2642" t="n">
        <v>0</v>
      </c>
    </row>
    <row r="2643" spans="1:13">
      <c r="A2643" s="1">
        <f>HYPERLINK("http://www.twitter.com/NathanBLawrence/status/997652069132750848", "997652069132750848")</f>
        <v/>
      </c>
      <c r="B2643" s="2" t="n">
        <v>43239.06670138889</v>
      </c>
      <c r="C2643" t="n">
        <v>0</v>
      </c>
      <c r="D2643" t="n">
        <v>29284</v>
      </c>
      <c r="E2643" t="s">
        <v>2649</v>
      </c>
      <c r="F2643" t="s"/>
      <c r="G2643" t="s"/>
      <c r="H2643" t="s"/>
      <c r="I2643" t="s"/>
      <c r="J2643" t="n">
        <v>-0.3875</v>
      </c>
      <c r="K2643" t="n">
        <v>0.193</v>
      </c>
      <c r="L2643" t="n">
        <v>0.8070000000000001</v>
      </c>
      <c r="M2643" t="n">
        <v>0</v>
      </c>
    </row>
    <row r="2644" spans="1:13">
      <c r="A2644" s="1">
        <f>HYPERLINK("http://www.twitter.com/NathanBLawrence/status/997652050556194816", "997652050556194816")</f>
        <v/>
      </c>
      <c r="B2644" s="2" t="n">
        <v>43239.06664351852</v>
      </c>
      <c r="C2644" t="n">
        <v>0</v>
      </c>
      <c r="D2644" t="n">
        <v>3548</v>
      </c>
      <c r="E2644" t="s">
        <v>2650</v>
      </c>
      <c r="F2644" t="s"/>
      <c r="G2644" t="s"/>
      <c r="H2644" t="s"/>
      <c r="I2644" t="s"/>
      <c r="J2644" t="n">
        <v>0.0516</v>
      </c>
      <c r="K2644" t="n">
        <v>0</v>
      </c>
      <c r="L2644" t="n">
        <v>0.926</v>
      </c>
      <c r="M2644" t="n">
        <v>0.074</v>
      </c>
    </row>
    <row r="2645" spans="1:13">
      <c r="A2645" s="1">
        <f>HYPERLINK("http://www.twitter.com/NathanBLawrence/status/997652007723954183", "997652007723954183")</f>
        <v/>
      </c>
      <c r="B2645" s="2" t="n">
        <v>43239.06652777778</v>
      </c>
      <c r="C2645" t="n">
        <v>0</v>
      </c>
      <c r="D2645" t="n">
        <v>39</v>
      </c>
      <c r="E2645" t="s">
        <v>2651</v>
      </c>
      <c r="F2645" t="s"/>
      <c r="G2645" t="s"/>
      <c r="H2645" t="s"/>
      <c r="I2645" t="s"/>
      <c r="J2645" t="n">
        <v>-0.8486</v>
      </c>
      <c r="K2645" t="n">
        <v>0.348</v>
      </c>
      <c r="L2645" t="n">
        <v>0.586</v>
      </c>
      <c r="M2645" t="n">
        <v>0.065</v>
      </c>
    </row>
    <row r="2646" spans="1:13">
      <c r="A2646" s="1">
        <f>HYPERLINK("http://www.twitter.com/NathanBLawrence/status/997651935145676800", "997651935145676800")</f>
        <v/>
      </c>
      <c r="B2646" s="2" t="n">
        <v>43239.06633101852</v>
      </c>
      <c r="C2646" t="n">
        <v>0</v>
      </c>
      <c r="D2646" t="n">
        <v>688</v>
      </c>
      <c r="E2646" t="s">
        <v>2652</v>
      </c>
      <c r="F2646" t="s"/>
      <c r="G2646" t="s"/>
      <c r="H2646" t="s"/>
      <c r="I2646" t="s"/>
      <c r="J2646" t="n">
        <v>-0.5859</v>
      </c>
      <c r="K2646" t="n">
        <v>0.297</v>
      </c>
      <c r="L2646" t="n">
        <v>0.703</v>
      </c>
      <c r="M2646" t="n">
        <v>0</v>
      </c>
    </row>
    <row r="2647" spans="1:13">
      <c r="A2647" s="1">
        <f>HYPERLINK("http://www.twitter.com/NathanBLawrence/status/997651895643713536", "997651895643713536")</f>
        <v/>
      </c>
      <c r="B2647" s="2" t="n">
        <v>43239.06622685185</v>
      </c>
      <c r="C2647" t="n">
        <v>0</v>
      </c>
      <c r="D2647" t="n">
        <v>373</v>
      </c>
      <c r="E2647" t="s">
        <v>2653</v>
      </c>
      <c r="F2647" t="s"/>
      <c r="G2647" t="s"/>
      <c r="H2647" t="s"/>
      <c r="I2647" t="s"/>
      <c r="J2647" t="n">
        <v>0.8885</v>
      </c>
      <c r="K2647" t="n">
        <v>0</v>
      </c>
      <c r="L2647" t="n">
        <v>0.51</v>
      </c>
      <c r="M2647" t="n">
        <v>0.49</v>
      </c>
    </row>
    <row r="2648" spans="1:13">
      <c r="A2648" s="1">
        <f>HYPERLINK("http://www.twitter.com/NathanBLawrence/status/997651801812938752", "997651801812938752")</f>
        <v/>
      </c>
      <c r="B2648" s="2" t="n">
        <v>43239.06596064815</v>
      </c>
      <c r="C2648" t="n">
        <v>0</v>
      </c>
      <c r="D2648" t="n">
        <v>1</v>
      </c>
      <c r="E2648" t="s">
        <v>2654</v>
      </c>
      <c r="F2648" t="s"/>
      <c r="G2648" t="s"/>
      <c r="H2648" t="s"/>
      <c r="I2648" t="s"/>
      <c r="J2648" t="n">
        <v>-0.3182</v>
      </c>
      <c r="K2648" t="n">
        <v>0.113</v>
      </c>
      <c r="L2648" t="n">
        <v>0.887</v>
      </c>
      <c r="M2648" t="n">
        <v>0</v>
      </c>
    </row>
    <row r="2649" spans="1:13">
      <c r="A2649" s="1">
        <f>HYPERLINK("http://www.twitter.com/NathanBLawrence/status/997651706027618304", "997651706027618304")</f>
        <v/>
      </c>
      <c r="B2649" s="2" t="n">
        <v>43239.06569444444</v>
      </c>
      <c r="C2649" t="n">
        <v>0</v>
      </c>
      <c r="D2649" t="n">
        <v>56</v>
      </c>
      <c r="E2649" t="s">
        <v>2655</v>
      </c>
      <c r="F2649" t="s"/>
      <c r="G2649" t="s"/>
      <c r="H2649" t="s"/>
      <c r="I2649" t="s"/>
      <c r="J2649" t="n">
        <v>0.2263</v>
      </c>
      <c r="K2649" t="n">
        <v>0</v>
      </c>
      <c r="L2649" t="n">
        <v>0.861</v>
      </c>
      <c r="M2649" t="n">
        <v>0.139</v>
      </c>
    </row>
    <row r="2650" spans="1:13">
      <c r="A2650" s="1">
        <f>HYPERLINK("http://www.twitter.com/NathanBLawrence/status/997651669675626496", "997651669675626496")</f>
        <v/>
      </c>
      <c r="B2650" s="2" t="n">
        <v>43239.06560185185</v>
      </c>
      <c r="C2650" t="n">
        <v>0</v>
      </c>
      <c r="D2650" t="n">
        <v>0</v>
      </c>
      <c r="E2650" t="s">
        <v>2656</v>
      </c>
      <c r="F2650" t="s"/>
      <c r="G2650" t="s"/>
      <c r="H2650" t="s"/>
      <c r="I2650" t="s"/>
      <c r="J2650" t="n">
        <v>-0.7964</v>
      </c>
      <c r="K2650" t="n">
        <v>0.209</v>
      </c>
      <c r="L2650" t="n">
        <v>0.763</v>
      </c>
      <c r="M2650" t="n">
        <v>0.028</v>
      </c>
    </row>
    <row r="2651" spans="1:13">
      <c r="A2651" s="1">
        <f>HYPERLINK("http://www.twitter.com/NathanBLawrence/status/997650953737302017", "997650953737302017")</f>
        <v/>
      </c>
      <c r="B2651" s="2" t="n">
        <v>43239.06362268519</v>
      </c>
      <c r="C2651" t="n">
        <v>1</v>
      </c>
      <c r="D2651" t="n">
        <v>0</v>
      </c>
      <c r="E2651" t="s">
        <v>2657</v>
      </c>
      <c r="F2651" t="s"/>
      <c r="G2651" t="s"/>
      <c r="H2651" t="s"/>
      <c r="I2651" t="s"/>
      <c r="J2651" t="n">
        <v>0.008500000000000001</v>
      </c>
      <c r="K2651" t="n">
        <v>0.112</v>
      </c>
      <c r="L2651" t="n">
        <v>0.753</v>
      </c>
      <c r="M2651" t="n">
        <v>0.135</v>
      </c>
    </row>
    <row r="2652" spans="1:13">
      <c r="A2652" s="1">
        <f>HYPERLINK("http://www.twitter.com/NathanBLawrence/status/997649751100313600", "997649751100313600")</f>
        <v/>
      </c>
      <c r="B2652" s="2" t="n">
        <v>43239.06030092593</v>
      </c>
      <c r="C2652" t="n">
        <v>0</v>
      </c>
      <c r="D2652" t="n">
        <v>10</v>
      </c>
      <c r="E2652" t="s">
        <v>2658</v>
      </c>
      <c r="F2652" t="s"/>
      <c r="G2652" t="s"/>
      <c r="H2652" t="s"/>
      <c r="I2652" t="s"/>
      <c r="J2652" t="n">
        <v>0</v>
      </c>
      <c r="K2652" t="n">
        <v>0</v>
      </c>
      <c r="L2652" t="n">
        <v>1</v>
      </c>
      <c r="M2652" t="n">
        <v>0</v>
      </c>
    </row>
    <row r="2653" spans="1:13">
      <c r="A2653" s="1">
        <f>HYPERLINK("http://www.twitter.com/NathanBLawrence/status/997645816604102656", "997645816604102656")</f>
        <v/>
      </c>
      <c r="B2653" s="2" t="n">
        <v>43239.04944444444</v>
      </c>
      <c r="C2653" t="n">
        <v>0</v>
      </c>
      <c r="D2653" t="n">
        <v>3474</v>
      </c>
      <c r="E2653" t="s">
        <v>2659</v>
      </c>
      <c r="F2653" t="s"/>
      <c r="G2653" t="s"/>
      <c r="H2653" t="s"/>
      <c r="I2653" t="s"/>
      <c r="J2653" t="n">
        <v>0.4215</v>
      </c>
      <c r="K2653" t="n">
        <v>0</v>
      </c>
      <c r="L2653" t="n">
        <v>0.896</v>
      </c>
      <c r="M2653" t="n">
        <v>0.104</v>
      </c>
    </row>
    <row r="2654" spans="1:13">
      <c r="A2654" s="1">
        <f>HYPERLINK("http://www.twitter.com/NathanBLawrence/status/997645638643970048", "997645638643970048")</f>
        <v/>
      </c>
      <c r="B2654" s="2" t="n">
        <v>43239.04895833333</v>
      </c>
      <c r="C2654" t="n">
        <v>0</v>
      </c>
      <c r="D2654" t="n">
        <v>892</v>
      </c>
      <c r="E2654" t="s">
        <v>2660</v>
      </c>
      <c r="F2654" t="s"/>
      <c r="G2654" t="s"/>
      <c r="H2654" t="s"/>
      <c r="I2654" t="s"/>
      <c r="J2654" t="n">
        <v>0.7351</v>
      </c>
      <c r="K2654" t="n">
        <v>0</v>
      </c>
      <c r="L2654" t="n">
        <v>0.702</v>
      </c>
      <c r="M2654" t="n">
        <v>0.298</v>
      </c>
    </row>
    <row r="2655" spans="1:13">
      <c r="A2655" s="1">
        <f>HYPERLINK("http://www.twitter.com/NathanBLawrence/status/997641968514748416", "997641968514748416")</f>
        <v/>
      </c>
      <c r="B2655" s="2" t="n">
        <v>43239.03883101852</v>
      </c>
      <c r="C2655" t="n">
        <v>0</v>
      </c>
      <c r="D2655" t="n">
        <v>0</v>
      </c>
      <c r="E2655" t="s">
        <v>2661</v>
      </c>
      <c r="F2655" t="s"/>
      <c r="G2655" t="s"/>
      <c r="H2655" t="s"/>
      <c r="I2655" t="s"/>
      <c r="J2655" t="n">
        <v>0.7418</v>
      </c>
      <c r="K2655" t="n">
        <v>0</v>
      </c>
      <c r="L2655" t="n">
        <v>0.636</v>
      </c>
      <c r="M2655" t="n">
        <v>0.364</v>
      </c>
    </row>
    <row r="2656" spans="1:13">
      <c r="A2656" s="1">
        <f>HYPERLINK("http://www.twitter.com/NathanBLawrence/status/997641634253811717", "997641634253811717")</f>
        <v/>
      </c>
      <c r="B2656" s="2" t="n">
        <v>43239.03790509259</v>
      </c>
      <c r="C2656" t="n">
        <v>0</v>
      </c>
      <c r="D2656" t="n">
        <v>7</v>
      </c>
      <c r="E2656" t="s">
        <v>2662</v>
      </c>
      <c r="F2656" t="s"/>
      <c r="G2656" t="s"/>
      <c r="H2656" t="s"/>
      <c r="I2656" t="s"/>
      <c r="J2656" t="n">
        <v>0.8225</v>
      </c>
      <c r="K2656" t="n">
        <v>0</v>
      </c>
      <c r="L2656" t="n">
        <v>0.542</v>
      </c>
      <c r="M2656" t="n">
        <v>0.458</v>
      </c>
    </row>
    <row r="2657" spans="1:13">
      <c r="A2657" s="1">
        <f>HYPERLINK("http://www.twitter.com/NathanBLawrence/status/997641621616381953", "997641621616381953")</f>
        <v/>
      </c>
      <c r="B2657" s="2" t="n">
        <v>43239.03787037037</v>
      </c>
      <c r="C2657" t="n">
        <v>0</v>
      </c>
      <c r="D2657" t="n">
        <v>5</v>
      </c>
      <c r="E2657" t="s">
        <v>2663</v>
      </c>
      <c r="F2657" t="s"/>
      <c r="G2657" t="s"/>
      <c r="H2657" t="s"/>
      <c r="I2657" t="s"/>
      <c r="J2657" t="n">
        <v>0</v>
      </c>
      <c r="K2657" t="n">
        <v>0</v>
      </c>
      <c r="L2657" t="n">
        <v>1</v>
      </c>
      <c r="M2657" t="n">
        <v>0</v>
      </c>
    </row>
    <row r="2658" spans="1:13">
      <c r="A2658" s="1">
        <f>HYPERLINK("http://www.twitter.com/NathanBLawrence/status/997641465806368768", "997641465806368768")</f>
        <v/>
      </c>
      <c r="B2658" s="2" t="n">
        <v>43239.03744212963</v>
      </c>
      <c r="C2658" t="n">
        <v>0</v>
      </c>
      <c r="D2658" t="n">
        <v>34</v>
      </c>
      <c r="E2658" t="s">
        <v>2664</v>
      </c>
      <c r="F2658" t="s"/>
      <c r="G2658" t="s"/>
      <c r="H2658" t="s"/>
      <c r="I2658" t="s"/>
      <c r="J2658" t="n">
        <v>0.8591</v>
      </c>
      <c r="K2658" t="n">
        <v>0</v>
      </c>
      <c r="L2658" t="n">
        <v>0.642</v>
      </c>
      <c r="M2658" t="n">
        <v>0.358</v>
      </c>
    </row>
    <row r="2659" spans="1:13">
      <c r="A2659" s="1">
        <f>HYPERLINK("http://www.twitter.com/NathanBLawrence/status/997641438698659840", "997641438698659840")</f>
        <v/>
      </c>
      <c r="B2659" s="2" t="n">
        <v>43239.03736111111</v>
      </c>
      <c r="C2659" t="n">
        <v>0</v>
      </c>
      <c r="D2659" t="n">
        <v>17</v>
      </c>
      <c r="E2659" t="s">
        <v>2665</v>
      </c>
      <c r="F2659" t="s"/>
      <c r="G2659" t="s"/>
      <c r="H2659" t="s"/>
      <c r="I2659" t="s"/>
      <c r="J2659" t="n">
        <v>0.4404</v>
      </c>
      <c r="K2659" t="n">
        <v>0</v>
      </c>
      <c r="L2659" t="n">
        <v>0.847</v>
      </c>
      <c r="M2659" t="n">
        <v>0.153</v>
      </c>
    </row>
    <row r="2660" spans="1:13">
      <c r="A2660" s="1">
        <f>HYPERLINK("http://www.twitter.com/NathanBLawrence/status/997641322528952320", "997641322528952320")</f>
        <v/>
      </c>
      <c r="B2660" s="2" t="n">
        <v>43239.03704861111</v>
      </c>
      <c r="C2660" t="n">
        <v>0</v>
      </c>
      <c r="D2660" t="n">
        <v>58</v>
      </c>
      <c r="E2660" t="s">
        <v>2666</v>
      </c>
      <c r="F2660" t="s"/>
      <c r="G2660" t="s"/>
      <c r="H2660" t="s"/>
      <c r="I2660" t="s"/>
      <c r="J2660" t="n">
        <v>0</v>
      </c>
      <c r="K2660" t="n">
        <v>0</v>
      </c>
      <c r="L2660" t="n">
        <v>1</v>
      </c>
      <c r="M2660" t="n">
        <v>0</v>
      </c>
    </row>
    <row r="2661" spans="1:13">
      <c r="A2661" s="1">
        <f>HYPERLINK("http://www.twitter.com/NathanBLawrence/status/997641286755799041", "997641286755799041")</f>
        <v/>
      </c>
      <c r="B2661" s="2" t="n">
        <v>43239.03694444444</v>
      </c>
      <c r="C2661" t="n">
        <v>0</v>
      </c>
      <c r="D2661" t="n">
        <v>92</v>
      </c>
      <c r="E2661" t="s">
        <v>2667</v>
      </c>
      <c r="F2661" t="s"/>
      <c r="G2661" t="s"/>
      <c r="H2661" t="s"/>
      <c r="I2661" t="s"/>
      <c r="J2661" t="n">
        <v>-0.7906</v>
      </c>
      <c r="K2661" t="n">
        <v>0.372</v>
      </c>
      <c r="L2661" t="n">
        <v>0.545</v>
      </c>
      <c r="M2661" t="n">
        <v>0.083</v>
      </c>
    </row>
    <row r="2662" spans="1:13">
      <c r="A2662" s="1">
        <f>HYPERLINK("http://www.twitter.com/NathanBLawrence/status/997641252907646982", "997641252907646982")</f>
        <v/>
      </c>
      <c r="B2662" s="2" t="n">
        <v>43239.03685185185</v>
      </c>
      <c r="C2662" t="n">
        <v>0</v>
      </c>
      <c r="D2662" t="n">
        <v>129</v>
      </c>
      <c r="E2662" t="s">
        <v>2668</v>
      </c>
      <c r="F2662" t="s"/>
      <c r="G2662" t="s"/>
      <c r="H2662" t="s"/>
      <c r="I2662" t="s"/>
      <c r="J2662" t="n">
        <v>0.4404</v>
      </c>
      <c r="K2662" t="n">
        <v>0</v>
      </c>
      <c r="L2662" t="n">
        <v>0.9</v>
      </c>
      <c r="M2662" t="n">
        <v>0.1</v>
      </c>
    </row>
    <row r="2663" spans="1:13">
      <c r="A2663" s="1">
        <f>HYPERLINK("http://www.twitter.com/NathanBLawrence/status/997641233383256065", "997641233383256065")</f>
        <v/>
      </c>
      <c r="B2663" s="2" t="n">
        <v>43239.03679398148</v>
      </c>
      <c r="C2663" t="n">
        <v>0</v>
      </c>
      <c r="D2663" t="n">
        <v>65</v>
      </c>
      <c r="E2663" t="s">
        <v>2669</v>
      </c>
      <c r="F2663" t="s"/>
      <c r="G2663" t="s"/>
      <c r="H2663" t="s"/>
      <c r="I2663" t="s"/>
      <c r="J2663" t="n">
        <v>0.6486</v>
      </c>
      <c r="K2663" t="n">
        <v>0</v>
      </c>
      <c r="L2663" t="n">
        <v>0.819</v>
      </c>
      <c r="M2663" t="n">
        <v>0.181</v>
      </c>
    </row>
    <row r="2664" spans="1:13">
      <c r="A2664" s="1">
        <f>HYPERLINK("http://www.twitter.com/NathanBLawrence/status/997641212457816064", "997641212457816064")</f>
        <v/>
      </c>
      <c r="B2664" s="2" t="n">
        <v>43239.03673611111</v>
      </c>
      <c r="C2664" t="n">
        <v>0</v>
      </c>
      <c r="D2664" t="n">
        <v>94</v>
      </c>
      <c r="E2664" t="s">
        <v>2670</v>
      </c>
      <c r="F2664" t="s"/>
      <c r="G2664" t="s"/>
      <c r="H2664" t="s"/>
      <c r="I2664" t="s"/>
      <c r="J2664" t="n">
        <v>0.2732</v>
      </c>
      <c r="K2664" t="n">
        <v>0</v>
      </c>
      <c r="L2664" t="n">
        <v>0.92</v>
      </c>
      <c r="M2664" t="n">
        <v>0.08</v>
      </c>
    </row>
    <row r="2665" spans="1:13">
      <c r="A2665" s="1">
        <f>HYPERLINK("http://www.twitter.com/NathanBLawrence/status/997641162902196224", "997641162902196224")</f>
        <v/>
      </c>
      <c r="B2665" s="2" t="n">
        <v>43239.0366087963</v>
      </c>
      <c r="C2665" t="n">
        <v>0</v>
      </c>
      <c r="D2665" t="n">
        <v>78</v>
      </c>
      <c r="E2665" t="s">
        <v>2671</v>
      </c>
      <c r="F2665" t="s"/>
      <c r="G2665" t="s"/>
      <c r="H2665" t="s"/>
      <c r="I2665" t="s"/>
      <c r="J2665" t="n">
        <v>0</v>
      </c>
      <c r="K2665" t="n">
        <v>0</v>
      </c>
      <c r="L2665" t="n">
        <v>1</v>
      </c>
      <c r="M2665" t="n">
        <v>0</v>
      </c>
    </row>
    <row r="2666" spans="1:13">
      <c r="A2666" s="1">
        <f>HYPERLINK("http://www.twitter.com/NathanBLawrence/status/997641142236835840", "997641142236835840")</f>
        <v/>
      </c>
      <c r="B2666" s="2" t="n">
        <v>43239.03655092593</v>
      </c>
      <c r="C2666" t="n">
        <v>0</v>
      </c>
      <c r="D2666" t="n">
        <v>162</v>
      </c>
      <c r="E2666" t="s">
        <v>2672</v>
      </c>
      <c r="F2666" t="s"/>
      <c r="G2666" t="s"/>
      <c r="H2666" t="s"/>
      <c r="I2666" t="s"/>
      <c r="J2666" t="n">
        <v>0.1901</v>
      </c>
      <c r="K2666" t="n">
        <v>0</v>
      </c>
      <c r="L2666" t="n">
        <v>0.923</v>
      </c>
      <c r="M2666" t="n">
        <v>0.077</v>
      </c>
    </row>
    <row r="2667" spans="1:13">
      <c r="A2667" s="1">
        <f>HYPERLINK("http://www.twitter.com/NathanBLawrence/status/997641118979362816", "997641118979362816")</f>
        <v/>
      </c>
      <c r="B2667" s="2" t="n">
        <v>43239.03648148148</v>
      </c>
      <c r="C2667" t="n">
        <v>0</v>
      </c>
      <c r="D2667" t="n">
        <v>82</v>
      </c>
      <c r="E2667" t="s">
        <v>2673</v>
      </c>
      <c r="F2667" t="s"/>
      <c r="G2667" t="s"/>
      <c r="H2667" t="s"/>
      <c r="I2667" t="s"/>
      <c r="J2667" t="n">
        <v>0</v>
      </c>
      <c r="K2667" t="n">
        <v>0</v>
      </c>
      <c r="L2667" t="n">
        <v>1</v>
      </c>
      <c r="M2667" t="n">
        <v>0</v>
      </c>
    </row>
    <row r="2668" spans="1:13">
      <c r="A2668" s="1">
        <f>HYPERLINK("http://www.twitter.com/NathanBLawrence/status/997641075178266624", "997641075178266624")</f>
        <v/>
      </c>
      <c r="B2668" s="2" t="n">
        <v>43239.03636574074</v>
      </c>
      <c r="C2668" t="n">
        <v>0</v>
      </c>
      <c r="D2668" t="n">
        <v>82</v>
      </c>
      <c r="E2668" t="s">
        <v>2674</v>
      </c>
      <c r="F2668" t="s"/>
      <c r="G2668" t="s"/>
      <c r="H2668" t="s"/>
      <c r="I2668" t="s"/>
      <c r="J2668" t="n">
        <v>0.7269</v>
      </c>
      <c r="K2668" t="n">
        <v>0</v>
      </c>
      <c r="L2668" t="n">
        <v>0.747</v>
      </c>
      <c r="M2668" t="n">
        <v>0.253</v>
      </c>
    </row>
    <row r="2669" spans="1:13">
      <c r="A2669" s="1">
        <f>HYPERLINK("http://www.twitter.com/NathanBLawrence/status/997641060397576193", "997641060397576193")</f>
        <v/>
      </c>
      <c r="B2669" s="2" t="n">
        <v>43239.03631944444</v>
      </c>
      <c r="C2669" t="n">
        <v>0</v>
      </c>
      <c r="D2669" t="n">
        <v>81</v>
      </c>
      <c r="E2669" t="s">
        <v>2675</v>
      </c>
      <c r="F2669" t="s"/>
      <c r="G2669" t="s"/>
      <c r="H2669" t="s"/>
      <c r="I2669" t="s"/>
      <c r="J2669" t="n">
        <v>0.8979</v>
      </c>
      <c r="K2669" t="n">
        <v>0</v>
      </c>
      <c r="L2669" t="n">
        <v>0.635</v>
      </c>
      <c r="M2669" t="n">
        <v>0.365</v>
      </c>
    </row>
    <row r="2670" spans="1:13">
      <c r="A2670" s="1">
        <f>HYPERLINK("http://www.twitter.com/NathanBLawrence/status/997641038553665536", "997641038553665536")</f>
        <v/>
      </c>
      <c r="B2670" s="2" t="n">
        <v>43239.03626157407</v>
      </c>
      <c r="C2670" t="n">
        <v>0</v>
      </c>
      <c r="D2670" t="n">
        <v>71</v>
      </c>
      <c r="E2670" t="s">
        <v>2676</v>
      </c>
      <c r="F2670" t="s"/>
      <c r="G2670" t="s"/>
      <c r="H2670" t="s"/>
      <c r="I2670" t="s"/>
      <c r="J2670" t="n">
        <v>0.2732</v>
      </c>
      <c r="K2670" t="n">
        <v>0</v>
      </c>
      <c r="L2670" t="n">
        <v>0.851</v>
      </c>
      <c r="M2670" t="n">
        <v>0.149</v>
      </c>
    </row>
    <row r="2671" spans="1:13">
      <c r="A2671" s="1">
        <f>HYPERLINK("http://www.twitter.com/NathanBLawrence/status/997641013995954176", "997641013995954176")</f>
        <v/>
      </c>
      <c r="B2671" s="2" t="n">
        <v>43239.03619212963</v>
      </c>
      <c r="C2671" t="n">
        <v>0</v>
      </c>
      <c r="D2671" t="n">
        <v>114</v>
      </c>
      <c r="E2671" t="s">
        <v>2677</v>
      </c>
      <c r="F2671" t="s"/>
      <c r="G2671" t="s"/>
      <c r="H2671" t="s"/>
      <c r="I2671" t="s"/>
      <c r="J2671" t="n">
        <v>0.5766</v>
      </c>
      <c r="K2671" t="n">
        <v>0</v>
      </c>
      <c r="L2671" t="n">
        <v>0.777</v>
      </c>
      <c r="M2671" t="n">
        <v>0.223</v>
      </c>
    </row>
    <row r="2672" spans="1:13">
      <c r="A2672" s="1">
        <f>HYPERLINK("http://www.twitter.com/NathanBLawrence/status/997641008040038400", "997641008040038400")</f>
        <v/>
      </c>
      <c r="B2672" s="2" t="n">
        <v>43239.03618055556</v>
      </c>
      <c r="C2672" t="n">
        <v>0</v>
      </c>
      <c r="D2672" t="n">
        <v>690</v>
      </c>
      <c r="E2672" t="s">
        <v>2678</v>
      </c>
      <c r="F2672">
        <f>HYPERLINK("http://pbs.twimg.com/media/Ddg2JFdWsAApP8t.jpg", "http://pbs.twimg.com/media/Ddg2JFdWsAApP8t.jpg")</f>
        <v/>
      </c>
      <c r="G2672" t="s"/>
      <c r="H2672" t="s"/>
      <c r="I2672" t="s"/>
      <c r="J2672" t="n">
        <v>0</v>
      </c>
      <c r="K2672" t="n">
        <v>0</v>
      </c>
      <c r="L2672" t="n">
        <v>1</v>
      </c>
      <c r="M2672" t="n">
        <v>0</v>
      </c>
    </row>
    <row r="2673" spans="1:13">
      <c r="A2673" s="1">
        <f>HYPERLINK("http://www.twitter.com/NathanBLawrence/status/997640935583502337", "997640935583502337")</f>
        <v/>
      </c>
      <c r="B2673" s="2" t="n">
        <v>43239.03597222222</v>
      </c>
      <c r="C2673" t="n">
        <v>0</v>
      </c>
      <c r="D2673" t="n">
        <v>20</v>
      </c>
      <c r="E2673" t="s">
        <v>2679</v>
      </c>
      <c r="F2673" t="s"/>
      <c r="G2673" t="s"/>
      <c r="H2673" t="s"/>
      <c r="I2673" t="s"/>
      <c r="J2673" t="n">
        <v>0.9036999999999999</v>
      </c>
      <c r="K2673" t="n">
        <v>0</v>
      </c>
      <c r="L2673" t="n">
        <v>0.472</v>
      </c>
      <c r="M2673" t="n">
        <v>0.528</v>
      </c>
    </row>
    <row r="2674" spans="1:13">
      <c r="A2674" s="1">
        <f>HYPERLINK("http://www.twitter.com/NathanBLawrence/status/997640842490929153", "997640842490929153")</f>
        <v/>
      </c>
      <c r="B2674" s="2" t="n">
        <v>43239.03571759259</v>
      </c>
      <c r="C2674" t="n">
        <v>0</v>
      </c>
      <c r="D2674" t="n">
        <v>97</v>
      </c>
      <c r="E2674" t="s">
        <v>2680</v>
      </c>
      <c r="F2674">
        <f>HYPERLINK("http://pbs.twimg.com/media/DdhQnG8VAAUssxK.jpg", "http://pbs.twimg.com/media/DdhQnG8VAAUssxK.jpg")</f>
        <v/>
      </c>
      <c r="G2674" t="s"/>
      <c r="H2674" t="s"/>
      <c r="I2674" t="s"/>
      <c r="J2674" t="n">
        <v>0.3164</v>
      </c>
      <c r="K2674" t="n">
        <v>0</v>
      </c>
      <c r="L2674" t="n">
        <v>0.897</v>
      </c>
      <c r="M2674" t="n">
        <v>0.103</v>
      </c>
    </row>
    <row r="2675" spans="1:13">
      <c r="A2675" s="1">
        <f>HYPERLINK("http://www.twitter.com/NathanBLawrence/status/997640757845594112", "997640757845594112")</f>
        <v/>
      </c>
      <c r="B2675" s="2" t="n">
        <v>43239.03548611111</v>
      </c>
      <c r="C2675" t="n">
        <v>0</v>
      </c>
      <c r="D2675" t="n">
        <v>180</v>
      </c>
      <c r="E2675" t="s">
        <v>2681</v>
      </c>
      <c r="F2675" t="s"/>
      <c r="G2675" t="s"/>
      <c r="H2675" t="s"/>
      <c r="I2675" t="s"/>
      <c r="J2675" t="n">
        <v>-0.3252</v>
      </c>
      <c r="K2675" t="n">
        <v>0.089</v>
      </c>
      <c r="L2675" t="n">
        <v>0.911</v>
      </c>
      <c r="M2675" t="n">
        <v>0</v>
      </c>
    </row>
    <row r="2676" spans="1:13">
      <c r="A2676" s="1">
        <f>HYPERLINK("http://www.twitter.com/NathanBLawrence/status/997640642070269952", "997640642070269952")</f>
        <v/>
      </c>
      <c r="B2676" s="2" t="n">
        <v>43239.03516203703</v>
      </c>
      <c r="C2676" t="n">
        <v>0</v>
      </c>
      <c r="D2676" t="n">
        <v>163</v>
      </c>
      <c r="E2676" t="s">
        <v>2682</v>
      </c>
      <c r="F2676" t="s"/>
      <c r="G2676" t="s"/>
      <c r="H2676" t="s"/>
      <c r="I2676" t="s"/>
      <c r="J2676" t="n">
        <v>0.0258</v>
      </c>
      <c r="K2676" t="n">
        <v>0</v>
      </c>
      <c r="L2676" t="n">
        <v>0.952</v>
      </c>
      <c r="M2676" t="n">
        <v>0.048</v>
      </c>
    </row>
    <row r="2677" spans="1:13">
      <c r="A2677" s="1">
        <f>HYPERLINK("http://www.twitter.com/NathanBLawrence/status/997640586906742789", "997640586906742789")</f>
        <v/>
      </c>
      <c r="B2677" s="2" t="n">
        <v>43239.03501157407</v>
      </c>
      <c r="C2677" t="n">
        <v>0</v>
      </c>
      <c r="D2677" t="n">
        <v>134</v>
      </c>
      <c r="E2677" t="s">
        <v>2683</v>
      </c>
      <c r="F2677" t="s"/>
      <c r="G2677" t="s"/>
      <c r="H2677" t="s"/>
      <c r="I2677" t="s"/>
      <c r="J2677" t="n">
        <v>0.5859</v>
      </c>
      <c r="K2677" t="n">
        <v>0</v>
      </c>
      <c r="L2677" t="n">
        <v>0.847</v>
      </c>
      <c r="M2677" t="n">
        <v>0.153</v>
      </c>
    </row>
    <row r="2678" spans="1:13">
      <c r="A2678" s="1">
        <f>HYPERLINK("http://www.twitter.com/NathanBLawrence/status/997640553566294016", "997640553566294016")</f>
        <v/>
      </c>
      <c r="B2678" s="2" t="n">
        <v>43239.03491898148</v>
      </c>
      <c r="C2678" t="n">
        <v>0</v>
      </c>
      <c r="D2678" t="n">
        <v>132</v>
      </c>
      <c r="E2678" t="s">
        <v>2684</v>
      </c>
      <c r="F2678" t="s"/>
      <c r="G2678" t="s"/>
      <c r="H2678" t="s"/>
      <c r="I2678" t="s"/>
      <c r="J2678" t="n">
        <v>0</v>
      </c>
      <c r="K2678" t="n">
        <v>0</v>
      </c>
      <c r="L2678" t="n">
        <v>1</v>
      </c>
      <c r="M2678" t="n">
        <v>0</v>
      </c>
    </row>
    <row r="2679" spans="1:13">
      <c r="A2679" s="1">
        <f>HYPERLINK("http://www.twitter.com/NathanBLawrence/status/997640520296955904", "997640520296955904")</f>
        <v/>
      </c>
      <c r="B2679" s="2" t="n">
        <v>43239.03482638889</v>
      </c>
      <c r="C2679" t="n">
        <v>0</v>
      </c>
      <c r="D2679" t="n">
        <v>99</v>
      </c>
      <c r="E2679" t="s">
        <v>2685</v>
      </c>
      <c r="F2679" t="s"/>
      <c r="G2679" t="s"/>
      <c r="H2679" t="s"/>
      <c r="I2679" t="s"/>
      <c r="J2679" t="n">
        <v>-0.4466</v>
      </c>
      <c r="K2679" t="n">
        <v>0.14</v>
      </c>
      <c r="L2679" t="n">
        <v>0.86</v>
      </c>
      <c r="M2679" t="n">
        <v>0</v>
      </c>
    </row>
    <row r="2680" spans="1:13">
      <c r="A2680" s="1">
        <f>HYPERLINK("http://www.twitter.com/NathanBLawrence/status/997640484397965313", "997640484397965313")</f>
        <v/>
      </c>
      <c r="B2680" s="2" t="n">
        <v>43239.0347337963</v>
      </c>
      <c r="C2680" t="n">
        <v>0</v>
      </c>
      <c r="D2680" t="n">
        <v>130</v>
      </c>
      <c r="E2680" t="s">
        <v>2686</v>
      </c>
      <c r="F2680" t="s"/>
      <c r="G2680" t="s"/>
      <c r="H2680" t="s"/>
      <c r="I2680" t="s"/>
      <c r="J2680" t="n">
        <v>0.4391</v>
      </c>
      <c r="K2680" t="n">
        <v>0</v>
      </c>
      <c r="L2680" t="n">
        <v>0.879</v>
      </c>
      <c r="M2680" t="n">
        <v>0.121</v>
      </c>
    </row>
    <row r="2681" spans="1:13">
      <c r="A2681" s="1">
        <f>HYPERLINK("http://www.twitter.com/NathanBLawrence/status/997640422146084866", "997640422146084866")</f>
        <v/>
      </c>
      <c r="B2681" s="2" t="n">
        <v>43239.03456018519</v>
      </c>
      <c r="C2681" t="n">
        <v>0</v>
      </c>
      <c r="D2681" t="n">
        <v>275</v>
      </c>
      <c r="E2681" t="s">
        <v>2687</v>
      </c>
      <c r="F2681" t="s"/>
      <c r="G2681" t="s"/>
      <c r="H2681" t="s"/>
      <c r="I2681" t="s"/>
      <c r="J2681" t="n">
        <v>-0.8834</v>
      </c>
      <c r="K2681" t="n">
        <v>0.424</v>
      </c>
      <c r="L2681" t="n">
        <v>0.576</v>
      </c>
      <c r="M2681" t="n">
        <v>0</v>
      </c>
    </row>
    <row r="2682" spans="1:13">
      <c r="A2682" s="1">
        <f>HYPERLINK("http://www.twitter.com/NathanBLawrence/status/997640399740133377", "997640399740133377")</f>
        <v/>
      </c>
      <c r="B2682" s="2" t="n">
        <v>43239.03450231482</v>
      </c>
      <c r="C2682" t="n">
        <v>0</v>
      </c>
      <c r="D2682" t="n">
        <v>100</v>
      </c>
      <c r="E2682" t="s">
        <v>2688</v>
      </c>
      <c r="F2682" t="s"/>
      <c r="G2682" t="s"/>
      <c r="H2682" t="s"/>
      <c r="I2682" t="s"/>
      <c r="J2682" t="n">
        <v>0</v>
      </c>
      <c r="K2682" t="n">
        <v>0</v>
      </c>
      <c r="L2682" t="n">
        <v>1</v>
      </c>
      <c r="M2682" t="n">
        <v>0</v>
      </c>
    </row>
    <row r="2683" spans="1:13">
      <c r="A2683" s="1">
        <f>HYPERLINK("http://www.twitter.com/NathanBLawrence/status/997640353732857859", "997640353732857859")</f>
        <v/>
      </c>
      <c r="B2683" s="2" t="n">
        <v>43239.034375</v>
      </c>
      <c r="C2683" t="n">
        <v>0</v>
      </c>
      <c r="D2683" t="n">
        <v>96</v>
      </c>
      <c r="E2683" t="s">
        <v>2689</v>
      </c>
      <c r="F2683" t="s"/>
      <c r="G2683" t="s"/>
      <c r="H2683" t="s"/>
      <c r="I2683" t="s"/>
      <c r="J2683" t="n">
        <v>-0.745</v>
      </c>
      <c r="K2683" t="n">
        <v>0.26</v>
      </c>
      <c r="L2683" t="n">
        <v>0.74</v>
      </c>
      <c r="M2683" t="n">
        <v>0</v>
      </c>
    </row>
    <row r="2684" spans="1:13">
      <c r="A2684" s="1">
        <f>HYPERLINK("http://www.twitter.com/NathanBLawrence/status/997640166243274752", "997640166243274752")</f>
        <v/>
      </c>
      <c r="B2684" s="2" t="n">
        <v>43239.03385416666</v>
      </c>
      <c r="C2684" t="n">
        <v>0</v>
      </c>
      <c r="D2684" t="n">
        <v>82</v>
      </c>
      <c r="E2684" t="s">
        <v>2690</v>
      </c>
      <c r="F2684" t="s"/>
      <c r="G2684" t="s"/>
      <c r="H2684" t="s"/>
      <c r="I2684" t="s"/>
      <c r="J2684" t="n">
        <v>0.6369</v>
      </c>
      <c r="K2684" t="n">
        <v>0</v>
      </c>
      <c r="L2684" t="n">
        <v>0.776</v>
      </c>
      <c r="M2684" t="n">
        <v>0.224</v>
      </c>
    </row>
    <row r="2685" spans="1:13">
      <c r="A2685" s="1">
        <f>HYPERLINK("http://www.twitter.com/NathanBLawrence/status/997640070701244416", "997640070701244416")</f>
        <v/>
      </c>
      <c r="B2685" s="2" t="n">
        <v>43239.03358796296</v>
      </c>
      <c r="C2685" t="n">
        <v>0</v>
      </c>
      <c r="D2685" t="n">
        <v>503</v>
      </c>
      <c r="E2685" t="s">
        <v>2691</v>
      </c>
      <c r="F2685" t="s"/>
      <c r="G2685" t="s"/>
      <c r="H2685" t="s"/>
      <c r="I2685" t="s"/>
      <c r="J2685" t="n">
        <v>-0.6369</v>
      </c>
      <c r="K2685" t="n">
        <v>0.29</v>
      </c>
      <c r="L2685" t="n">
        <v>0.619</v>
      </c>
      <c r="M2685" t="n">
        <v>0.09</v>
      </c>
    </row>
    <row r="2686" spans="1:13">
      <c r="A2686" s="1">
        <f>HYPERLINK("http://www.twitter.com/NathanBLawrence/status/997639615329775616", "997639615329775616")</f>
        <v/>
      </c>
      <c r="B2686" s="2" t="n">
        <v>43239.03233796296</v>
      </c>
      <c r="C2686" t="n">
        <v>0</v>
      </c>
      <c r="D2686" t="n">
        <v>541</v>
      </c>
      <c r="E2686" t="s">
        <v>2692</v>
      </c>
      <c r="F2686" t="s"/>
      <c r="G2686" t="s"/>
      <c r="H2686" t="s"/>
      <c r="I2686" t="s"/>
      <c r="J2686" t="n">
        <v>-0.5688</v>
      </c>
      <c r="K2686" t="n">
        <v>0.182</v>
      </c>
      <c r="L2686" t="n">
        <v>0.8179999999999999</v>
      </c>
      <c r="M2686" t="n">
        <v>0</v>
      </c>
    </row>
    <row r="2687" spans="1:13">
      <c r="A2687" s="1">
        <f>HYPERLINK("http://www.twitter.com/NathanBLawrence/status/997639369686245377", "997639369686245377")</f>
        <v/>
      </c>
      <c r="B2687" s="2" t="n">
        <v>43239.03165509259</v>
      </c>
      <c r="C2687" t="n">
        <v>0</v>
      </c>
      <c r="D2687" t="n">
        <v>21</v>
      </c>
      <c r="E2687" t="s">
        <v>2693</v>
      </c>
      <c r="F2687" t="s"/>
      <c r="G2687" t="s"/>
      <c r="H2687" t="s"/>
      <c r="I2687" t="s"/>
      <c r="J2687" t="n">
        <v>-0.5574</v>
      </c>
      <c r="K2687" t="n">
        <v>0.293</v>
      </c>
      <c r="L2687" t="n">
        <v>0.467</v>
      </c>
      <c r="M2687" t="n">
        <v>0.24</v>
      </c>
    </row>
    <row r="2688" spans="1:13">
      <c r="A2688" s="1">
        <f>HYPERLINK("http://www.twitter.com/NathanBLawrence/status/997639237867630592", "997639237867630592")</f>
        <v/>
      </c>
      <c r="B2688" s="2" t="n">
        <v>43239.0312962963</v>
      </c>
      <c r="C2688" t="n">
        <v>0</v>
      </c>
      <c r="D2688" t="n">
        <v>73</v>
      </c>
      <c r="E2688" t="s">
        <v>2694</v>
      </c>
      <c r="F2688" t="s"/>
      <c r="G2688" t="s"/>
      <c r="H2688" t="s"/>
      <c r="I2688" t="s"/>
      <c r="J2688" t="n">
        <v>-0.0772</v>
      </c>
      <c r="K2688" t="n">
        <v>0.12</v>
      </c>
      <c r="L2688" t="n">
        <v>0.772</v>
      </c>
      <c r="M2688" t="n">
        <v>0.108</v>
      </c>
    </row>
    <row r="2689" spans="1:13">
      <c r="A2689" s="1">
        <f>HYPERLINK("http://www.twitter.com/NathanBLawrence/status/997639181743656961", "997639181743656961")</f>
        <v/>
      </c>
      <c r="B2689" s="2" t="n">
        <v>43239.03113425926</v>
      </c>
      <c r="C2689" t="n">
        <v>0</v>
      </c>
      <c r="D2689" t="n">
        <v>1127</v>
      </c>
      <c r="E2689" t="s">
        <v>2695</v>
      </c>
      <c r="F2689">
        <f>HYPERLINK("http://pbs.twimg.com/media/DdhJ4rPUQAAW6wI.jpg", "http://pbs.twimg.com/media/DdhJ4rPUQAAW6wI.jpg")</f>
        <v/>
      </c>
      <c r="G2689">
        <f>HYPERLINK("http://pbs.twimg.com/media/DdhJ56wV4AACoFp.jpg", "http://pbs.twimg.com/media/DdhJ56wV4AACoFp.jpg")</f>
        <v/>
      </c>
      <c r="H2689">
        <f>HYPERLINK("http://pbs.twimg.com/media/DdhJ8AAVMAAKfO8.jpg", "http://pbs.twimg.com/media/DdhJ8AAVMAAKfO8.jpg")</f>
        <v/>
      </c>
      <c r="I2689">
        <f>HYPERLINK("http://pbs.twimg.com/media/DdhJ9m5VwAEDJCa.jpg", "http://pbs.twimg.com/media/DdhJ9m5VwAEDJCa.jpg")</f>
        <v/>
      </c>
      <c r="J2689" t="n">
        <v>-0.25</v>
      </c>
      <c r="K2689" t="n">
        <v>0.1</v>
      </c>
      <c r="L2689" t="n">
        <v>0.9</v>
      </c>
      <c r="M2689" t="n">
        <v>0</v>
      </c>
    </row>
    <row r="2690" spans="1:13">
      <c r="A2690" s="1">
        <f>HYPERLINK("http://www.twitter.com/NathanBLawrence/status/997638926838976516", "997638926838976516")</f>
        <v/>
      </c>
      <c r="B2690" s="2" t="n">
        <v>43239.03043981481</v>
      </c>
      <c r="C2690" t="n">
        <v>0</v>
      </c>
      <c r="D2690" t="n">
        <v>383</v>
      </c>
      <c r="E2690" t="s">
        <v>2696</v>
      </c>
      <c r="F2690" t="s"/>
      <c r="G2690" t="s"/>
      <c r="H2690" t="s"/>
      <c r="I2690" t="s"/>
      <c r="J2690" t="n">
        <v>-0.34</v>
      </c>
      <c r="K2690" t="n">
        <v>0.103</v>
      </c>
      <c r="L2690" t="n">
        <v>0.897</v>
      </c>
      <c r="M2690" t="n">
        <v>0</v>
      </c>
    </row>
    <row r="2691" spans="1:13">
      <c r="A2691" s="1">
        <f>HYPERLINK("http://www.twitter.com/NathanBLawrence/status/997638882027081728", "997638882027081728")</f>
        <v/>
      </c>
      <c r="B2691" s="2" t="n">
        <v>43239.0303125</v>
      </c>
      <c r="C2691" t="n">
        <v>0</v>
      </c>
      <c r="D2691" t="n">
        <v>2801</v>
      </c>
      <c r="E2691" t="s">
        <v>2697</v>
      </c>
      <c r="F2691" t="s"/>
      <c r="G2691" t="s"/>
      <c r="H2691" t="s"/>
      <c r="I2691" t="s"/>
      <c r="J2691" t="n">
        <v>0.296</v>
      </c>
      <c r="K2691" t="n">
        <v>0</v>
      </c>
      <c r="L2691" t="n">
        <v>0.905</v>
      </c>
      <c r="M2691" t="n">
        <v>0.095</v>
      </c>
    </row>
    <row r="2692" spans="1:13">
      <c r="A2692" s="1">
        <f>HYPERLINK("http://www.twitter.com/NathanBLawrence/status/997638639118151681", "997638639118151681")</f>
        <v/>
      </c>
      <c r="B2692" s="2" t="n">
        <v>43239.02964120371</v>
      </c>
      <c r="C2692" t="n">
        <v>0</v>
      </c>
      <c r="D2692" t="n">
        <v>130</v>
      </c>
      <c r="E2692" t="s">
        <v>2698</v>
      </c>
      <c r="F2692">
        <f>HYPERLINK("http://pbs.twimg.com/media/DdgQdy4U8AAzl79.jpg", "http://pbs.twimg.com/media/DdgQdy4U8AAzl79.jpg")</f>
        <v/>
      </c>
      <c r="G2692" t="s"/>
      <c r="H2692" t="s"/>
      <c r="I2692" t="s"/>
      <c r="J2692" t="n">
        <v>-0.5423</v>
      </c>
      <c r="K2692" t="n">
        <v>0.184</v>
      </c>
      <c r="L2692" t="n">
        <v>0.8159999999999999</v>
      </c>
      <c r="M2692" t="n">
        <v>0</v>
      </c>
    </row>
    <row r="2693" spans="1:13">
      <c r="A2693" s="1">
        <f>HYPERLINK("http://www.twitter.com/NathanBLawrence/status/997632882012286976", "997632882012286976")</f>
        <v/>
      </c>
      <c r="B2693" s="2" t="n">
        <v>43239.01375</v>
      </c>
      <c r="C2693" t="n">
        <v>0</v>
      </c>
      <c r="D2693" t="n">
        <v>1390</v>
      </c>
      <c r="E2693" t="s">
        <v>2699</v>
      </c>
      <c r="F2693" t="s"/>
      <c r="G2693" t="s"/>
      <c r="H2693" t="s"/>
      <c r="I2693" t="s"/>
      <c r="J2693" t="n">
        <v>-0.7351</v>
      </c>
      <c r="K2693" t="n">
        <v>0.408</v>
      </c>
      <c r="L2693" t="n">
        <v>0.592</v>
      </c>
      <c r="M2693" t="n">
        <v>0</v>
      </c>
    </row>
    <row r="2694" spans="1:13">
      <c r="A2694" s="1">
        <f>HYPERLINK("http://www.twitter.com/NathanBLawrence/status/997632330067075074", "997632330067075074")</f>
        <v/>
      </c>
      <c r="B2694" s="2" t="n">
        <v>43239.0122337963</v>
      </c>
      <c r="C2694" t="n">
        <v>0</v>
      </c>
      <c r="D2694" t="n">
        <v>48</v>
      </c>
      <c r="E2694" t="s">
        <v>2700</v>
      </c>
      <c r="F2694" t="s"/>
      <c r="G2694" t="s"/>
      <c r="H2694" t="s"/>
      <c r="I2694" t="s"/>
      <c r="J2694" t="n">
        <v>0</v>
      </c>
      <c r="K2694" t="n">
        <v>0</v>
      </c>
      <c r="L2694" t="n">
        <v>1</v>
      </c>
      <c r="M2694" t="n">
        <v>0</v>
      </c>
    </row>
    <row r="2695" spans="1:13">
      <c r="A2695" s="1">
        <f>HYPERLINK("http://www.twitter.com/NathanBLawrence/status/997632238606016514", "997632238606016514")</f>
        <v/>
      </c>
      <c r="B2695" s="2" t="n">
        <v>43239.01197916667</v>
      </c>
      <c r="C2695" t="n">
        <v>0</v>
      </c>
      <c r="D2695" t="n">
        <v>7448</v>
      </c>
      <c r="E2695" t="s">
        <v>2701</v>
      </c>
      <c r="F2695" t="s"/>
      <c r="G2695" t="s"/>
      <c r="H2695" t="s"/>
      <c r="I2695" t="s"/>
      <c r="J2695" t="n">
        <v>0.3818</v>
      </c>
      <c r="K2695" t="n">
        <v>0</v>
      </c>
      <c r="L2695" t="n">
        <v>0.898</v>
      </c>
      <c r="M2695" t="n">
        <v>0.102</v>
      </c>
    </row>
    <row r="2696" spans="1:13">
      <c r="A2696" s="1">
        <f>HYPERLINK("http://www.twitter.com/NathanBLawrence/status/997632197283733504", "997632197283733504")</f>
        <v/>
      </c>
      <c r="B2696" s="2" t="n">
        <v>43239.01186342593</v>
      </c>
      <c r="C2696" t="n">
        <v>0</v>
      </c>
      <c r="D2696" t="n">
        <v>56</v>
      </c>
      <c r="E2696" t="s">
        <v>2702</v>
      </c>
      <c r="F2696" t="s"/>
      <c r="G2696" t="s"/>
      <c r="H2696" t="s"/>
      <c r="I2696" t="s"/>
      <c r="J2696" t="n">
        <v>0</v>
      </c>
      <c r="K2696" t="n">
        <v>0</v>
      </c>
      <c r="L2696" t="n">
        <v>1</v>
      </c>
      <c r="M2696" t="n">
        <v>0</v>
      </c>
    </row>
    <row r="2697" spans="1:13">
      <c r="A2697" s="1">
        <f>HYPERLINK("http://www.twitter.com/NathanBLawrence/status/997632132938977280", "997632132938977280")</f>
        <v/>
      </c>
      <c r="B2697" s="2" t="n">
        <v>43239.01168981481</v>
      </c>
      <c r="C2697" t="n">
        <v>0</v>
      </c>
      <c r="D2697" t="n">
        <v>1363</v>
      </c>
      <c r="E2697" t="s">
        <v>2703</v>
      </c>
      <c r="F2697" t="s"/>
      <c r="G2697" t="s"/>
      <c r="H2697" t="s"/>
      <c r="I2697" t="s"/>
      <c r="J2697" t="n">
        <v>0.4019</v>
      </c>
      <c r="K2697" t="n">
        <v>0</v>
      </c>
      <c r="L2697" t="n">
        <v>0.87</v>
      </c>
      <c r="M2697" t="n">
        <v>0.13</v>
      </c>
    </row>
    <row r="2698" spans="1:13">
      <c r="A2698" s="1">
        <f>HYPERLINK("http://www.twitter.com/NathanBLawrence/status/997631354119622656", "997631354119622656")</f>
        <v/>
      </c>
      <c r="B2698" s="2" t="n">
        <v>43239.00953703704</v>
      </c>
      <c r="C2698" t="n">
        <v>0</v>
      </c>
      <c r="D2698" t="n">
        <v>1426</v>
      </c>
      <c r="E2698" t="s">
        <v>2704</v>
      </c>
      <c r="F2698" t="s"/>
      <c r="G2698" t="s"/>
      <c r="H2698" t="s"/>
      <c r="I2698" t="s"/>
      <c r="J2698" t="n">
        <v>0.0258</v>
      </c>
      <c r="K2698" t="n">
        <v>0.118</v>
      </c>
      <c r="L2698" t="n">
        <v>0.76</v>
      </c>
      <c r="M2698" t="n">
        <v>0.122</v>
      </c>
    </row>
    <row r="2699" spans="1:13">
      <c r="A2699" s="1">
        <f>HYPERLINK("http://www.twitter.com/NathanBLawrence/status/997630632988639237", "997630632988639237")</f>
        <v/>
      </c>
      <c r="B2699" s="2" t="n">
        <v>43239.0075462963</v>
      </c>
      <c r="C2699" t="n">
        <v>0</v>
      </c>
      <c r="D2699" t="n">
        <v>5518</v>
      </c>
      <c r="E2699" t="s">
        <v>2705</v>
      </c>
      <c r="F2699" t="s"/>
      <c r="G2699" t="s"/>
      <c r="H2699" t="s"/>
      <c r="I2699" t="s"/>
      <c r="J2699" t="n">
        <v>0</v>
      </c>
      <c r="K2699" t="n">
        <v>0</v>
      </c>
      <c r="L2699" t="n">
        <v>1</v>
      </c>
      <c r="M2699" t="n">
        <v>0</v>
      </c>
    </row>
    <row r="2700" spans="1:13">
      <c r="A2700" s="1">
        <f>HYPERLINK("http://www.twitter.com/NathanBLawrence/status/997630400158683137", "997630400158683137")</f>
        <v/>
      </c>
      <c r="B2700" s="2" t="n">
        <v>43239.00690972222</v>
      </c>
      <c r="C2700" t="n">
        <v>0</v>
      </c>
      <c r="D2700" t="n">
        <v>179</v>
      </c>
      <c r="E2700" t="s">
        <v>2706</v>
      </c>
      <c r="F2700" t="s"/>
      <c r="G2700" t="s"/>
      <c r="H2700" t="s"/>
      <c r="I2700" t="s"/>
      <c r="J2700" t="n">
        <v>0.0108</v>
      </c>
      <c r="K2700" t="n">
        <v>0.129</v>
      </c>
      <c r="L2700" t="n">
        <v>0.74</v>
      </c>
      <c r="M2700" t="n">
        <v>0.131</v>
      </c>
    </row>
    <row r="2701" spans="1:13">
      <c r="A2701" s="1">
        <f>HYPERLINK("http://www.twitter.com/NathanBLawrence/status/997630342336073728", "997630342336073728")</f>
        <v/>
      </c>
      <c r="B2701" s="2" t="n">
        <v>43239.00674768518</v>
      </c>
      <c r="C2701" t="n">
        <v>0</v>
      </c>
      <c r="D2701" t="n">
        <v>25</v>
      </c>
      <c r="E2701" t="s">
        <v>2707</v>
      </c>
      <c r="F2701" t="s"/>
      <c r="G2701" t="s"/>
      <c r="H2701" t="s"/>
      <c r="I2701" t="s"/>
      <c r="J2701" t="n">
        <v>-0.6597</v>
      </c>
      <c r="K2701" t="n">
        <v>0.205</v>
      </c>
      <c r="L2701" t="n">
        <v>0.795</v>
      </c>
      <c r="M2701" t="n">
        <v>0</v>
      </c>
    </row>
    <row r="2702" spans="1:13">
      <c r="A2702" s="1">
        <f>HYPERLINK("http://www.twitter.com/NathanBLawrence/status/997630116346855425", "997630116346855425")</f>
        <v/>
      </c>
      <c r="B2702" s="2" t="n">
        <v>43239.00612268518</v>
      </c>
      <c r="C2702" t="n">
        <v>0</v>
      </c>
      <c r="D2702" t="n">
        <v>5596</v>
      </c>
      <c r="E2702" t="s">
        <v>2708</v>
      </c>
      <c r="F2702" t="s"/>
      <c r="G2702" t="s"/>
      <c r="H2702" t="s"/>
      <c r="I2702" t="s"/>
      <c r="J2702" t="n">
        <v>-0.3182</v>
      </c>
      <c r="K2702" t="n">
        <v>0.103</v>
      </c>
      <c r="L2702" t="n">
        <v>0.897</v>
      </c>
      <c r="M2702" t="n">
        <v>0</v>
      </c>
    </row>
    <row r="2703" spans="1:13">
      <c r="A2703" s="1">
        <f>HYPERLINK("http://www.twitter.com/NathanBLawrence/status/997630036021792768", "997630036021792768")</f>
        <v/>
      </c>
      <c r="B2703" s="2" t="n">
        <v>43239.00590277778</v>
      </c>
      <c r="C2703" t="n">
        <v>0</v>
      </c>
      <c r="D2703" t="n">
        <v>3390</v>
      </c>
      <c r="E2703" t="s">
        <v>2709</v>
      </c>
      <c r="F2703" t="s"/>
      <c r="G2703" t="s"/>
      <c r="H2703" t="s"/>
      <c r="I2703" t="s"/>
      <c r="J2703" t="n">
        <v>0.6802</v>
      </c>
      <c r="K2703" t="n">
        <v>0</v>
      </c>
      <c r="L2703" t="n">
        <v>0.79</v>
      </c>
      <c r="M2703" t="n">
        <v>0.21</v>
      </c>
    </row>
    <row r="2704" spans="1:13">
      <c r="A2704" s="1">
        <f>HYPERLINK("http://www.twitter.com/NathanBLawrence/status/997630004845600769", "997630004845600769")</f>
        <v/>
      </c>
      <c r="B2704" s="2" t="n">
        <v>43239.00581018518</v>
      </c>
      <c r="C2704" t="n">
        <v>0</v>
      </c>
      <c r="D2704" t="n">
        <v>37</v>
      </c>
      <c r="E2704" t="s">
        <v>2710</v>
      </c>
      <c r="F2704" t="s"/>
      <c r="G2704" t="s"/>
      <c r="H2704" t="s"/>
      <c r="I2704" t="s"/>
      <c r="J2704" t="n">
        <v>0</v>
      </c>
      <c r="K2704" t="n">
        <v>0</v>
      </c>
      <c r="L2704" t="n">
        <v>1</v>
      </c>
      <c r="M2704" t="n">
        <v>0</v>
      </c>
    </row>
    <row r="2705" spans="1:13">
      <c r="A2705" s="1">
        <f>HYPERLINK("http://www.twitter.com/NathanBLawrence/status/997629941213786112", "997629941213786112")</f>
        <v/>
      </c>
      <c r="B2705" s="2" t="n">
        <v>43239.00563657407</v>
      </c>
      <c r="C2705" t="n">
        <v>0</v>
      </c>
      <c r="D2705" t="n">
        <v>721</v>
      </c>
      <c r="E2705" t="s">
        <v>2711</v>
      </c>
      <c r="F2705" t="s"/>
      <c r="G2705" t="s"/>
      <c r="H2705" t="s"/>
      <c r="I2705" t="s"/>
      <c r="J2705" t="n">
        <v>0.5622</v>
      </c>
      <c r="K2705" t="n">
        <v>0</v>
      </c>
      <c r="L2705" t="n">
        <v>0.6879999999999999</v>
      </c>
      <c r="M2705" t="n">
        <v>0.312</v>
      </c>
    </row>
    <row r="2706" spans="1:13">
      <c r="A2706" s="1">
        <f>HYPERLINK("http://www.twitter.com/NathanBLawrence/status/997629909408284672", "997629909408284672")</f>
        <v/>
      </c>
      <c r="B2706" s="2" t="n">
        <v>43239.00555555556</v>
      </c>
      <c r="C2706" t="n">
        <v>0</v>
      </c>
      <c r="D2706" t="n">
        <v>5</v>
      </c>
      <c r="E2706" t="s">
        <v>2712</v>
      </c>
      <c r="F2706" t="s"/>
      <c r="G2706" t="s"/>
      <c r="H2706" t="s"/>
      <c r="I2706" t="s"/>
      <c r="J2706" t="n">
        <v>-0.3818</v>
      </c>
      <c r="K2706" t="n">
        <v>0.148</v>
      </c>
      <c r="L2706" t="n">
        <v>0.852</v>
      </c>
      <c r="M2706" t="n">
        <v>0</v>
      </c>
    </row>
    <row r="2707" spans="1:13">
      <c r="A2707" s="1">
        <f>HYPERLINK("http://www.twitter.com/NathanBLawrence/status/997629679594082305", "997629679594082305")</f>
        <v/>
      </c>
      <c r="B2707" s="2" t="n">
        <v>43239.00491898148</v>
      </c>
      <c r="C2707" t="n">
        <v>0</v>
      </c>
      <c r="D2707" t="n">
        <v>334</v>
      </c>
      <c r="E2707" t="s">
        <v>2713</v>
      </c>
      <c r="F2707" t="s"/>
      <c r="G2707" t="s"/>
      <c r="H2707" t="s"/>
      <c r="I2707" t="s"/>
      <c r="J2707" t="n">
        <v>-0.4939</v>
      </c>
      <c r="K2707" t="n">
        <v>0.198</v>
      </c>
      <c r="L2707" t="n">
        <v>0.802</v>
      </c>
      <c r="M2707" t="n">
        <v>0</v>
      </c>
    </row>
    <row r="2708" spans="1:13">
      <c r="A2708" s="1">
        <f>HYPERLINK("http://www.twitter.com/NathanBLawrence/status/997629634282950656", "997629634282950656")</f>
        <v/>
      </c>
      <c r="B2708" s="2" t="n">
        <v>43239.00479166667</v>
      </c>
      <c r="C2708" t="n">
        <v>0</v>
      </c>
      <c r="D2708" t="n">
        <v>3776</v>
      </c>
      <c r="E2708" t="s">
        <v>2714</v>
      </c>
      <c r="F2708" t="s"/>
      <c r="G2708" t="s"/>
      <c r="H2708" t="s"/>
      <c r="I2708" t="s"/>
      <c r="J2708" t="n">
        <v>-0.6249</v>
      </c>
      <c r="K2708" t="n">
        <v>0.204</v>
      </c>
      <c r="L2708" t="n">
        <v>0.796</v>
      </c>
      <c r="M2708" t="n">
        <v>0</v>
      </c>
    </row>
    <row r="2709" spans="1:13">
      <c r="A2709" s="1">
        <f>HYPERLINK("http://www.twitter.com/NathanBLawrence/status/997629376253628417", "997629376253628417")</f>
        <v/>
      </c>
      <c r="B2709" s="2" t="n">
        <v>43239.00408564815</v>
      </c>
      <c r="C2709" t="n">
        <v>2</v>
      </c>
      <c r="D2709" t="n">
        <v>0</v>
      </c>
      <c r="E2709" t="s">
        <v>2715</v>
      </c>
      <c r="F2709" t="s"/>
      <c r="G2709" t="s"/>
      <c r="H2709" t="s"/>
      <c r="I2709" t="s"/>
      <c r="J2709" t="n">
        <v>0.6688</v>
      </c>
      <c r="K2709" t="n">
        <v>0.164</v>
      </c>
      <c r="L2709" t="n">
        <v>0.5629999999999999</v>
      </c>
      <c r="M2709" t="n">
        <v>0.274</v>
      </c>
    </row>
    <row r="2710" spans="1:13">
      <c r="A2710" s="1">
        <f>HYPERLINK("http://www.twitter.com/NathanBLawrence/status/997628398620086272", "997628398620086272")</f>
        <v/>
      </c>
      <c r="B2710" s="2" t="n">
        <v>43239.00137731482</v>
      </c>
      <c r="C2710" t="n">
        <v>0</v>
      </c>
      <c r="D2710" t="n">
        <v>1524</v>
      </c>
      <c r="E2710" t="s">
        <v>2716</v>
      </c>
      <c r="F2710" t="s"/>
      <c r="G2710" t="s"/>
      <c r="H2710" t="s"/>
      <c r="I2710" t="s"/>
      <c r="J2710" t="n">
        <v>-0.2263</v>
      </c>
      <c r="K2710" t="n">
        <v>0.209</v>
      </c>
      <c r="L2710" t="n">
        <v>0.611</v>
      </c>
      <c r="M2710" t="n">
        <v>0.18</v>
      </c>
    </row>
    <row r="2711" spans="1:13">
      <c r="A2711" s="1">
        <f>HYPERLINK("http://www.twitter.com/NathanBLawrence/status/997628255560716289", "997628255560716289")</f>
        <v/>
      </c>
      <c r="B2711" s="2" t="n">
        <v>43239.00098379629</v>
      </c>
      <c r="C2711" t="n">
        <v>0</v>
      </c>
      <c r="D2711" t="n">
        <v>27</v>
      </c>
      <c r="E2711" t="s">
        <v>2717</v>
      </c>
      <c r="F2711" t="s"/>
      <c r="G2711" t="s"/>
      <c r="H2711" t="s"/>
      <c r="I2711" t="s"/>
      <c r="J2711" t="n">
        <v>-0.2732</v>
      </c>
      <c r="K2711" t="n">
        <v>0.095</v>
      </c>
      <c r="L2711" t="n">
        <v>0.905</v>
      </c>
      <c r="M2711" t="n">
        <v>0</v>
      </c>
    </row>
    <row r="2712" spans="1:13">
      <c r="A2712" s="1">
        <f>HYPERLINK("http://www.twitter.com/NathanBLawrence/status/997626837198045189", "997626837198045189")</f>
        <v/>
      </c>
      <c r="B2712" s="2" t="n">
        <v>43238.99707175926</v>
      </c>
      <c r="C2712" t="n">
        <v>0</v>
      </c>
      <c r="D2712" t="n">
        <v>1</v>
      </c>
      <c r="E2712" t="s">
        <v>2718</v>
      </c>
      <c r="F2712" t="s"/>
      <c r="G2712" t="s"/>
      <c r="H2712" t="s"/>
      <c r="I2712" t="s"/>
      <c r="J2712" t="n">
        <v>0.5574</v>
      </c>
      <c r="K2712" t="n">
        <v>0</v>
      </c>
      <c r="L2712" t="n">
        <v>0.455</v>
      </c>
      <c r="M2712" t="n">
        <v>0.545</v>
      </c>
    </row>
    <row r="2713" spans="1:13">
      <c r="A2713" s="1">
        <f>HYPERLINK("http://www.twitter.com/NathanBLawrence/status/997626625385816064", "997626625385816064")</f>
        <v/>
      </c>
      <c r="B2713" s="2" t="n">
        <v>43238.99649305556</v>
      </c>
      <c r="C2713" t="n">
        <v>0</v>
      </c>
      <c r="D2713" t="n">
        <v>2011</v>
      </c>
      <c r="E2713" t="s">
        <v>2719</v>
      </c>
      <c r="F2713" t="s"/>
      <c r="G2713" t="s"/>
      <c r="H2713" t="s"/>
      <c r="I2713" t="s"/>
      <c r="J2713" t="n">
        <v>0</v>
      </c>
      <c r="K2713" t="n">
        <v>0</v>
      </c>
      <c r="L2713" t="n">
        <v>1</v>
      </c>
      <c r="M2713" t="n">
        <v>0</v>
      </c>
    </row>
    <row r="2714" spans="1:13">
      <c r="A2714" s="1">
        <f>HYPERLINK("http://www.twitter.com/NathanBLawrence/status/997626383051436036", "997626383051436036")</f>
        <v/>
      </c>
      <c r="B2714" s="2" t="n">
        <v>43238.99582175926</v>
      </c>
      <c r="C2714" t="n">
        <v>0</v>
      </c>
      <c r="D2714" t="n">
        <v>6564</v>
      </c>
      <c r="E2714" t="s">
        <v>2720</v>
      </c>
      <c r="F2714" t="s"/>
      <c r="G2714" t="s"/>
      <c r="H2714" t="s"/>
      <c r="I2714" t="s"/>
      <c r="J2714" t="n">
        <v>-0.8689</v>
      </c>
      <c r="K2714" t="n">
        <v>0.351</v>
      </c>
      <c r="L2714" t="n">
        <v>0.649</v>
      </c>
      <c r="M2714" t="n">
        <v>0</v>
      </c>
    </row>
    <row r="2715" spans="1:13">
      <c r="A2715" s="1">
        <f>HYPERLINK("http://www.twitter.com/NathanBLawrence/status/997626169536204800", "997626169536204800")</f>
        <v/>
      </c>
      <c r="B2715" s="2" t="n">
        <v>43238.99523148148</v>
      </c>
      <c r="C2715" t="n">
        <v>0</v>
      </c>
      <c r="D2715" t="n">
        <v>0</v>
      </c>
      <c r="E2715" t="s">
        <v>2721</v>
      </c>
      <c r="F2715" t="s"/>
      <c r="G2715" t="s"/>
      <c r="H2715" t="s"/>
      <c r="I2715" t="s"/>
      <c r="J2715" t="n">
        <v>0.3612</v>
      </c>
      <c r="K2715" t="n">
        <v>0</v>
      </c>
      <c r="L2715" t="n">
        <v>0.8</v>
      </c>
      <c r="M2715" t="n">
        <v>0.2</v>
      </c>
    </row>
    <row r="2716" spans="1:13">
      <c r="A2716" s="1">
        <f>HYPERLINK("http://www.twitter.com/NathanBLawrence/status/997625944687955968", "997625944687955968")</f>
        <v/>
      </c>
      <c r="B2716" s="2" t="n">
        <v>43238.99460648148</v>
      </c>
      <c r="C2716" t="n">
        <v>0</v>
      </c>
      <c r="D2716" t="n">
        <v>1</v>
      </c>
      <c r="E2716" t="s">
        <v>2722</v>
      </c>
      <c r="F2716" t="s"/>
      <c r="G2716" t="s"/>
      <c r="H2716" t="s"/>
      <c r="I2716" t="s"/>
      <c r="J2716" t="n">
        <v>0.3612</v>
      </c>
      <c r="K2716" t="n">
        <v>0</v>
      </c>
      <c r="L2716" t="n">
        <v>0.894</v>
      </c>
      <c r="M2716" t="n">
        <v>0.106</v>
      </c>
    </row>
    <row r="2717" spans="1:13">
      <c r="A2717" s="1">
        <f>HYPERLINK("http://www.twitter.com/NathanBLawrence/status/997624696249176064", "997624696249176064")</f>
        <v/>
      </c>
      <c r="B2717" s="2" t="n">
        <v>43238.99116898148</v>
      </c>
      <c r="C2717" t="n">
        <v>0</v>
      </c>
      <c r="D2717" t="n">
        <v>15</v>
      </c>
      <c r="E2717" t="s">
        <v>2723</v>
      </c>
      <c r="F2717" t="s"/>
      <c r="G2717" t="s"/>
      <c r="H2717" t="s"/>
      <c r="I2717" t="s"/>
      <c r="J2717" t="n">
        <v>0</v>
      </c>
      <c r="K2717" t="n">
        <v>0</v>
      </c>
      <c r="L2717" t="n">
        <v>1</v>
      </c>
      <c r="M2717" t="n">
        <v>0</v>
      </c>
    </row>
    <row r="2718" spans="1:13">
      <c r="A2718" s="1">
        <f>HYPERLINK("http://www.twitter.com/NathanBLawrence/status/997624622509150208", "997624622509150208")</f>
        <v/>
      </c>
      <c r="B2718" s="2" t="n">
        <v>43238.99096064815</v>
      </c>
      <c r="C2718" t="n">
        <v>0</v>
      </c>
      <c r="D2718" t="n">
        <v>21</v>
      </c>
      <c r="E2718" t="s">
        <v>2724</v>
      </c>
      <c r="F2718" t="s"/>
      <c r="G2718" t="s"/>
      <c r="H2718" t="s"/>
      <c r="I2718" t="s"/>
      <c r="J2718" t="n">
        <v>-0.3818</v>
      </c>
      <c r="K2718" t="n">
        <v>0.133</v>
      </c>
      <c r="L2718" t="n">
        <v>0.867</v>
      </c>
      <c r="M2718" t="n">
        <v>0</v>
      </c>
    </row>
    <row r="2719" spans="1:13">
      <c r="A2719" s="1">
        <f>HYPERLINK("http://www.twitter.com/NathanBLawrence/status/997624549456924674", "997624549456924674")</f>
        <v/>
      </c>
      <c r="B2719" s="2" t="n">
        <v>43238.99076388889</v>
      </c>
      <c r="C2719" t="n">
        <v>0</v>
      </c>
      <c r="D2719" t="n">
        <v>3</v>
      </c>
      <c r="E2719" t="s">
        <v>2725</v>
      </c>
      <c r="F2719" t="s"/>
      <c r="G2719" t="s"/>
      <c r="H2719" t="s"/>
      <c r="I2719" t="s"/>
      <c r="J2719" t="n">
        <v>-0.4404</v>
      </c>
      <c r="K2719" t="n">
        <v>0.146</v>
      </c>
      <c r="L2719" t="n">
        <v>0.854</v>
      </c>
      <c r="M2719" t="n">
        <v>0</v>
      </c>
    </row>
    <row r="2720" spans="1:13">
      <c r="A2720" s="1">
        <f>HYPERLINK("http://www.twitter.com/NathanBLawrence/status/997624217586819072", "997624217586819072")</f>
        <v/>
      </c>
      <c r="B2720" s="2" t="n">
        <v>43238.98984953704</v>
      </c>
      <c r="C2720" t="n">
        <v>0</v>
      </c>
      <c r="D2720" t="n">
        <v>438</v>
      </c>
      <c r="E2720" t="s">
        <v>2726</v>
      </c>
      <c r="F2720" t="s"/>
      <c r="G2720" t="s"/>
      <c r="H2720" t="s"/>
      <c r="I2720" t="s"/>
      <c r="J2720" t="n">
        <v>-0.2732</v>
      </c>
      <c r="K2720" t="n">
        <v>0.121</v>
      </c>
      <c r="L2720" t="n">
        <v>0.796</v>
      </c>
      <c r="M2720" t="n">
        <v>0.083</v>
      </c>
    </row>
    <row r="2721" spans="1:13">
      <c r="A2721" s="1">
        <f>HYPERLINK("http://www.twitter.com/NathanBLawrence/status/997624114092433408", "997624114092433408")</f>
        <v/>
      </c>
      <c r="B2721" s="2" t="n">
        <v>43238.98956018518</v>
      </c>
      <c r="C2721" t="n">
        <v>0</v>
      </c>
      <c r="D2721" t="n">
        <v>2887</v>
      </c>
      <c r="E2721" t="s">
        <v>2727</v>
      </c>
      <c r="F2721">
        <f>HYPERLINK("http://pbs.twimg.com/media/DdhCtdPW0AIoUPk.jpg", "http://pbs.twimg.com/media/DdhCtdPW0AIoUPk.jpg")</f>
        <v/>
      </c>
      <c r="G2721" t="s"/>
      <c r="H2721" t="s"/>
      <c r="I2721" t="s"/>
      <c r="J2721" t="n">
        <v>0.8016</v>
      </c>
      <c r="K2721" t="n">
        <v>0</v>
      </c>
      <c r="L2721" t="n">
        <v>0.613</v>
      </c>
      <c r="M2721" t="n">
        <v>0.387</v>
      </c>
    </row>
    <row r="2722" spans="1:13">
      <c r="A2722" s="1">
        <f>HYPERLINK("http://www.twitter.com/NathanBLawrence/status/997623823494270977", "997623823494270977")</f>
        <v/>
      </c>
      <c r="B2722" s="2" t="n">
        <v>43238.98876157407</v>
      </c>
      <c r="C2722" t="n">
        <v>0</v>
      </c>
      <c r="D2722" t="n">
        <v>4</v>
      </c>
      <c r="E2722" t="s">
        <v>2728</v>
      </c>
      <c r="F2722" t="s"/>
      <c r="G2722" t="s"/>
      <c r="H2722" t="s"/>
      <c r="I2722" t="s"/>
      <c r="J2722" t="n">
        <v>-0.5423</v>
      </c>
      <c r="K2722" t="n">
        <v>0.137</v>
      </c>
      <c r="L2722" t="n">
        <v>0.863</v>
      </c>
      <c r="M2722" t="n">
        <v>0</v>
      </c>
    </row>
    <row r="2723" spans="1:13">
      <c r="A2723" s="1">
        <f>HYPERLINK("http://www.twitter.com/NathanBLawrence/status/997623723011211267", "997623723011211267")</f>
        <v/>
      </c>
      <c r="B2723" s="2" t="n">
        <v>43238.9884837963</v>
      </c>
      <c r="C2723" t="n">
        <v>0</v>
      </c>
      <c r="D2723" t="n">
        <v>16</v>
      </c>
      <c r="E2723" t="s">
        <v>2729</v>
      </c>
      <c r="F2723" t="s"/>
      <c r="G2723" t="s"/>
      <c r="H2723" t="s"/>
      <c r="I2723" t="s"/>
      <c r="J2723" t="n">
        <v>0.25</v>
      </c>
      <c r="K2723" t="n">
        <v>0.08</v>
      </c>
      <c r="L2723" t="n">
        <v>0.803</v>
      </c>
      <c r="M2723" t="n">
        <v>0.117</v>
      </c>
    </row>
    <row r="2724" spans="1:13">
      <c r="A2724" s="1">
        <f>HYPERLINK("http://www.twitter.com/NathanBLawrence/status/997623540504518659", "997623540504518659")</f>
        <v/>
      </c>
      <c r="B2724" s="2" t="n">
        <v>43238.98797453703</v>
      </c>
      <c r="C2724" t="n">
        <v>0</v>
      </c>
      <c r="D2724" t="n">
        <v>2</v>
      </c>
      <c r="E2724" t="s">
        <v>2730</v>
      </c>
      <c r="F2724" t="s"/>
      <c r="G2724" t="s"/>
      <c r="H2724" t="s"/>
      <c r="I2724" t="s"/>
      <c r="J2724" t="n">
        <v>0.2973</v>
      </c>
      <c r="K2724" t="n">
        <v>0.045</v>
      </c>
      <c r="L2724" t="n">
        <v>0.864</v>
      </c>
      <c r="M2724" t="n">
        <v>0.09</v>
      </c>
    </row>
    <row r="2725" spans="1:13">
      <c r="A2725" s="1">
        <f>HYPERLINK("http://www.twitter.com/NathanBLawrence/status/997623247733706752", "997623247733706752")</f>
        <v/>
      </c>
      <c r="B2725" s="2" t="n">
        <v>43238.98716435185</v>
      </c>
      <c r="C2725" t="n">
        <v>0</v>
      </c>
      <c r="D2725" t="n">
        <v>19</v>
      </c>
      <c r="E2725" t="s">
        <v>2731</v>
      </c>
      <c r="F2725" t="s"/>
      <c r="G2725" t="s"/>
      <c r="H2725" t="s"/>
      <c r="I2725" t="s"/>
      <c r="J2725" t="n">
        <v>0.2244</v>
      </c>
      <c r="K2725" t="n">
        <v>0.117</v>
      </c>
      <c r="L2725" t="n">
        <v>0.733</v>
      </c>
      <c r="M2725" t="n">
        <v>0.15</v>
      </c>
    </row>
    <row r="2726" spans="1:13">
      <c r="A2726" s="1">
        <f>HYPERLINK("http://www.twitter.com/NathanBLawrence/status/997611722243493888", "997611722243493888")</f>
        <v/>
      </c>
      <c r="B2726" s="2" t="n">
        <v>43238.95535879629</v>
      </c>
      <c r="C2726" t="n">
        <v>1</v>
      </c>
      <c r="D2726" t="n">
        <v>0</v>
      </c>
      <c r="E2726" t="s">
        <v>2732</v>
      </c>
      <c r="F2726" t="s"/>
      <c r="G2726" t="s"/>
      <c r="H2726" t="s"/>
      <c r="I2726" t="s"/>
      <c r="J2726" t="n">
        <v>0.2714</v>
      </c>
      <c r="K2726" t="n">
        <v>0.12</v>
      </c>
      <c r="L2726" t="n">
        <v>0.678</v>
      </c>
      <c r="M2726" t="n">
        <v>0.203</v>
      </c>
    </row>
    <row r="2727" spans="1:13">
      <c r="A2727" s="1">
        <f>HYPERLINK("http://www.twitter.com/NathanBLawrence/status/997611284563742720", "997611284563742720")</f>
        <v/>
      </c>
      <c r="B2727" s="2" t="n">
        <v>43238.95415509259</v>
      </c>
      <c r="C2727" t="n">
        <v>0</v>
      </c>
      <c r="D2727" t="n">
        <v>107</v>
      </c>
      <c r="E2727" t="s">
        <v>2733</v>
      </c>
      <c r="F2727">
        <f>HYPERLINK("http://pbs.twimg.com/media/DdgnwPqXUAA9dkc.jpg", "http://pbs.twimg.com/media/DdgnwPqXUAA9dkc.jpg")</f>
        <v/>
      </c>
      <c r="G2727" t="s"/>
      <c r="H2727" t="s"/>
      <c r="I2727" t="s"/>
      <c r="J2727" t="n">
        <v>0</v>
      </c>
      <c r="K2727" t="n">
        <v>0</v>
      </c>
      <c r="L2727" t="n">
        <v>1</v>
      </c>
      <c r="M2727" t="n">
        <v>0</v>
      </c>
    </row>
    <row r="2728" spans="1:13">
      <c r="A2728" s="1">
        <f>HYPERLINK("http://www.twitter.com/NathanBLawrence/status/997611215697399808", "997611215697399808")</f>
        <v/>
      </c>
      <c r="B2728" s="2" t="n">
        <v>43238.95396990741</v>
      </c>
      <c r="C2728" t="n">
        <v>0</v>
      </c>
      <c r="D2728" t="n">
        <v>4</v>
      </c>
      <c r="E2728" t="s">
        <v>2734</v>
      </c>
      <c r="F2728" t="s"/>
      <c r="G2728" t="s"/>
      <c r="H2728" t="s"/>
      <c r="I2728" t="s"/>
      <c r="J2728" t="n">
        <v>0.7351</v>
      </c>
      <c r="K2728" t="n">
        <v>0</v>
      </c>
      <c r="L2728" t="n">
        <v>0.592</v>
      </c>
      <c r="M2728" t="n">
        <v>0.408</v>
      </c>
    </row>
    <row r="2729" spans="1:13">
      <c r="A2729" s="1">
        <f>HYPERLINK("http://www.twitter.com/NathanBLawrence/status/997610240039366656", "997610240039366656")</f>
        <v/>
      </c>
      <c r="B2729" s="2" t="n">
        <v>43238.95127314814</v>
      </c>
      <c r="C2729" t="n">
        <v>0</v>
      </c>
      <c r="D2729" t="n">
        <v>692</v>
      </c>
      <c r="E2729" t="s">
        <v>2735</v>
      </c>
      <c r="F2729" t="s"/>
      <c r="G2729" t="s"/>
      <c r="H2729" t="s"/>
      <c r="I2729" t="s"/>
      <c r="J2729" t="n">
        <v>0.4215</v>
      </c>
      <c r="K2729" t="n">
        <v>0</v>
      </c>
      <c r="L2729" t="n">
        <v>0.882</v>
      </c>
      <c r="M2729" t="n">
        <v>0.118</v>
      </c>
    </row>
    <row r="2730" spans="1:13">
      <c r="A2730" s="1">
        <f>HYPERLINK("http://www.twitter.com/NathanBLawrence/status/997610157575168000", "997610157575168000")</f>
        <v/>
      </c>
      <c r="B2730" s="2" t="n">
        <v>43238.95104166667</v>
      </c>
      <c r="C2730" t="n">
        <v>0</v>
      </c>
      <c r="D2730" t="n">
        <v>1385</v>
      </c>
      <c r="E2730" t="s">
        <v>2736</v>
      </c>
      <c r="F2730" t="s"/>
      <c r="G2730" t="s"/>
      <c r="H2730" t="s"/>
      <c r="I2730" t="s"/>
      <c r="J2730" t="n">
        <v>-0.34</v>
      </c>
      <c r="K2730" t="n">
        <v>0.112</v>
      </c>
      <c r="L2730" t="n">
        <v>0.888</v>
      </c>
      <c r="M2730" t="n">
        <v>0</v>
      </c>
    </row>
    <row r="2731" spans="1:13">
      <c r="A2731" s="1">
        <f>HYPERLINK("http://www.twitter.com/NathanBLawrence/status/997610002759241728", "997610002759241728")</f>
        <v/>
      </c>
      <c r="B2731" s="2" t="n">
        <v>43238.950625</v>
      </c>
      <c r="C2731" t="n">
        <v>0</v>
      </c>
      <c r="D2731" t="n">
        <v>9187</v>
      </c>
      <c r="E2731" t="s">
        <v>2737</v>
      </c>
      <c r="F2731" t="s"/>
      <c r="G2731" t="s"/>
      <c r="H2731" t="s"/>
      <c r="I2731" t="s"/>
      <c r="J2731" t="n">
        <v>0</v>
      </c>
      <c r="K2731" t="n">
        <v>0</v>
      </c>
      <c r="L2731" t="n">
        <v>1</v>
      </c>
      <c r="M2731" t="n">
        <v>0</v>
      </c>
    </row>
    <row r="2732" spans="1:13">
      <c r="A2732" s="1">
        <f>HYPERLINK("http://www.twitter.com/NathanBLawrence/status/997609974300921856", "997609974300921856")</f>
        <v/>
      </c>
      <c r="B2732" s="2" t="n">
        <v>43238.95054398148</v>
      </c>
      <c r="C2732" t="n">
        <v>0</v>
      </c>
      <c r="D2732" t="n">
        <v>579</v>
      </c>
      <c r="E2732" t="s">
        <v>2738</v>
      </c>
      <c r="F2732" t="s"/>
      <c r="G2732" t="s"/>
      <c r="H2732" t="s"/>
      <c r="I2732" t="s"/>
      <c r="J2732" t="n">
        <v>0</v>
      </c>
      <c r="K2732" t="n">
        <v>0</v>
      </c>
      <c r="L2732" t="n">
        <v>1</v>
      </c>
      <c r="M2732" t="n">
        <v>0</v>
      </c>
    </row>
    <row r="2733" spans="1:13">
      <c r="A2733" s="1">
        <f>HYPERLINK("http://www.twitter.com/NathanBLawrence/status/997609776543657985", "997609776543657985")</f>
        <v/>
      </c>
      <c r="B2733" s="2" t="n">
        <v>43238.95</v>
      </c>
      <c r="C2733" t="n">
        <v>0</v>
      </c>
      <c r="D2733" t="n">
        <v>0</v>
      </c>
      <c r="E2733" t="s">
        <v>2739</v>
      </c>
      <c r="F2733" t="s"/>
      <c r="G2733" t="s"/>
      <c r="H2733" t="s"/>
      <c r="I2733" t="s"/>
      <c r="J2733" t="n">
        <v>0</v>
      </c>
      <c r="K2733" t="n">
        <v>0</v>
      </c>
      <c r="L2733" t="n">
        <v>1</v>
      </c>
      <c r="M2733" t="n">
        <v>0</v>
      </c>
    </row>
    <row r="2734" spans="1:13">
      <c r="A2734" s="1">
        <f>HYPERLINK("http://www.twitter.com/NathanBLawrence/status/997608856132964352", "997608856132964352")</f>
        <v/>
      </c>
      <c r="B2734" s="2" t="n">
        <v>43238.9474537037</v>
      </c>
      <c r="C2734" t="n">
        <v>0</v>
      </c>
      <c r="D2734" t="n">
        <v>1971</v>
      </c>
      <c r="E2734" t="s">
        <v>2740</v>
      </c>
      <c r="F2734" t="s"/>
      <c r="G2734" t="s"/>
      <c r="H2734" t="s"/>
      <c r="I2734" t="s"/>
      <c r="J2734" t="n">
        <v>-0.5904</v>
      </c>
      <c r="K2734" t="n">
        <v>0.221</v>
      </c>
      <c r="L2734" t="n">
        <v>0.779</v>
      </c>
      <c r="M2734" t="n">
        <v>0</v>
      </c>
    </row>
    <row r="2735" spans="1:13">
      <c r="A2735" s="1">
        <f>HYPERLINK("http://www.twitter.com/NathanBLawrence/status/997608824373641216", "997608824373641216")</f>
        <v/>
      </c>
      <c r="B2735" s="2" t="n">
        <v>43238.94737268519</v>
      </c>
      <c r="C2735" t="n">
        <v>0</v>
      </c>
      <c r="D2735" t="n">
        <v>162</v>
      </c>
      <c r="E2735" t="s">
        <v>2741</v>
      </c>
      <c r="F2735" t="s"/>
      <c r="G2735" t="s"/>
      <c r="H2735" t="s"/>
      <c r="I2735" t="s"/>
      <c r="J2735" t="n">
        <v>0</v>
      </c>
      <c r="K2735" t="n">
        <v>0</v>
      </c>
      <c r="L2735" t="n">
        <v>1</v>
      </c>
      <c r="M2735" t="n">
        <v>0</v>
      </c>
    </row>
    <row r="2736" spans="1:13">
      <c r="A2736" s="1">
        <f>HYPERLINK("http://www.twitter.com/NathanBLawrence/status/997608792924786688", "997608792924786688")</f>
        <v/>
      </c>
      <c r="B2736" s="2" t="n">
        <v>43238.94728009259</v>
      </c>
      <c r="C2736" t="n">
        <v>0</v>
      </c>
      <c r="D2736" t="n">
        <v>403</v>
      </c>
      <c r="E2736" t="s">
        <v>2742</v>
      </c>
      <c r="F2736" t="s"/>
      <c r="G2736" t="s"/>
      <c r="H2736" t="s"/>
      <c r="I2736" t="s"/>
      <c r="J2736" t="n">
        <v>-0.4767</v>
      </c>
      <c r="K2736" t="n">
        <v>0.171</v>
      </c>
      <c r="L2736" t="n">
        <v>0.829</v>
      </c>
      <c r="M2736" t="n">
        <v>0</v>
      </c>
    </row>
    <row r="2737" spans="1:13">
      <c r="A2737" s="1">
        <f>HYPERLINK("http://www.twitter.com/NathanBLawrence/status/997608677627613184", "997608677627613184")</f>
        <v/>
      </c>
      <c r="B2737" s="2" t="n">
        <v>43238.94696759259</v>
      </c>
      <c r="C2737" t="n">
        <v>0</v>
      </c>
      <c r="D2737" t="n">
        <v>1812</v>
      </c>
      <c r="E2737" t="s">
        <v>2743</v>
      </c>
      <c r="F2737" t="s"/>
      <c r="G2737" t="s"/>
      <c r="H2737" t="s"/>
      <c r="I2737" t="s"/>
      <c r="J2737" t="n">
        <v>0.2584</v>
      </c>
      <c r="K2737" t="n">
        <v>0</v>
      </c>
      <c r="L2737" t="n">
        <v>0.915</v>
      </c>
      <c r="M2737" t="n">
        <v>0.08500000000000001</v>
      </c>
    </row>
    <row r="2738" spans="1:13">
      <c r="A2738" s="1">
        <f>HYPERLINK("http://www.twitter.com/NathanBLawrence/status/997608580814704640", "997608580814704640")</f>
        <v/>
      </c>
      <c r="B2738" s="2" t="n">
        <v>43238.94668981482</v>
      </c>
      <c r="C2738" t="n">
        <v>0</v>
      </c>
      <c r="D2738" t="n">
        <v>7167</v>
      </c>
      <c r="E2738" t="s">
        <v>2744</v>
      </c>
      <c r="F2738" t="s"/>
      <c r="G2738" t="s"/>
      <c r="H2738" t="s"/>
      <c r="I2738" t="s"/>
      <c r="J2738" t="n">
        <v>-0.4019</v>
      </c>
      <c r="K2738" t="n">
        <v>0.153</v>
      </c>
      <c r="L2738" t="n">
        <v>0.847</v>
      </c>
      <c r="M2738" t="n">
        <v>0</v>
      </c>
    </row>
    <row r="2739" spans="1:13">
      <c r="A2739" s="1">
        <f>HYPERLINK("http://www.twitter.com/NathanBLawrence/status/997608372303212547", "997608372303212547")</f>
        <v/>
      </c>
      <c r="B2739" s="2" t="n">
        <v>43238.94612268519</v>
      </c>
      <c r="C2739" t="n">
        <v>0</v>
      </c>
      <c r="D2739" t="n">
        <v>0</v>
      </c>
      <c r="E2739" t="s">
        <v>2745</v>
      </c>
      <c r="F2739" t="s"/>
      <c r="G2739" t="s"/>
      <c r="H2739" t="s"/>
      <c r="I2739" t="s"/>
      <c r="J2739" t="n">
        <v>0</v>
      </c>
      <c r="K2739" t="n">
        <v>0</v>
      </c>
      <c r="L2739" t="n">
        <v>1</v>
      </c>
      <c r="M2739" t="n">
        <v>0</v>
      </c>
    </row>
    <row r="2740" spans="1:13">
      <c r="A2740" s="1">
        <f>HYPERLINK("http://www.twitter.com/NathanBLawrence/status/997608089833689088", "997608089833689088")</f>
        <v/>
      </c>
      <c r="B2740" s="2" t="n">
        <v>43238.94533564815</v>
      </c>
      <c r="C2740" t="n">
        <v>0</v>
      </c>
      <c r="D2740" t="n">
        <v>0</v>
      </c>
      <c r="E2740" t="s">
        <v>2746</v>
      </c>
      <c r="F2740" t="s"/>
      <c r="G2740" t="s"/>
      <c r="H2740" t="s"/>
      <c r="I2740" t="s"/>
      <c r="J2740" t="n">
        <v>-0.1962</v>
      </c>
      <c r="K2740" t="n">
        <v>0.192</v>
      </c>
      <c r="L2740" t="n">
        <v>0.668</v>
      </c>
      <c r="M2740" t="n">
        <v>0.14</v>
      </c>
    </row>
    <row r="2741" spans="1:13">
      <c r="A2741" s="1">
        <f>HYPERLINK("http://www.twitter.com/NathanBLawrence/status/997607849646804994", "997607849646804994")</f>
        <v/>
      </c>
      <c r="B2741" s="2" t="n">
        <v>43238.94467592592</v>
      </c>
      <c r="C2741" t="n">
        <v>0</v>
      </c>
      <c r="D2741" t="n">
        <v>47</v>
      </c>
      <c r="E2741" t="s">
        <v>2747</v>
      </c>
      <c r="F2741" t="s"/>
      <c r="G2741" t="s"/>
      <c r="H2741" t="s"/>
      <c r="I2741" t="s"/>
      <c r="J2741" t="n">
        <v>-0.3818</v>
      </c>
      <c r="K2741" t="n">
        <v>0.162</v>
      </c>
      <c r="L2741" t="n">
        <v>0.699</v>
      </c>
      <c r="M2741" t="n">
        <v>0.14</v>
      </c>
    </row>
    <row r="2742" spans="1:13">
      <c r="A2742" s="1">
        <f>HYPERLINK("http://www.twitter.com/NathanBLawrence/status/997607784177860608", "997607784177860608")</f>
        <v/>
      </c>
      <c r="B2742" s="2" t="n">
        <v>43238.94450231481</v>
      </c>
      <c r="C2742" t="n">
        <v>0</v>
      </c>
      <c r="D2742" t="n">
        <v>88</v>
      </c>
      <c r="E2742" t="s">
        <v>2748</v>
      </c>
      <c r="F2742">
        <f>HYPERLINK("http://pbs.twimg.com/media/DV68vHdW0AAendV.jpg", "http://pbs.twimg.com/media/DV68vHdW0AAendV.jpg")</f>
        <v/>
      </c>
      <c r="G2742" t="s"/>
      <c r="H2742" t="s"/>
      <c r="I2742" t="s"/>
      <c r="J2742" t="n">
        <v>0.8658</v>
      </c>
      <c r="K2742" t="n">
        <v>0.13</v>
      </c>
      <c r="L2742" t="n">
        <v>0.432</v>
      </c>
      <c r="M2742" t="n">
        <v>0.438</v>
      </c>
    </row>
    <row r="2743" spans="1:13">
      <c r="A2743" s="1">
        <f>HYPERLINK("http://www.twitter.com/NathanBLawrence/status/997607268282748928", "997607268282748928")</f>
        <v/>
      </c>
      <c r="B2743" s="2" t="n">
        <v>43238.94307870371</v>
      </c>
      <c r="C2743" t="n">
        <v>0</v>
      </c>
      <c r="D2743" t="n">
        <v>486</v>
      </c>
      <c r="E2743" t="s">
        <v>2749</v>
      </c>
      <c r="F2743" t="s"/>
      <c r="G2743" t="s"/>
      <c r="H2743" t="s"/>
      <c r="I2743" t="s"/>
      <c r="J2743" t="n">
        <v>0.6597</v>
      </c>
      <c r="K2743" t="n">
        <v>0</v>
      </c>
      <c r="L2743" t="n">
        <v>0.822</v>
      </c>
      <c r="M2743" t="n">
        <v>0.178</v>
      </c>
    </row>
    <row r="2744" spans="1:13">
      <c r="A2744" s="1">
        <f>HYPERLINK("http://www.twitter.com/NathanBLawrence/status/997607086853849088", "997607086853849088")</f>
        <v/>
      </c>
      <c r="B2744" s="2" t="n">
        <v>43238.94256944444</v>
      </c>
      <c r="C2744" t="n">
        <v>0</v>
      </c>
      <c r="D2744" t="n">
        <v>29</v>
      </c>
      <c r="E2744" t="s">
        <v>2750</v>
      </c>
      <c r="F2744" t="s"/>
      <c r="G2744" t="s"/>
      <c r="H2744" t="s"/>
      <c r="I2744" t="s"/>
      <c r="J2744" t="n">
        <v>0.4391</v>
      </c>
      <c r="K2744" t="n">
        <v>0.08599999999999999</v>
      </c>
      <c r="L2744" t="n">
        <v>0.735</v>
      </c>
      <c r="M2744" t="n">
        <v>0.179</v>
      </c>
    </row>
    <row r="2745" spans="1:13">
      <c r="A2745" s="1">
        <f>HYPERLINK("http://www.twitter.com/NathanBLawrence/status/997606859023450113", "997606859023450113")</f>
        <v/>
      </c>
      <c r="B2745" s="2" t="n">
        <v>43238.94194444444</v>
      </c>
      <c r="C2745" t="n">
        <v>1</v>
      </c>
      <c r="D2745" t="n">
        <v>0</v>
      </c>
      <c r="E2745" t="s">
        <v>2751</v>
      </c>
      <c r="F2745" t="s"/>
      <c r="G2745" t="s"/>
      <c r="H2745" t="s"/>
      <c r="I2745" t="s"/>
      <c r="J2745" t="n">
        <v>0</v>
      </c>
      <c r="K2745" t="n">
        <v>0</v>
      </c>
      <c r="L2745" t="n">
        <v>1</v>
      </c>
      <c r="M2745" t="n">
        <v>0</v>
      </c>
    </row>
    <row r="2746" spans="1:13">
      <c r="A2746" s="1">
        <f>HYPERLINK("http://www.twitter.com/NathanBLawrence/status/997606504290181121", "997606504290181121")</f>
        <v/>
      </c>
      <c r="B2746" s="2" t="n">
        <v>43238.94096064815</v>
      </c>
      <c r="C2746" t="n">
        <v>1</v>
      </c>
      <c r="D2746" t="n">
        <v>2</v>
      </c>
      <c r="E2746" t="s">
        <v>2752</v>
      </c>
      <c r="F2746" t="s"/>
      <c r="G2746" t="s"/>
      <c r="H2746" t="s"/>
      <c r="I2746" t="s"/>
      <c r="J2746" t="n">
        <v>-0.1531</v>
      </c>
      <c r="K2746" t="n">
        <v>0.17</v>
      </c>
      <c r="L2746" t="n">
        <v>0.6909999999999999</v>
      </c>
      <c r="M2746" t="n">
        <v>0.138</v>
      </c>
    </row>
    <row r="2747" spans="1:13">
      <c r="A2747" s="1">
        <f>HYPERLINK("http://www.twitter.com/NathanBLawrence/status/997606224949596160", "997606224949596160")</f>
        <v/>
      </c>
      <c r="B2747" s="2" t="n">
        <v>43238.94019675926</v>
      </c>
      <c r="C2747" t="n">
        <v>0</v>
      </c>
      <c r="D2747" t="n">
        <v>1102</v>
      </c>
      <c r="E2747" t="s">
        <v>2753</v>
      </c>
      <c r="F2747" t="s"/>
      <c r="G2747" t="s"/>
      <c r="H2747" t="s"/>
      <c r="I2747" t="s"/>
      <c r="J2747" t="n">
        <v>0.7783</v>
      </c>
      <c r="K2747" t="n">
        <v>0</v>
      </c>
      <c r="L2747" t="n">
        <v>0.698</v>
      </c>
      <c r="M2747" t="n">
        <v>0.302</v>
      </c>
    </row>
    <row r="2748" spans="1:13">
      <c r="A2748" s="1">
        <f>HYPERLINK("http://www.twitter.com/NathanBLawrence/status/997606152799178752", "997606152799178752")</f>
        <v/>
      </c>
      <c r="B2748" s="2" t="n">
        <v>43238.94</v>
      </c>
      <c r="C2748" t="n">
        <v>0</v>
      </c>
      <c r="D2748" t="n">
        <v>1</v>
      </c>
      <c r="E2748" t="s">
        <v>2754</v>
      </c>
      <c r="F2748" t="s"/>
      <c r="G2748" t="s"/>
      <c r="H2748" t="s"/>
      <c r="I2748" t="s"/>
      <c r="J2748" t="n">
        <v>-0.0258</v>
      </c>
      <c r="K2748" t="n">
        <v>0.181</v>
      </c>
      <c r="L2748" t="n">
        <v>0.642</v>
      </c>
      <c r="M2748" t="n">
        <v>0.177</v>
      </c>
    </row>
    <row r="2749" spans="1:13">
      <c r="A2749" s="1">
        <f>HYPERLINK("http://www.twitter.com/NathanBLawrence/status/997606130884005888", "997606130884005888")</f>
        <v/>
      </c>
      <c r="B2749" s="2" t="n">
        <v>43238.93993055556</v>
      </c>
      <c r="C2749" t="n">
        <v>0</v>
      </c>
      <c r="D2749" t="n">
        <v>2</v>
      </c>
      <c r="E2749" t="s">
        <v>2755</v>
      </c>
      <c r="F2749" t="s"/>
      <c r="G2749" t="s"/>
      <c r="H2749" t="s"/>
      <c r="I2749" t="s"/>
      <c r="J2749" t="n">
        <v>0</v>
      </c>
      <c r="K2749" t="n">
        <v>0</v>
      </c>
      <c r="L2749" t="n">
        <v>1</v>
      </c>
      <c r="M2749" t="n">
        <v>0</v>
      </c>
    </row>
    <row r="2750" spans="1:13">
      <c r="A2750" s="1">
        <f>HYPERLINK("http://www.twitter.com/NathanBLawrence/status/997606075296813062", "997606075296813062")</f>
        <v/>
      </c>
      <c r="B2750" s="2" t="n">
        <v>43238.93978009259</v>
      </c>
      <c r="C2750" t="n">
        <v>0</v>
      </c>
      <c r="D2750" t="n">
        <v>0</v>
      </c>
      <c r="E2750" t="s">
        <v>2756</v>
      </c>
      <c r="F2750" t="s"/>
      <c r="G2750" t="s"/>
      <c r="H2750" t="s"/>
      <c r="I2750" t="s"/>
      <c r="J2750" t="n">
        <v>0</v>
      </c>
      <c r="K2750" t="n">
        <v>0</v>
      </c>
      <c r="L2750" t="n">
        <v>1</v>
      </c>
      <c r="M2750" t="n">
        <v>0</v>
      </c>
    </row>
    <row r="2751" spans="1:13">
      <c r="A2751" s="1">
        <f>HYPERLINK("http://www.twitter.com/NathanBLawrence/status/997605785801822208", "997605785801822208")</f>
        <v/>
      </c>
      <c r="B2751" s="2" t="n">
        <v>43238.93898148148</v>
      </c>
      <c r="C2751" t="n">
        <v>0</v>
      </c>
      <c r="D2751" t="n">
        <v>423</v>
      </c>
      <c r="E2751" t="s">
        <v>2757</v>
      </c>
      <c r="F2751">
        <f>HYPERLINK("http://pbs.twimg.com/media/DdfdStJVAAASPwC.jpg", "http://pbs.twimg.com/media/DdfdStJVAAASPwC.jpg")</f>
        <v/>
      </c>
      <c r="G2751" t="s"/>
      <c r="H2751" t="s"/>
      <c r="I2751" t="s"/>
      <c r="J2751" t="n">
        <v>-0.128</v>
      </c>
      <c r="K2751" t="n">
        <v>0.166</v>
      </c>
      <c r="L2751" t="n">
        <v>0.722</v>
      </c>
      <c r="M2751" t="n">
        <v>0.112</v>
      </c>
    </row>
    <row r="2752" spans="1:13">
      <c r="A2752" s="1">
        <f>HYPERLINK("http://www.twitter.com/NathanBLawrence/status/997605688116436992", "997605688116436992")</f>
        <v/>
      </c>
      <c r="B2752" s="2" t="n">
        <v>43238.93871527778</v>
      </c>
      <c r="C2752" t="n">
        <v>0</v>
      </c>
      <c r="D2752" t="n">
        <v>1</v>
      </c>
      <c r="E2752" t="s">
        <v>2758</v>
      </c>
      <c r="F2752" t="s"/>
      <c r="G2752" t="s"/>
      <c r="H2752" t="s"/>
      <c r="I2752" t="s"/>
      <c r="J2752" t="n">
        <v>0.5106000000000001</v>
      </c>
      <c r="K2752" t="n">
        <v>0</v>
      </c>
      <c r="L2752" t="n">
        <v>0.875</v>
      </c>
      <c r="M2752" t="n">
        <v>0.125</v>
      </c>
    </row>
    <row r="2753" spans="1:13">
      <c r="A2753" s="1">
        <f>HYPERLINK("http://www.twitter.com/NathanBLawrence/status/997605636484534273", "997605636484534273")</f>
        <v/>
      </c>
      <c r="B2753" s="2" t="n">
        <v>43238.93857638889</v>
      </c>
      <c r="C2753" t="n">
        <v>0</v>
      </c>
      <c r="D2753" t="n">
        <v>1</v>
      </c>
      <c r="E2753" t="s">
        <v>2759</v>
      </c>
      <c r="F2753" t="s"/>
      <c r="G2753" t="s"/>
      <c r="H2753" t="s"/>
      <c r="I2753" t="s"/>
      <c r="J2753" t="n">
        <v>0</v>
      </c>
      <c r="K2753" t="n">
        <v>0.094</v>
      </c>
      <c r="L2753" t="n">
        <v>0.8120000000000001</v>
      </c>
      <c r="M2753" t="n">
        <v>0.094</v>
      </c>
    </row>
    <row r="2754" spans="1:13">
      <c r="A2754" s="1">
        <f>HYPERLINK("http://www.twitter.com/NathanBLawrence/status/997605551491244032", "997605551491244032")</f>
        <v/>
      </c>
      <c r="B2754" s="2" t="n">
        <v>43238.93833333333</v>
      </c>
      <c r="C2754" t="n">
        <v>0</v>
      </c>
      <c r="D2754" t="n">
        <v>1</v>
      </c>
      <c r="E2754" t="s">
        <v>2760</v>
      </c>
      <c r="F2754" t="s"/>
      <c r="G2754" t="s"/>
      <c r="H2754" t="s"/>
      <c r="I2754" t="s"/>
      <c r="J2754" t="n">
        <v>-0.8300999999999999</v>
      </c>
      <c r="K2754" t="n">
        <v>0.27</v>
      </c>
      <c r="L2754" t="n">
        <v>0.73</v>
      </c>
      <c r="M2754" t="n">
        <v>0</v>
      </c>
    </row>
    <row r="2755" spans="1:13">
      <c r="A2755" s="1">
        <f>HYPERLINK("http://www.twitter.com/NathanBLawrence/status/997605518020677632", "997605518020677632")</f>
        <v/>
      </c>
      <c r="B2755" s="2" t="n">
        <v>43238.93824074074</v>
      </c>
      <c r="C2755" t="n">
        <v>0</v>
      </c>
      <c r="D2755" t="n">
        <v>1</v>
      </c>
      <c r="E2755" t="s">
        <v>2761</v>
      </c>
      <c r="F2755" t="s"/>
      <c r="G2755" t="s"/>
      <c r="H2755" t="s"/>
      <c r="I2755" t="s"/>
      <c r="J2755" t="n">
        <v>0</v>
      </c>
      <c r="K2755" t="n">
        <v>0</v>
      </c>
      <c r="L2755" t="n">
        <v>1</v>
      </c>
      <c r="M2755" t="n">
        <v>0</v>
      </c>
    </row>
    <row r="2756" spans="1:13">
      <c r="A2756" s="1">
        <f>HYPERLINK("http://www.twitter.com/NathanBLawrence/status/997605416073822209", "997605416073822209")</f>
        <v/>
      </c>
      <c r="B2756" s="2" t="n">
        <v>43238.93796296296</v>
      </c>
      <c r="C2756" t="n">
        <v>0</v>
      </c>
      <c r="D2756" t="n">
        <v>579</v>
      </c>
      <c r="E2756" t="s">
        <v>2762</v>
      </c>
      <c r="F2756" t="s"/>
      <c r="G2756" t="s"/>
      <c r="H2756" t="s"/>
      <c r="I2756" t="s"/>
      <c r="J2756" t="n">
        <v>-0.5719</v>
      </c>
      <c r="K2756" t="n">
        <v>0.176</v>
      </c>
      <c r="L2756" t="n">
        <v>0.824</v>
      </c>
      <c r="M2756" t="n">
        <v>0</v>
      </c>
    </row>
    <row r="2757" spans="1:13">
      <c r="A2757" s="1">
        <f>HYPERLINK("http://www.twitter.com/NathanBLawrence/status/997605391096864770", "997605391096864770")</f>
        <v/>
      </c>
      <c r="B2757" s="2" t="n">
        <v>43238.93789351852</v>
      </c>
      <c r="C2757" t="n">
        <v>0</v>
      </c>
      <c r="D2757" t="n">
        <v>1290</v>
      </c>
      <c r="E2757" t="s">
        <v>2763</v>
      </c>
      <c r="F2757" t="s"/>
      <c r="G2757" t="s"/>
      <c r="H2757" t="s"/>
      <c r="I2757" t="s"/>
      <c r="J2757" t="n">
        <v>-0.5988</v>
      </c>
      <c r="K2757" t="n">
        <v>0.228</v>
      </c>
      <c r="L2757" t="n">
        <v>0.772</v>
      </c>
      <c r="M2757" t="n">
        <v>0</v>
      </c>
    </row>
    <row r="2758" spans="1:13">
      <c r="A2758" s="1">
        <f>HYPERLINK("http://www.twitter.com/NathanBLawrence/status/997605314957598725", "997605314957598725")</f>
        <v/>
      </c>
      <c r="B2758" s="2" t="n">
        <v>43238.93768518518</v>
      </c>
      <c r="C2758" t="n">
        <v>0</v>
      </c>
      <c r="D2758" t="n">
        <v>1505</v>
      </c>
      <c r="E2758" t="s">
        <v>2764</v>
      </c>
      <c r="F2758" t="s"/>
      <c r="G2758" t="s"/>
      <c r="H2758" t="s"/>
      <c r="I2758" t="s"/>
      <c r="J2758" t="n">
        <v>-0.34</v>
      </c>
      <c r="K2758" t="n">
        <v>0.091</v>
      </c>
      <c r="L2758" t="n">
        <v>0.909</v>
      </c>
      <c r="M2758" t="n">
        <v>0</v>
      </c>
    </row>
    <row r="2759" spans="1:13">
      <c r="A2759" s="1">
        <f>HYPERLINK("http://www.twitter.com/NathanBLawrence/status/997604957653229569", "997604957653229569")</f>
        <v/>
      </c>
      <c r="B2759" s="2" t="n">
        <v>43238.93670138889</v>
      </c>
      <c r="C2759" t="n">
        <v>0</v>
      </c>
      <c r="D2759" t="n">
        <v>0</v>
      </c>
      <c r="E2759" t="s">
        <v>2765</v>
      </c>
      <c r="F2759" t="s"/>
      <c r="G2759" t="s"/>
      <c r="H2759" t="s"/>
      <c r="I2759" t="s"/>
      <c r="J2759" t="n">
        <v>-0.6841</v>
      </c>
      <c r="K2759" t="n">
        <v>0.195</v>
      </c>
      <c r="L2759" t="n">
        <v>0.742</v>
      </c>
      <c r="M2759" t="n">
        <v>0.062</v>
      </c>
    </row>
    <row r="2760" spans="1:13">
      <c r="A2760" s="1">
        <f>HYPERLINK("http://www.twitter.com/NathanBLawrence/status/997601512439406592", "997601512439406592")</f>
        <v/>
      </c>
      <c r="B2760" s="2" t="n">
        <v>43238.9271875</v>
      </c>
      <c r="C2760" t="n">
        <v>1</v>
      </c>
      <c r="D2760" t="n">
        <v>1</v>
      </c>
      <c r="E2760" t="s">
        <v>2766</v>
      </c>
      <c r="F2760" t="s"/>
      <c r="G2760" t="s"/>
      <c r="H2760" t="s"/>
      <c r="I2760" t="s"/>
      <c r="J2760" t="n">
        <v>0.3595</v>
      </c>
      <c r="K2760" t="n">
        <v>0</v>
      </c>
      <c r="L2760" t="n">
        <v>0.878</v>
      </c>
      <c r="M2760" t="n">
        <v>0.122</v>
      </c>
    </row>
    <row r="2761" spans="1:13">
      <c r="A2761" s="1">
        <f>HYPERLINK("http://www.twitter.com/NathanBLawrence/status/997600713470603264", "997600713470603264")</f>
        <v/>
      </c>
      <c r="B2761" s="2" t="n">
        <v>43238.92498842593</v>
      </c>
      <c r="C2761" t="n">
        <v>0</v>
      </c>
      <c r="D2761" t="n">
        <v>162</v>
      </c>
      <c r="E2761" t="s">
        <v>2767</v>
      </c>
      <c r="F2761" t="s"/>
      <c r="G2761" t="s"/>
      <c r="H2761" t="s"/>
      <c r="I2761" t="s"/>
      <c r="J2761" t="n">
        <v>0</v>
      </c>
      <c r="K2761" t="n">
        <v>0</v>
      </c>
      <c r="L2761" t="n">
        <v>1</v>
      </c>
      <c r="M2761" t="n">
        <v>0</v>
      </c>
    </row>
    <row r="2762" spans="1:13">
      <c r="A2762" s="1">
        <f>HYPERLINK("http://www.twitter.com/NathanBLawrence/status/997600484746817536", "997600484746817536")</f>
        <v/>
      </c>
      <c r="B2762" s="2" t="n">
        <v>43238.92435185185</v>
      </c>
      <c r="C2762" t="n">
        <v>1</v>
      </c>
      <c r="D2762" t="n">
        <v>0</v>
      </c>
      <c r="E2762" t="s">
        <v>2768</v>
      </c>
      <c r="F2762">
        <f>HYPERLINK("http://pbs.twimg.com/media/DdgwVnLU0AAPX9F.jpg", "http://pbs.twimg.com/media/DdgwVnLU0AAPX9F.jpg")</f>
        <v/>
      </c>
      <c r="G2762" t="s"/>
      <c r="H2762" t="s"/>
      <c r="I2762" t="s"/>
      <c r="J2762" t="n">
        <v>0.872</v>
      </c>
      <c r="K2762" t="n">
        <v>0.029</v>
      </c>
      <c r="L2762" t="n">
        <v>0.719</v>
      </c>
      <c r="M2762" t="n">
        <v>0.252</v>
      </c>
    </row>
    <row r="2763" spans="1:13">
      <c r="A2763" s="1">
        <f>HYPERLINK("http://www.twitter.com/NathanBLawrence/status/997599596204478496", "997599596204478496")</f>
        <v/>
      </c>
      <c r="B2763" s="2" t="n">
        <v>43238.92189814815</v>
      </c>
      <c r="C2763" t="n">
        <v>0</v>
      </c>
      <c r="D2763" t="n">
        <v>4397</v>
      </c>
      <c r="E2763" t="s">
        <v>2769</v>
      </c>
      <c r="F2763" t="s"/>
      <c r="G2763" t="s"/>
      <c r="H2763" t="s"/>
      <c r="I2763" t="s"/>
      <c r="J2763" t="n">
        <v>-0.1045</v>
      </c>
      <c r="K2763" t="n">
        <v>0.106</v>
      </c>
      <c r="L2763" t="n">
        <v>0.805</v>
      </c>
      <c r="M2763" t="n">
        <v>0.089</v>
      </c>
    </row>
    <row r="2764" spans="1:13">
      <c r="A2764" s="1">
        <f>HYPERLINK("http://www.twitter.com/NathanBLawrence/status/997599547911278593", "997599547911278593")</f>
        <v/>
      </c>
      <c r="B2764" s="2" t="n">
        <v>43238.92177083333</v>
      </c>
      <c r="C2764" t="n">
        <v>0</v>
      </c>
      <c r="D2764" t="n">
        <v>508</v>
      </c>
      <c r="E2764" t="s">
        <v>2770</v>
      </c>
      <c r="F2764" t="s"/>
      <c r="G2764" t="s"/>
      <c r="H2764" t="s"/>
      <c r="I2764" t="s"/>
      <c r="J2764" t="n">
        <v>-0.8917</v>
      </c>
      <c r="K2764" t="n">
        <v>0.371</v>
      </c>
      <c r="L2764" t="n">
        <v>0.629</v>
      </c>
      <c r="M2764" t="n">
        <v>0</v>
      </c>
    </row>
    <row r="2765" spans="1:13">
      <c r="A2765" s="1">
        <f>HYPERLINK("http://www.twitter.com/NathanBLawrence/status/997599501362843649", "997599501362843649")</f>
        <v/>
      </c>
      <c r="B2765" s="2" t="n">
        <v>43238.92164351852</v>
      </c>
      <c r="C2765" t="n">
        <v>0</v>
      </c>
      <c r="D2765" t="n">
        <v>44</v>
      </c>
      <c r="E2765" t="s">
        <v>2771</v>
      </c>
      <c r="F2765">
        <f>HYPERLINK("http://pbs.twimg.com/media/DdgqsSeVMAAE7rB.jpg", "http://pbs.twimg.com/media/DdgqsSeVMAAE7rB.jpg")</f>
        <v/>
      </c>
      <c r="G2765" t="s"/>
      <c r="H2765" t="s"/>
      <c r="I2765" t="s"/>
      <c r="J2765" t="n">
        <v>-0.1007</v>
      </c>
      <c r="K2765" t="n">
        <v>0.157</v>
      </c>
      <c r="L2765" t="n">
        <v>0.707</v>
      </c>
      <c r="M2765" t="n">
        <v>0.136</v>
      </c>
    </row>
    <row r="2766" spans="1:13">
      <c r="A2766" s="1">
        <f>HYPERLINK("http://www.twitter.com/NathanBLawrence/status/997599478893903874", "997599478893903874")</f>
        <v/>
      </c>
      <c r="B2766" s="2" t="n">
        <v>43238.92157407408</v>
      </c>
      <c r="C2766" t="n">
        <v>0</v>
      </c>
      <c r="D2766" t="n">
        <v>36</v>
      </c>
      <c r="E2766" t="s">
        <v>2772</v>
      </c>
      <c r="F2766" t="s"/>
      <c r="G2766" t="s"/>
      <c r="H2766" t="s"/>
      <c r="I2766" t="s"/>
      <c r="J2766" t="n">
        <v>-0.296</v>
      </c>
      <c r="K2766" t="n">
        <v>0.18</v>
      </c>
      <c r="L2766" t="n">
        <v>0.82</v>
      </c>
      <c r="M2766" t="n">
        <v>0</v>
      </c>
    </row>
    <row r="2767" spans="1:13">
      <c r="A2767" s="1">
        <f>HYPERLINK("http://www.twitter.com/NathanBLawrence/status/997599072331751427", "997599072331751427")</f>
        <v/>
      </c>
      <c r="B2767" s="2" t="n">
        <v>43238.92045138889</v>
      </c>
      <c r="C2767" t="n">
        <v>0</v>
      </c>
      <c r="D2767" t="n">
        <v>2637</v>
      </c>
      <c r="E2767" t="s">
        <v>2773</v>
      </c>
      <c r="F2767" t="s"/>
      <c r="G2767" t="s"/>
      <c r="H2767" t="s"/>
      <c r="I2767" t="s"/>
      <c r="J2767" t="n">
        <v>-0.5457</v>
      </c>
      <c r="K2767" t="n">
        <v>0.177</v>
      </c>
      <c r="L2767" t="n">
        <v>0.823</v>
      </c>
      <c r="M2767" t="n">
        <v>0</v>
      </c>
    </row>
    <row r="2768" spans="1:13">
      <c r="A2768" s="1">
        <f>HYPERLINK("http://www.twitter.com/NathanBLawrence/status/997598968577232917", "997598968577232917")</f>
        <v/>
      </c>
      <c r="B2768" s="2" t="n">
        <v>43238.92017361111</v>
      </c>
      <c r="C2768" t="n">
        <v>0</v>
      </c>
      <c r="D2768" t="n">
        <v>316</v>
      </c>
      <c r="E2768" t="s">
        <v>2774</v>
      </c>
      <c r="F2768">
        <f>HYPERLINK("http://pbs.twimg.com/media/DdgeHFiWkAAPWTR.jpg", "http://pbs.twimg.com/media/DdgeHFiWkAAPWTR.jpg")</f>
        <v/>
      </c>
      <c r="G2768" t="s"/>
      <c r="H2768" t="s"/>
      <c r="I2768" t="s"/>
      <c r="J2768" t="n">
        <v>-0.9246</v>
      </c>
      <c r="K2768" t="n">
        <v>0.474</v>
      </c>
      <c r="L2768" t="n">
        <v>0.526</v>
      </c>
      <c r="M2768" t="n">
        <v>0</v>
      </c>
    </row>
    <row r="2769" spans="1:13">
      <c r="A2769" s="1">
        <f>HYPERLINK("http://www.twitter.com/NathanBLawrence/status/997598357722935297", "997598357722935297")</f>
        <v/>
      </c>
      <c r="B2769" s="2" t="n">
        <v>43238.9184837963</v>
      </c>
      <c r="C2769" t="n">
        <v>0</v>
      </c>
      <c r="D2769" t="n">
        <v>230</v>
      </c>
      <c r="E2769" t="s">
        <v>2775</v>
      </c>
      <c r="F2769" t="s"/>
      <c r="G2769" t="s"/>
      <c r="H2769" t="s"/>
      <c r="I2769" t="s"/>
      <c r="J2769" t="n">
        <v>0.4019</v>
      </c>
      <c r="K2769" t="n">
        <v>0</v>
      </c>
      <c r="L2769" t="n">
        <v>0.881</v>
      </c>
      <c r="M2769" t="n">
        <v>0.119</v>
      </c>
    </row>
    <row r="2770" spans="1:13">
      <c r="A2770" s="1">
        <f>HYPERLINK("http://www.twitter.com/NathanBLawrence/status/997598287053156359", "997598287053156359")</f>
        <v/>
      </c>
      <c r="B2770" s="2" t="n">
        <v>43238.91828703704</v>
      </c>
      <c r="C2770" t="n">
        <v>0</v>
      </c>
      <c r="D2770" t="n">
        <v>69</v>
      </c>
      <c r="E2770" t="s">
        <v>2776</v>
      </c>
      <c r="F2770" t="s"/>
      <c r="G2770" t="s"/>
      <c r="H2770" t="s"/>
      <c r="I2770" t="s"/>
      <c r="J2770" t="n">
        <v>-0.743</v>
      </c>
      <c r="K2770" t="n">
        <v>0.249</v>
      </c>
      <c r="L2770" t="n">
        <v>0.751</v>
      </c>
      <c r="M2770" t="n">
        <v>0</v>
      </c>
    </row>
    <row r="2771" spans="1:13">
      <c r="A2771" s="1">
        <f>HYPERLINK("http://www.twitter.com/NathanBLawrence/status/997598002939342850", "997598002939342850")</f>
        <v/>
      </c>
      <c r="B2771" s="2" t="n">
        <v>43238.91751157407</v>
      </c>
      <c r="C2771" t="n">
        <v>0</v>
      </c>
      <c r="D2771" t="n">
        <v>1739</v>
      </c>
      <c r="E2771" t="s">
        <v>2777</v>
      </c>
      <c r="F2771" t="s"/>
      <c r="G2771" t="s"/>
      <c r="H2771" t="s"/>
      <c r="I2771" t="s"/>
      <c r="J2771" t="n">
        <v>-0.5574</v>
      </c>
      <c r="K2771" t="n">
        <v>0.31</v>
      </c>
      <c r="L2771" t="n">
        <v>0.6899999999999999</v>
      </c>
      <c r="M2771" t="n">
        <v>0</v>
      </c>
    </row>
    <row r="2772" spans="1:13">
      <c r="A2772" s="1">
        <f>HYPERLINK("http://www.twitter.com/NathanBLawrence/status/997597890913755143", "997597890913755143")</f>
        <v/>
      </c>
      <c r="B2772" s="2" t="n">
        <v>43238.91719907407</v>
      </c>
      <c r="C2772" t="n">
        <v>0</v>
      </c>
      <c r="D2772" t="n">
        <v>86</v>
      </c>
      <c r="E2772" t="s">
        <v>2778</v>
      </c>
      <c r="F2772" t="s"/>
      <c r="G2772" t="s"/>
      <c r="H2772" t="s"/>
      <c r="I2772" t="s"/>
      <c r="J2772" t="n">
        <v>0.0772</v>
      </c>
      <c r="K2772" t="n">
        <v>0.093</v>
      </c>
      <c r="L2772" t="n">
        <v>0.802</v>
      </c>
      <c r="M2772" t="n">
        <v>0.105</v>
      </c>
    </row>
    <row r="2773" spans="1:13">
      <c r="A2773" s="1">
        <f>HYPERLINK("http://www.twitter.com/NathanBLawrence/status/997597510045716480", "997597510045716480")</f>
        <v/>
      </c>
      <c r="B2773" s="2" t="n">
        <v>43238.91614583333</v>
      </c>
      <c r="C2773" t="n">
        <v>0</v>
      </c>
      <c r="D2773" t="n">
        <v>1855</v>
      </c>
      <c r="E2773" t="s">
        <v>2779</v>
      </c>
      <c r="F2773" t="s"/>
      <c r="G2773" t="s"/>
      <c r="H2773" t="s"/>
      <c r="I2773" t="s"/>
      <c r="J2773" t="n">
        <v>-0.4329</v>
      </c>
      <c r="K2773" t="n">
        <v>0.115</v>
      </c>
      <c r="L2773" t="n">
        <v>0.885</v>
      </c>
      <c r="M2773" t="n">
        <v>0</v>
      </c>
    </row>
    <row r="2774" spans="1:13">
      <c r="A2774" s="1">
        <f>HYPERLINK("http://www.twitter.com/NathanBLawrence/status/997597402960941056", "997597402960941056")</f>
        <v/>
      </c>
      <c r="B2774" s="2" t="n">
        <v>43238.91584490741</v>
      </c>
      <c r="C2774" t="n">
        <v>0</v>
      </c>
      <c r="D2774" t="n">
        <v>350</v>
      </c>
      <c r="E2774" t="s">
        <v>2780</v>
      </c>
      <c r="F2774" t="s"/>
      <c r="G2774" t="s"/>
      <c r="H2774" t="s"/>
      <c r="I2774" t="s"/>
      <c r="J2774" t="n">
        <v>-0.7783</v>
      </c>
      <c r="K2774" t="n">
        <v>0.245</v>
      </c>
      <c r="L2774" t="n">
        <v>0.755</v>
      </c>
      <c r="M2774" t="n">
        <v>0</v>
      </c>
    </row>
    <row r="2775" spans="1:13">
      <c r="A2775" s="1">
        <f>HYPERLINK("http://www.twitter.com/NathanBLawrence/status/997597294953422848", "997597294953422848")</f>
        <v/>
      </c>
      <c r="B2775" s="2" t="n">
        <v>43238.91555555556</v>
      </c>
      <c r="C2775" t="n">
        <v>0</v>
      </c>
      <c r="D2775" t="n">
        <v>124</v>
      </c>
      <c r="E2775" t="s">
        <v>2781</v>
      </c>
      <c r="F2775" t="s"/>
      <c r="G2775" t="s"/>
      <c r="H2775" t="s"/>
      <c r="I2775" t="s"/>
      <c r="J2775" t="n">
        <v>0.7783</v>
      </c>
      <c r="K2775" t="n">
        <v>0</v>
      </c>
      <c r="L2775" t="n">
        <v>0.764</v>
      </c>
      <c r="M2775" t="n">
        <v>0.236</v>
      </c>
    </row>
    <row r="2776" spans="1:13">
      <c r="A2776" s="1">
        <f>HYPERLINK("http://www.twitter.com/NathanBLawrence/status/997597259062800388", "997597259062800388")</f>
        <v/>
      </c>
      <c r="B2776" s="2" t="n">
        <v>43238.91545138889</v>
      </c>
      <c r="C2776" t="n">
        <v>0</v>
      </c>
      <c r="D2776" t="n">
        <v>3</v>
      </c>
      <c r="E2776" t="s">
        <v>2782</v>
      </c>
      <c r="F2776" t="s"/>
      <c r="G2776" t="s"/>
      <c r="H2776" t="s"/>
      <c r="I2776" t="s"/>
      <c r="J2776" t="n">
        <v>-0.5266999999999999</v>
      </c>
      <c r="K2776" t="n">
        <v>0.159</v>
      </c>
      <c r="L2776" t="n">
        <v>0.841</v>
      </c>
      <c r="M2776" t="n">
        <v>0</v>
      </c>
    </row>
    <row r="2777" spans="1:13">
      <c r="A2777" s="1">
        <f>HYPERLINK("http://www.twitter.com/NathanBLawrence/status/997597176976101376", "997597176976101376")</f>
        <v/>
      </c>
      <c r="B2777" s="2" t="n">
        <v>43238.91523148148</v>
      </c>
      <c r="C2777" t="n">
        <v>0</v>
      </c>
      <c r="D2777" t="n">
        <v>2281</v>
      </c>
      <c r="E2777" t="s">
        <v>2783</v>
      </c>
      <c r="F2777" t="s"/>
      <c r="G2777" t="s"/>
      <c r="H2777" t="s"/>
      <c r="I2777" t="s"/>
      <c r="J2777" t="n">
        <v>0</v>
      </c>
      <c r="K2777" t="n">
        <v>0</v>
      </c>
      <c r="L2777" t="n">
        <v>1</v>
      </c>
      <c r="M2777" t="n">
        <v>0</v>
      </c>
    </row>
    <row r="2778" spans="1:13">
      <c r="A2778" s="1">
        <f>HYPERLINK("http://www.twitter.com/NathanBLawrence/status/997597075381653504", "997597075381653504")</f>
        <v/>
      </c>
      <c r="B2778" s="2" t="n">
        <v>43238.91494212963</v>
      </c>
      <c r="C2778" t="n">
        <v>0</v>
      </c>
      <c r="D2778" t="n">
        <v>5</v>
      </c>
      <c r="E2778" t="s">
        <v>2784</v>
      </c>
      <c r="F2778" t="s"/>
      <c r="G2778" t="s"/>
      <c r="H2778" t="s"/>
      <c r="I2778" t="s"/>
      <c r="J2778" t="n">
        <v>0</v>
      </c>
      <c r="K2778" t="n">
        <v>0</v>
      </c>
      <c r="L2778" t="n">
        <v>1</v>
      </c>
      <c r="M2778" t="n">
        <v>0</v>
      </c>
    </row>
    <row r="2779" spans="1:13">
      <c r="A2779" s="1">
        <f>HYPERLINK("http://www.twitter.com/NathanBLawrence/status/997596877687226373", "997596877687226373")</f>
        <v/>
      </c>
      <c r="B2779" s="2" t="n">
        <v>43238.91439814815</v>
      </c>
      <c r="C2779" t="n">
        <v>0</v>
      </c>
      <c r="D2779" t="n">
        <v>12880</v>
      </c>
      <c r="E2779" t="s">
        <v>2785</v>
      </c>
      <c r="F2779" t="s"/>
      <c r="G2779" t="s"/>
      <c r="H2779" t="s"/>
      <c r="I2779" t="s"/>
      <c r="J2779" t="n">
        <v>-0.5106000000000001</v>
      </c>
      <c r="K2779" t="n">
        <v>0.245</v>
      </c>
      <c r="L2779" t="n">
        <v>0.669</v>
      </c>
      <c r="M2779" t="n">
        <v>0.08599999999999999</v>
      </c>
    </row>
    <row r="2780" spans="1:13">
      <c r="A2780" s="1">
        <f>HYPERLINK("http://www.twitter.com/NathanBLawrence/status/997596850281689088", "997596850281689088")</f>
        <v/>
      </c>
      <c r="B2780" s="2" t="n">
        <v>43238.9143287037</v>
      </c>
      <c r="C2780" t="n">
        <v>0</v>
      </c>
      <c r="D2780" t="n">
        <v>2258</v>
      </c>
      <c r="E2780" t="s">
        <v>2786</v>
      </c>
      <c r="F2780">
        <f>HYPERLINK("https://video.twimg.com/amplify_video/997161220896681984/vid/1280x720/dtAShLUoz_ZudAdS.mp4?tag=2", "https://video.twimg.com/amplify_video/997161220896681984/vid/1280x720/dtAShLUoz_ZudAdS.mp4?tag=2")</f>
        <v/>
      </c>
      <c r="G2780" t="s"/>
      <c r="H2780" t="s"/>
      <c r="I2780" t="s"/>
      <c r="J2780" t="n">
        <v>-0.2263</v>
      </c>
      <c r="K2780" t="n">
        <v>0.079</v>
      </c>
      <c r="L2780" t="n">
        <v>0.921</v>
      </c>
      <c r="M2780" t="n">
        <v>0</v>
      </c>
    </row>
    <row r="2781" spans="1:13">
      <c r="A2781" s="1">
        <f>HYPERLINK("http://www.twitter.com/NathanBLawrence/status/997596729733246981", "997596729733246981")</f>
        <v/>
      </c>
      <c r="B2781" s="2" t="n">
        <v>43238.91399305555</v>
      </c>
      <c r="C2781" t="n">
        <v>3</v>
      </c>
      <c r="D2781" t="n">
        <v>2</v>
      </c>
      <c r="E2781" t="s">
        <v>2787</v>
      </c>
      <c r="F2781" t="s"/>
      <c r="G2781" t="s"/>
      <c r="H2781" t="s"/>
      <c r="I2781" t="s"/>
      <c r="J2781" t="n">
        <v>0.8118</v>
      </c>
      <c r="K2781" t="n">
        <v>0</v>
      </c>
      <c r="L2781" t="n">
        <v>0.655</v>
      </c>
      <c r="M2781" t="n">
        <v>0.345</v>
      </c>
    </row>
    <row r="2782" spans="1:13">
      <c r="A2782" s="1">
        <f>HYPERLINK("http://www.twitter.com/NathanBLawrence/status/997596079033061376", "997596079033061376")</f>
        <v/>
      </c>
      <c r="B2782" s="2" t="n">
        <v>43238.91219907408</v>
      </c>
      <c r="C2782" t="n">
        <v>0</v>
      </c>
      <c r="D2782" t="n">
        <v>3863</v>
      </c>
      <c r="E2782" t="s">
        <v>2788</v>
      </c>
      <c r="F2782" t="s"/>
      <c r="G2782" t="s"/>
      <c r="H2782" t="s"/>
      <c r="I2782" t="s"/>
      <c r="J2782" t="n">
        <v>0</v>
      </c>
      <c r="K2782" t="n">
        <v>0</v>
      </c>
      <c r="L2782" t="n">
        <v>1</v>
      </c>
      <c r="M2782" t="n">
        <v>0</v>
      </c>
    </row>
    <row r="2783" spans="1:13">
      <c r="A2783" s="1">
        <f>HYPERLINK("http://www.twitter.com/NathanBLawrence/status/997595775675850753", "997595775675850753")</f>
        <v/>
      </c>
      <c r="B2783" s="2" t="n">
        <v>43238.91136574074</v>
      </c>
      <c r="C2783" t="n">
        <v>0</v>
      </c>
      <c r="D2783" t="n">
        <v>3320</v>
      </c>
      <c r="E2783" t="s">
        <v>2789</v>
      </c>
      <c r="F2783">
        <f>HYPERLINK("http://pbs.twimg.com/media/DdfzHO2V0AA9P23.jpg", "http://pbs.twimg.com/media/DdfzHO2V0AA9P23.jpg")</f>
        <v/>
      </c>
      <c r="G2783" t="s"/>
      <c r="H2783" t="s"/>
      <c r="I2783" t="s"/>
      <c r="J2783" t="n">
        <v>-0.3076</v>
      </c>
      <c r="K2783" t="n">
        <v>0.094</v>
      </c>
      <c r="L2783" t="n">
        <v>0.861</v>
      </c>
      <c r="M2783" t="n">
        <v>0.045</v>
      </c>
    </row>
    <row r="2784" spans="1:13">
      <c r="A2784" s="1">
        <f>HYPERLINK("http://www.twitter.com/NathanBLawrence/status/997594839477903361", "997594839477903361")</f>
        <v/>
      </c>
      <c r="B2784" s="2" t="n">
        <v>43238.90877314815</v>
      </c>
      <c r="C2784" t="n">
        <v>0</v>
      </c>
      <c r="D2784" t="n">
        <v>225</v>
      </c>
      <c r="E2784" t="s">
        <v>2790</v>
      </c>
      <c r="F2784" t="s"/>
      <c r="G2784" t="s"/>
      <c r="H2784" t="s"/>
      <c r="I2784" t="s"/>
      <c r="J2784" t="n">
        <v>0.802</v>
      </c>
      <c r="K2784" t="n">
        <v>0</v>
      </c>
      <c r="L2784" t="n">
        <v>0.423</v>
      </c>
      <c r="M2784" t="n">
        <v>0.577</v>
      </c>
    </row>
    <row r="2785" spans="1:13">
      <c r="A2785" s="1">
        <f>HYPERLINK("http://www.twitter.com/NathanBLawrence/status/997592737997295616", "997592737997295616")</f>
        <v/>
      </c>
      <c r="B2785" s="2" t="n">
        <v>43238.90297453704</v>
      </c>
      <c r="C2785" t="n">
        <v>1</v>
      </c>
      <c r="D2785" t="n">
        <v>0</v>
      </c>
      <c r="E2785" t="s">
        <v>2791</v>
      </c>
      <c r="F2785" t="s"/>
      <c r="G2785" t="s"/>
      <c r="H2785" t="s"/>
      <c r="I2785" t="s"/>
      <c r="J2785" t="n">
        <v>-0.8126</v>
      </c>
      <c r="K2785" t="n">
        <v>0.272</v>
      </c>
      <c r="L2785" t="n">
        <v>0.598</v>
      </c>
      <c r="M2785" t="n">
        <v>0.13</v>
      </c>
    </row>
    <row r="2786" spans="1:13">
      <c r="A2786" s="1">
        <f>HYPERLINK("http://www.twitter.com/NathanBLawrence/status/997591540984840192", "997591540984840192")</f>
        <v/>
      </c>
      <c r="B2786" s="2" t="n">
        <v>43238.89967592592</v>
      </c>
      <c r="C2786" t="n">
        <v>0</v>
      </c>
      <c r="D2786" t="n">
        <v>4338</v>
      </c>
      <c r="E2786" t="s">
        <v>2792</v>
      </c>
      <c r="F2786" t="s"/>
      <c r="G2786" t="s"/>
      <c r="H2786" t="s"/>
      <c r="I2786" t="s"/>
      <c r="J2786" t="n">
        <v>-0.1179</v>
      </c>
      <c r="K2786" t="n">
        <v>0.127</v>
      </c>
      <c r="L2786" t="n">
        <v>0.799</v>
      </c>
      <c r="M2786" t="n">
        <v>0.074</v>
      </c>
    </row>
    <row r="2787" spans="1:13">
      <c r="A2787" s="1">
        <f>HYPERLINK("http://www.twitter.com/NathanBLawrence/status/997591215649574912", "997591215649574912")</f>
        <v/>
      </c>
      <c r="B2787" s="2" t="n">
        <v>43238.89877314815</v>
      </c>
      <c r="C2787" t="n">
        <v>0</v>
      </c>
      <c r="D2787" t="n">
        <v>5</v>
      </c>
      <c r="E2787" t="s">
        <v>2793</v>
      </c>
      <c r="F2787" t="s"/>
      <c r="G2787" t="s"/>
      <c r="H2787" t="s"/>
      <c r="I2787" t="s"/>
      <c r="J2787" t="n">
        <v>0.1901</v>
      </c>
      <c r="K2787" t="n">
        <v>0.119</v>
      </c>
      <c r="L2787" t="n">
        <v>0.732</v>
      </c>
      <c r="M2787" t="n">
        <v>0.148</v>
      </c>
    </row>
    <row r="2788" spans="1:13">
      <c r="A2788" s="1">
        <f>HYPERLINK("http://www.twitter.com/NathanBLawrence/status/997589522488676352", "997589522488676352")</f>
        <v/>
      </c>
      <c r="B2788" s="2" t="n">
        <v>43238.8941087963</v>
      </c>
      <c r="C2788" t="n">
        <v>9</v>
      </c>
      <c r="D2788" t="n">
        <v>6</v>
      </c>
      <c r="E2788" t="s">
        <v>2794</v>
      </c>
      <c r="F2788" t="s"/>
      <c r="G2788" t="s"/>
      <c r="H2788" t="s"/>
      <c r="I2788" t="s"/>
      <c r="J2788" t="n">
        <v>0.639</v>
      </c>
      <c r="K2788" t="n">
        <v>0.044</v>
      </c>
      <c r="L2788" t="n">
        <v>0.822</v>
      </c>
      <c r="M2788" t="n">
        <v>0.133</v>
      </c>
    </row>
    <row r="2789" spans="1:13">
      <c r="A2789" s="1">
        <f>HYPERLINK("http://www.twitter.com/NathanBLawrence/status/997588328781410304", "997588328781410304")</f>
        <v/>
      </c>
      <c r="B2789" s="2" t="n">
        <v>43238.89081018518</v>
      </c>
      <c r="C2789" t="n">
        <v>0</v>
      </c>
      <c r="D2789" t="n">
        <v>2307</v>
      </c>
      <c r="E2789" t="s">
        <v>2795</v>
      </c>
      <c r="F2789" t="s"/>
      <c r="G2789" t="s"/>
      <c r="H2789" t="s"/>
      <c r="I2789" t="s"/>
      <c r="J2789" t="n">
        <v>0</v>
      </c>
      <c r="K2789" t="n">
        <v>0</v>
      </c>
      <c r="L2789" t="n">
        <v>1</v>
      </c>
      <c r="M2789" t="n">
        <v>0</v>
      </c>
    </row>
    <row r="2790" spans="1:13">
      <c r="A2790" s="1">
        <f>HYPERLINK("http://www.twitter.com/NathanBLawrence/status/997588125282193408", "997588125282193408")</f>
        <v/>
      </c>
      <c r="B2790" s="2" t="n">
        <v>43238.89025462963</v>
      </c>
      <c r="C2790" t="n">
        <v>0</v>
      </c>
      <c r="D2790" t="n">
        <v>4</v>
      </c>
      <c r="E2790" t="s">
        <v>2796</v>
      </c>
      <c r="F2790" t="s"/>
      <c r="G2790" t="s"/>
      <c r="H2790" t="s"/>
      <c r="I2790" t="s"/>
      <c r="J2790" t="n">
        <v>0</v>
      </c>
      <c r="K2790" t="n">
        <v>0</v>
      </c>
      <c r="L2790" t="n">
        <v>1</v>
      </c>
      <c r="M2790" t="n">
        <v>0</v>
      </c>
    </row>
    <row r="2791" spans="1:13">
      <c r="A2791" s="1">
        <f>HYPERLINK("http://www.twitter.com/NathanBLawrence/status/997588008592437249", "997588008592437249")</f>
        <v/>
      </c>
      <c r="B2791" s="2" t="n">
        <v>43238.88993055555</v>
      </c>
      <c r="C2791" t="n">
        <v>1</v>
      </c>
      <c r="D2791" t="n">
        <v>0</v>
      </c>
      <c r="E2791" t="s">
        <v>2797</v>
      </c>
      <c r="F2791" t="s"/>
      <c r="G2791" t="s"/>
      <c r="H2791" t="s"/>
      <c r="I2791" t="s"/>
      <c r="J2791" t="n">
        <v>-0.5504</v>
      </c>
      <c r="K2791" t="n">
        <v>0.169</v>
      </c>
      <c r="L2791" t="n">
        <v>0.738</v>
      </c>
      <c r="M2791" t="n">
        <v>0.092</v>
      </c>
    </row>
    <row r="2792" spans="1:13">
      <c r="A2792" s="1">
        <f>HYPERLINK("http://www.twitter.com/NathanBLawrence/status/997586987489034240", "997586987489034240")</f>
        <v/>
      </c>
      <c r="B2792" s="2" t="n">
        <v>43238.88710648148</v>
      </c>
      <c r="C2792" t="n">
        <v>0</v>
      </c>
      <c r="D2792" t="n">
        <v>3043</v>
      </c>
      <c r="E2792" t="s">
        <v>2798</v>
      </c>
      <c r="F2792" t="s"/>
      <c r="G2792" t="s"/>
      <c r="H2792" t="s"/>
      <c r="I2792" t="s"/>
      <c r="J2792" t="n">
        <v>-0.2732</v>
      </c>
      <c r="K2792" t="n">
        <v>0.09</v>
      </c>
      <c r="L2792" t="n">
        <v>0.861</v>
      </c>
      <c r="M2792" t="n">
        <v>0.049</v>
      </c>
    </row>
    <row r="2793" spans="1:13">
      <c r="A2793" s="1">
        <f>HYPERLINK("http://www.twitter.com/NathanBLawrence/status/997581265762246657", "997581265762246657")</f>
        <v/>
      </c>
      <c r="B2793" s="2" t="n">
        <v>43238.87131944444</v>
      </c>
      <c r="C2793" t="n">
        <v>0</v>
      </c>
      <c r="D2793" t="n">
        <v>5994</v>
      </c>
      <c r="E2793" t="s">
        <v>2799</v>
      </c>
      <c r="F2793">
        <f>HYPERLINK("https://video.twimg.com/ext_tw_video/997233417065451520/pu/vid/1280x720/G80yhnDz1gChTHEo.mp4?tag=3", "https://video.twimg.com/ext_tw_video/997233417065451520/pu/vid/1280x720/G80yhnDz1gChTHEo.mp4?tag=3")</f>
        <v/>
      </c>
      <c r="G2793" t="s"/>
      <c r="H2793" t="s"/>
      <c r="I2793" t="s"/>
      <c r="J2793" t="n">
        <v>-0.765</v>
      </c>
      <c r="K2793" t="n">
        <v>0.306</v>
      </c>
      <c r="L2793" t="n">
        <v>0.694</v>
      </c>
      <c r="M2793" t="n">
        <v>0</v>
      </c>
    </row>
    <row r="2794" spans="1:13">
      <c r="A2794" s="1">
        <f>HYPERLINK("http://www.twitter.com/NathanBLawrence/status/997581194819760129", "997581194819760129")</f>
        <v/>
      </c>
      <c r="B2794" s="2" t="n">
        <v>43238.87112268519</v>
      </c>
      <c r="C2794" t="n">
        <v>0</v>
      </c>
      <c r="D2794" t="n">
        <v>951</v>
      </c>
      <c r="E2794" t="s">
        <v>2800</v>
      </c>
      <c r="F2794">
        <f>HYPERLINK("http://pbs.twimg.com/media/DdbqlgIVwAAh5q4.jpg", "http://pbs.twimg.com/media/DdbqlgIVwAAh5q4.jpg")</f>
        <v/>
      </c>
      <c r="G2794" t="s"/>
      <c r="H2794" t="s"/>
      <c r="I2794" t="s"/>
      <c r="J2794" t="n">
        <v>-0.34</v>
      </c>
      <c r="K2794" t="n">
        <v>0.157</v>
      </c>
      <c r="L2794" t="n">
        <v>0.744</v>
      </c>
      <c r="M2794" t="n">
        <v>0.099</v>
      </c>
    </row>
    <row r="2795" spans="1:13">
      <c r="A2795" s="1">
        <f>HYPERLINK("http://www.twitter.com/NathanBLawrence/status/997580998790516741", "997580998790516741")</f>
        <v/>
      </c>
      <c r="B2795" s="2" t="n">
        <v>43238.8705787037</v>
      </c>
      <c r="C2795" t="n">
        <v>0</v>
      </c>
      <c r="D2795" t="n">
        <v>74</v>
      </c>
      <c r="E2795" t="s">
        <v>2801</v>
      </c>
      <c r="F2795" t="s"/>
      <c r="G2795" t="s"/>
      <c r="H2795" t="s"/>
      <c r="I2795" t="s"/>
      <c r="J2795" t="n">
        <v>0.5574</v>
      </c>
      <c r="K2795" t="n">
        <v>0</v>
      </c>
      <c r="L2795" t="n">
        <v>0.455</v>
      </c>
      <c r="M2795" t="n">
        <v>0.545</v>
      </c>
    </row>
    <row r="2796" spans="1:13">
      <c r="A2796" s="1">
        <f>HYPERLINK("http://www.twitter.com/NathanBLawrence/status/997580925281226753", "997580925281226753")</f>
        <v/>
      </c>
      <c r="B2796" s="2" t="n">
        <v>43238.87038194444</v>
      </c>
      <c r="C2796" t="n">
        <v>0</v>
      </c>
      <c r="D2796" t="n">
        <v>60</v>
      </c>
      <c r="E2796" t="s">
        <v>2802</v>
      </c>
      <c r="F2796" t="s"/>
      <c r="G2796" t="s"/>
      <c r="H2796" t="s"/>
      <c r="I2796" t="s"/>
      <c r="J2796" t="n">
        <v>0</v>
      </c>
      <c r="K2796" t="n">
        <v>0</v>
      </c>
      <c r="L2796" t="n">
        <v>1</v>
      </c>
      <c r="M2796" t="n">
        <v>0</v>
      </c>
    </row>
    <row r="2797" spans="1:13">
      <c r="A2797" s="1">
        <f>HYPERLINK("http://www.twitter.com/NathanBLawrence/status/997580754019332096", "997580754019332096")</f>
        <v/>
      </c>
      <c r="B2797" s="2" t="n">
        <v>43238.86990740741</v>
      </c>
      <c r="C2797" t="n">
        <v>0</v>
      </c>
      <c r="D2797" t="n">
        <v>1653</v>
      </c>
      <c r="E2797" t="s">
        <v>2803</v>
      </c>
      <c r="F2797" t="s"/>
      <c r="G2797" t="s"/>
      <c r="H2797" t="s"/>
      <c r="I2797" t="s"/>
      <c r="J2797" t="n">
        <v>0.4588</v>
      </c>
      <c r="K2797" t="n">
        <v>0</v>
      </c>
      <c r="L2797" t="n">
        <v>0.84</v>
      </c>
      <c r="M2797" t="n">
        <v>0.16</v>
      </c>
    </row>
    <row r="2798" spans="1:13">
      <c r="A2798" s="1">
        <f>HYPERLINK("http://www.twitter.com/NathanBLawrence/status/997580485260906500", "997580485260906500")</f>
        <v/>
      </c>
      <c r="B2798" s="2" t="n">
        <v>43238.86916666666</v>
      </c>
      <c r="C2798" t="n">
        <v>0</v>
      </c>
      <c r="D2798" t="n">
        <v>32</v>
      </c>
      <c r="E2798" t="s">
        <v>2804</v>
      </c>
      <c r="F2798" t="s"/>
      <c r="G2798" t="s"/>
      <c r="H2798" t="s"/>
      <c r="I2798" t="s"/>
      <c r="J2798" t="n">
        <v>-0.1139</v>
      </c>
      <c r="K2798" t="n">
        <v>0.096</v>
      </c>
      <c r="L2798" t="n">
        <v>0.904</v>
      </c>
      <c r="M2798" t="n">
        <v>0</v>
      </c>
    </row>
    <row r="2799" spans="1:13">
      <c r="A2799" s="1">
        <f>HYPERLINK("http://www.twitter.com/NathanBLawrence/status/997580446081933313", "997580446081933313")</f>
        <v/>
      </c>
      <c r="B2799" s="2" t="n">
        <v>43238.8690625</v>
      </c>
      <c r="C2799" t="n">
        <v>0</v>
      </c>
      <c r="D2799" t="n">
        <v>32</v>
      </c>
      <c r="E2799" t="s">
        <v>2805</v>
      </c>
      <c r="F2799" t="s"/>
      <c r="G2799" t="s"/>
      <c r="H2799" t="s"/>
      <c r="I2799" t="s"/>
      <c r="J2799" t="n">
        <v>0</v>
      </c>
      <c r="K2799" t="n">
        <v>0</v>
      </c>
      <c r="L2799" t="n">
        <v>1</v>
      </c>
      <c r="M2799" t="n">
        <v>0</v>
      </c>
    </row>
    <row r="2800" spans="1:13">
      <c r="A2800" s="1">
        <f>HYPERLINK("http://www.twitter.com/NathanBLawrence/status/997580134394859521", "997580134394859521")</f>
        <v/>
      </c>
      <c r="B2800" s="2" t="n">
        <v>43238.86819444445</v>
      </c>
      <c r="C2800" t="n">
        <v>0</v>
      </c>
      <c r="D2800" t="n">
        <v>27</v>
      </c>
      <c r="E2800" t="s">
        <v>2806</v>
      </c>
      <c r="F2800" t="s"/>
      <c r="G2800" t="s"/>
      <c r="H2800" t="s"/>
      <c r="I2800" t="s"/>
      <c r="J2800" t="n">
        <v>-0.4767</v>
      </c>
      <c r="K2800" t="n">
        <v>0.147</v>
      </c>
      <c r="L2800" t="n">
        <v>0.853</v>
      </c>
      <c r="M2800" t="n">
        <v>0</v>
      </c>
    </row>
    <row r="2801" spans="1:13">
      <c r="A2801" s="1">
        <f>HYPERLINK("http://www.twitter.com/NathanBLawrence/status/997580119937048576", "997580119937048576")</f>
        <v/>
      </c>
      <c r="B2801" s="2" t="n">
        <v>43238.86815972222</v>
      </c>
      <c r="C2801" t="n">
        <v>0</v>
      </c>
      <c r="D2801" t="n">
        <v>22</v>
      </c>
      <c r="E2801" t="s">
        <v>2807</v>
      </c>
      <c r="F2801" t="s"/>
      <c r="G2801" t="s"/>
      <c r="H2801" t="s"/>
      <c r="I2801" t="s"/>
      <c r="J2801" t="n">
        <v>0</v>
      </c>
      <c r="K2801" t="n">
        <v>0</v>
      </c>
      <c r="L2801" t="n">
        <v>1</v>
      </c>
      <c r="M2801" t="n">
        <v>0</v>
      </c>
    </row>
    <row r="2802" spans="1:13">
      <c r="A2802" s="1">
        <f>HYPERLINK("http://www.twitter.com/NathanBLawrence/status/997580037288333313", "997580037288333313")</f>
        <v/>
      </c>
      <c r="B2802" s="2" t="n">
        <v>43238.86792824074</v>
      </c>
      <c r="C2802" t="n">
        <v>0</v>
      </c>
      <c r="D2802" t="n">
        <v>20</v>
      </c>
      <c r="E2802" t="s">
        <v>2808</v>
      </c>
      <c r="F2802" t="s"/>
      <c r="G2802" t="s"/>
      <c r="H2802" t="s"/>
      <c r="I2802" t="s"/>
      <c r="J2802" t="n">
        <v>0</v>
      </c>
      <c r="K2802" t="n">
        <v>0</v>
      </c>
      <c r="L2802" t="n">
        <v>1</v>
      </c>
      <c r="M2802" t="n">
        <v>0</v>
      </c>
    </row>
    <row r="2803" spans="1:13">
      <c r="A2803" s="1">
        <f>HYPERLINK("http://www.twitter.com/NathanBLawrence/status/997580016639791105", "997580016639791105")</f>
        <v/>
      </c>
      <c r="B2803" s="2" t="n">
        <v>43238.86787037037</v>
      </c>
      <c r="C2803" t="n">
        <v>0</v>
      </c>
      <c r="D2803" t="n">
        <v>23</v>
      </c>
      <c r="E2803" t="s">
        <v>2809</v>
      </c>
      <c r="F2803" t="s"/>
      <c r="G2803" t="s"/>
      <c r="H2803" t="s"/>
      <c r="I2803" t="s"/>
      <c r="J2803" t="n">
        <v>0</v>
      </c>
      <c r="K2803" t="n">
        <v>0</v>
      </c>
      <c r="L2803" t="n">
        <v>1</v>
      </c>
      <c r="M2803" t="n">
        <v>0</v>
      </c>
    </row>
    <row r="2804" spans="1:13">
      <c r="A2804" s="1">
        <f>HYPERLINK("http://www.twitter.com/NathanBLawrence/status/997580001255002112", "997580001255002112")</f>
        <v/>
      </c>
      <c r="B2804" s="2" t="n">
        <v>43238.86783564815</v>
      </c>
      <c r="C2804" t="n">
        <v>0</v>
      </c>
      <c r="D2804" t="n">
        <v>18</v>
      </c>
      <c r="E2804" t="s">
        <v>2810</v>
      </c>
      <c r="F2804" t="s"/>
      <c r="G2804" t="s"/>
      <c r="H2804" t="s"/>
      <c r="I2804" t="s"/>
      <c r="J2804" t="n">
        <v>-0.296</v>
      </c>
      <c r="K2804" t="n">
        <v>0.099</v>
      </c>
      <c r="L2804" t="n">
        <v>0.901</v>
      </c>
      <c r="M2804" t="n">
        <v>0</v>
      </c>
    </row>
    <row r="2805" spans="1:13">
      <c r="A2805" s="1">
        <f>HYPERLINK("http://www.twitter.com/NathanBLawrence/status/997579990437978113", "997579990437978113")</f>
        <v/>
      </c>
      <c r="B2805" s="2" t="n">
        <v>43238.86780092592</v>
      </c>
      <c r="C2805" t="n">
        <v>0</v>
      </c>
      <c r="D2805" t="n">
        <v>29</v>
      </c>
      <c r="E2805" t="s">
        <v>2811</v>
      </c>
      <c r="F2805">
        <f>HYPERLINK("http://pbs.twimg.com/media/Ddc4kDTWAAADwmt.jpg", "http://pbs.twimg.com/media/Ddc4kDTWAAADwmt.jpg")</f>
        <v/>
      </c>
      <c r="G2805" t="s"/>
      <c r="H2805" t="s"/>
      <c r="I2805" t="s"/>
      <c r="J2805" t="n">
        <v>0</v>
      </c>
      <c r="K2805" t="n">
        <v>0</v>
      </c>
      <c r="L2805" t="n">
        <v>1</v>
      </c>
      <c r="M2805" t="n">
        <v>0</v>
      </c>
    </row>
    <row r="2806" spans="1:13">
      <c r="A2806" s="1">
        <f>HYPERLINK("http://www.twitter.com/NathanBLawrence/status/997579487889055745", "997579487889055745")</f>
        <v/>
      </c>
      <c r="B2806" s="2" t="n">
        <v>43238.86641203704</v>
      </c>
      <c r="C2806" t="n">
        <v>0</v>
      </c>
      <c r="D2806" t="n">
        <v>567</v>
      </c>
      <c r="E2806" t="s">
        <v>2812</v>
      </c>
      <c r="F2806" t="s"/>
      <c r="G2806" t="s"/>
      <c r="H2806" t="s"/>
      <c r="I2806" t="s"/>
      <c r="J2806" t="n">
        <v>0</v>
      </c>
      <c r="K2806" t="n">
        <v>0</v>
      </c>
      <c r="L2806" t="n">
        <v>1</v>
      </c>
      <c r="M2806" t="n">
        <v>0</v>
      </c>
    </row>
    <row r="2807" spans="1:13">
      <c r="A2807" s="1">
        <f>HYPERLINK("http://www.twitter.com/NathanBLawrence/status/997579462161108993", "997579462161108993")</f>
        <v/>
      </c>
      <c r="B2807" s="2" t="n">
        <v>43238.86634259259</v>
      </c>
      <c r="C2807" t="n">
        <v>0</v>
      </c>
      <c r="D2807" t="n">
        <v>304</v>
      </c>
      <c r="E2807" t="s">
        <v>2813</v>
      </c>
      <c r="F2807" t="s"/>
      <c r="G2807" t="s"/>
      <c r="H2807" t="s"/>
      <c r="I2807" t="s"/>
      <c r="J2807" t="n">
        <v>-0.5574</v>
      </c>
      <c r="K2807" t="n">
        <v>0.195</v>
      </c>
      <c r="L2807" t="n">
        <v>0.805</v>
      </c>
      <c r="M2807" t="n">
        <v>0</v>
      </c>
    </row>
    <row r="2808" spans="1:13">
      <c r="A2808" s="1">
        <f>HYPERLINK("http://www.twitter.com/NathanBLawrence/status/997579440967348225", "997579440967348225")</f>
        <v/>
      </c>
      <c r="B2808" s="2" t="n">
        <v>43238.86628472222</v>
      </c>
      <c r="C2808" t="n">
        <v>0</v>
      </c>
      <c r="D2808" t="n">
        <v>202</v>
      </c>
      <c r="E2808" t="s">
        <v>2814</v>
      </c>
      <c r="F2808" t="s"/>
      <c r="G2808" t="s"/>
      <c r="H2808" t="s"/>
      <c r="I2808" t="s"/>
      <c r="J2808" t="n">
        <v>-0.5006</v>
      </c>
      <c r="K2808" t="n">
        <v>0.211</v>
      </c>
      <c r="L2808" t="n">
        <v>0.65</v>
      </c>
      <c r="M2808" t="n">
        <v>0.139</v>
      </c>
    </row>
    <row r="2809" spans="1:13">
      <c r="A2809" s="1">
        <f>HYPERLINK("http://www.twitter.com/NathanBLawrence/status/997579359883014144", "997579359883014144")</f>
        <v/>
      </c>
      <c r="B2809" s="2" t="n">
        <v>43238.86606481481</v>
      </c>
      <c r="C2809" t="n">
        <v>0</v>
      </c>
      <c r="D2809" t="n">
        <v>255</v>
      </c>
      <c r="E2809" t="s">
        <v>2815</v>
      </c>
      <c r="F2809">
        <f>HYPERLINK("http://pbs.twimg.com/media/DdaWxwWVMAEjEdV.jpg", "http://pbs.twimg.com/media/DdaWxwWVMAEjEdV.jpg")</f>
        <v/>
      </c>
      <c r="G2809" t="s"/>
      <c r="H2809" t="s"/>
      <c r="I2809" t="s"/>
      <c r="J2809" t="n">
        <v>0</v>
      </c>
      <c r="K2809" t="n">
        <v>0</v>
      </c>
      <c r="L2809" t="n">
        <v>1</v>
      </c>
      <c r="M2809" t="n">
        <v>0</v>
      </c>
    </row>
    <row r="2810" spans="1:13">
      <c r="A2810" s="1">
        <f>HYPERLINK("http://www.twitter.com/NathanBLawrence/status/997579269814571009", "997579269814571009")</f>
        <v/>
      </c>
      <c r="B2810" s="2" t="n">
        <v>43238.86581018518</v>
      </c>
      <c r="C2810" t="n">
        <v>0</v>
      </c>
      <c r="D2810" t="n">
        <v>15</v>
      </c>
      <c r="E2810" t="s">
        <v>2816</v>
      </c>
      <c r="F2810" t="s"/>
      <c r="G2810" t="s"/>
      <c r="H2810" t="s"/>
      <c r="I2810" t="s"/>
      <c r="J2810" t="n">
        <v>0.1456</v>
      </c>
      <c r="K2810" t="n">
        <v>0.051</v>
      </c>
      <c r="L2810" t="n">
        <v>0.874</v>
      </c>
      <c r="M2810" t="n">
        <v>0.075</v>
      </c>
    </row>
    <row r="2811" spans="1:13">
      <c r="A2811" s="1">
        <f>HYPERLINK("http://www.twitter.com/NathanBLawrence/status/997579090889670656", "997579090889670656")</f>
        <v/>
      </c>
      <c r="B2811" s="2" t="n">
        <v>43238.86532407408</v>
      </c>
      <c r="C2811" t="n">
        <v>0</v>
      </c>
      <c r="D2811" t="n">
        <v>5</v>
      </c>
      <c r="E2811" t="s">
        <v>2817</v>
      </c>
      <c r="F2811" t="s"/>
      <c r="G2811" t="s"/>
      <c r="H2811" t="s"/>
      <c r="I2811" t="s"/>
      <c r="J2811" t="n">
        <v>0.296</v>
      </c>
      <c r="K2811" t="n">
        <v>0</v>
      </c>
      <c r="L2811" t="n">
        <v>0.868</v>
      </c>
      <c r="M2811" t="n">
        <v>0.132</v>
      </c>
    </row>
    <row r="2812" spans="1:13">
      <c r="A2812" s="1">
        <f>HYPERLINK("http://www.twitter.com/NathanBLawrence/status/997579052033638400", "997579052033638400")</f>
        <v/>
      </c>
      <c r="B2812" s="2" t="n">
        <v>43238.86520833334</v>
      </c>
      <c r="C2812" t="n">
        <v>0</v>
      </c>
      <c r="D2812" t="n">
        <v>9</v>
      </c>
      <c r="E2812" t="s">
        <v>2818</v>
      </c>
      <c r="F2812" t="s"/>
      <c r="G2812" t="s"/>
      <c r="H2812" t="s"/>
      <c r="I2812" t="s"/>
      <c r="J2812" t="n">
        <v>0.4391</v>
      </c>
      <c r="K2812" t="n">
        <v>0</v>
      </c>
      <c r="L2812" t="n">
        <v>0.892</v>
      </c>
      <c r="M2812" t="n">
        <v>0.108</v>
      </c>
    </row>
    <row r="2813" spans="1:13">
      <c r="A2813" s="1">
        <f>HYPERLINK("http://www.twitter.com/NathanBLawrence/status/997579032400203776", "997579032400203776")</f>
        <v/>
      </c>
      <c r="B2813" s="2" t="n">
        <v>43238.86516203704</v>
      </c>
      <c r="C2813" t="n">
        <v>0</v>
      </c>
      <c r="D2813" t="n">
        <v>5</v>
      </c>
      <c r="E2813" t="s">
        <v>2819</v>
      </c>
      <c r="F2813" t="s"/>
      <c r="G2813" t="s"/>
      <c r="H2813" t="s"/>
      <c r="I2813" t="s"/>
      <c r="J2813" t="n">
        <v>0</v>
      </c>
      <c r="K2813" t="n">
        <v>0</v>
      </c>
      <c r="L2813" t="n">
        <v>1</v>
      </c>
      <c r="M2813" t="n">
        <v>0</v>
      </c>
    </row>
    <row r="2814" spans="1:13">
      <c r="A2814" s="1">
        <f>HYPERLINK("http://www.twitter.com/NathanBLawrence/status/997578982026567680", "997578982026567680")</f>
        <v/>
      </c>
      <c r="B2814" s="2" t="n">
        <v>43238.86502314815</v>
      </c>
      <c r="C2814" t="n">
        <v>0</v>
      </c>
      <c r="D2814" t="n">
        <v>23</v>
      </c>
      <c r="E2814" t="s">
        <v>2820</v>
      </c>
      <c r="F2814" t="s"/>
      <c r="G2814" t="s"/>
      <c r="H2814" t="s"/>
      <c r="I2814" t="s"/>
      <c r="J2814" t="n">
        <v>0.7269</v>
      </c>
      <c r="K2814" t="n">
        <v>0</v>
      </c>
      <c r="L2814" t="n">
        <v>0.775</v>
      </c>
      <c r="M2814" t="n">
        <v>0.225</v>
      </c>
    </row>
    <row r="2815" spans="1:13">
      <c r="A2815" s="1">
        <f>HYPERLINK("http://www.twitter.com/NathanBLawrence/status/997578970710372358", "997578970710372358")</f>
        <v/>
      </c>
      <c r="B2815" s="2" t="n">
        <v>43238.86498842593</v>
      </c>
      <c r="C2815" t="n">
        <v>0</v>
      </c>
      <c r="D2815" t="n">
        <v>79</v>
      </c>
      <c r="E2815" t="s">
        <v>2821</v>
      </c>
      <c r="F2815" t="s"/>
      <c r="G2815" t="s"/>
      <c r="H2815" t="s"/>
      <c r="I2815" t="s"/>
      <c r="J2815" t="n">
        <v>0.4648</v>
      </c>
      <c r="K2815" t="n">
        <v>0</v>
      </c>
      <c r="L2815" t="n">
        <v>0.868</v>
      </c>
      <c r="M2815" t="n">
        <v>0.132</v>
      </c>
    </row>
    <row r="2816" spans="1:13">
      <c r="A2816" s="1">
        <f>HYPERLINK("http://www.twitter.com/NathanBLawrence/status/997578753940381697", "997578753940381697")</f>
        <v/>
      </c>
      <c r="B2816" s="2" t="n">
        <v>43238.86438657407</v>
      </c>
      <c r="C2816" t="n">
        <v>0</v>
      </c>
      <c r="D2816" t="n">
        <v>226</v>
      </c>
      <c r="E2816" t="s">
        <v>2822</v>
      </c>
      <c r="F2816" t="s"/>
      <c r="G2816" t="s"/>
      <c r="H2816" t="s"/>
      <c r="I2816" t="s"/>
      <c r="J2816" t="n">
        <v>0</v>
      </c>
      <c r="K2816" t="n">
        <v>0</v>
      </c>
      <c r="L2816" t="n">
        <v>1</v>
      </c>
      <c r="M2816" t="n">
        <v>0</v>
      </c>
    </row>
    <row r="2817" spans="1:13">
      <c r="A2817" s="1">
        <f>HYPERLINK("http://www.twitter.com/NathanBLawrence/status/997578676492480515", "997578676492480515")</f>
        <v/>
      </c>
      <c r="B2817" s="2" t="n">
        <v>43238.86417824074</v>
      </c>
      <c r="C2817" t="n">
        <v>0</v>
      </c>
      <c r="D2817" t="n">
        <v>258</v>
      </c>
      <c r="E2817" t="s">
        <v>2823</v>
      </c>
      <c r="F2817" t="s"/>
      <c r="G2817" t="s"/>
      <c r="H2817" t="s"/>
      <c r="I2817" t="s"/>
      <c r="J2817" t="n">
        <v>0.2648</v>
      </c>
      <c r="K2817" t="n">
        <v>0</v>
      </c>
      <c r="L2817" t="n">
        <v>0.897</v>
      </c>
      <c r="M2817" t="n">
        <v>0.103</v>
      </c>
    </row>
    <row r="2818" spans="1:13">
      <c r="A2818" s="1">
        <f>HYPERLINK("http://www.twitter.com/NathanBLawrence/status/997576699662520322", "997576699662520322")</f>
        <v/>
      </c>
      <c r="B2818" s="2" t="n">
        <v>43238.85871527778</v>
      </c>
      <c r="C2818" t="n">
        <v>0</v>
      </c>
      <c r="D2818" t="n">
        <v>142</v>
      </c>
      <c r="E2818" t="s">
        <v>2824</v>
      </c>
      <c r="F2818" t="s"/>
      <c r="G2818" t="s"/>
      <c r="H2818" t="s"/>
      <c r="I2818" t="s"/>
      <c r="J2818" t="n">
        <v>0.2755</v>
      </c>
      <c r="K2818" t="n">
        <v>0</v>
      </c>
      <c r="L2818" t="n">
        <v>0.919</v>
      </c>
      <c r="M2818" t="n">
        <v>0.081</v>
      </c>
    </row>
    <row r="2819" spans="1:13">
      <c r="A2819" s="1">
        <f>HYPERLINK("http://www.twitter.com/NathanBLawrence/status/997576293804859393", "997576293804859393")</f>
        <v/>
      </c>
      <c r="B2819" s="2" t="n">
        <v>43238.85760416667</v>
      </c>
      <c r="C2819" t="n">
        <v>0</v>
      </c>
      <c r="D2819" t="n">
        <v>130</v>
      </c>
      <c r="E2819" t="s">
        <v>2825</v>
      </c>
      <c r="F2819" t="s"/>
      <c r="G2819" t="s"/>
      <c r="H2819" t="s"/>
      <c r="I2819" t="s"/>
      <c r="J2819" t="n">
        <v>-0.3818</v>
      </c>
      <c r="K2819" t="n">
        <v>0.133</v>
      </c>
      <c r="L2819" t="n">
        <v>0.867</v>
      </c>
      <c r="M2819" t="n">
        <v>0</v>
      </c>
    </row>
    <row r="2820" spans="1:13">
      <c r="A2820" s="1">
        <f>HYPERLINK("http://www.twitter.com/NathanBLawrence/status/997576152377184256", "997576152377184256")</f>
        <v/>
      </c>
      <c r="B2820" s="2" t="n">
        <v>43238.85721064815</v>
      </c>
      <c r="C2820" t="n">
        <v>0</v>
      </c>
      <c r="D2820" t="n">
        <v>1593</v>
      </c>
      <c r="E2820" t="s">
        <v>2826</v>
      </c>
      <c r="F2820" t="s"/>
      <c r="G2820" t="s"/>
      <c r="H2820" t="s"/>
      <c r="I2820" t="s"/>
      <c r="J2820" t="n">
        <v>-0.1012</v>
      </c>
      <c r="K2820" t="n">
        <v>0.126</v>
      </c>
      <c r="L2820" t="n">
        <v>0.764</v>
      </c>
      <c r="M2820" t="n">
        <v>0.111</v>
      </c>
    </row>
    <row r="2821" spans="1:13">
      <c r="A2821" s="1">
        <f>HYPERLINK("http://www.twitter.com/NathanBLawrence/status/997576082076393472", "997576082076393472")</f>
        <v/>
      </c>
      <c r="B2821" s="2" t="n">
        <v>43238.85701388889</v>
      </c>
      <c r="C2821" t="n">
        <v>0</v>
      </c>
      <c r="D2821" t="n">
        <v>333</v>
      </c>
      <c r="E2821" t="s">
        <v>2827</v>
      </c>
      <c r="F2821" t="s"/>
      <c r="G2821" t="s"/>
      <c r="H2821" t="s"/>
      <c r="I2821" t="s"/>
      <c r="J2821" t="n">
        <v>-0.743</v>
      </c>
      <c r="K2821" t="n">
        <v>0.187</v>
      </c>
      <c r="L2821" t="n">
        <v>0.8129999999999999</v>
      </c>
      <c r="M2821" t="n">
        <v>0</v>
      </c>
    </row>
    <row r="2822" spans="1:13">
      <c r="A2822" s="1">
        <f>HYPERLINK("http://www.twitter.com/NathanBLawrence/status/997575937519751168", "997575937519751168")</f>
        <v/>
      </c>
      <c r="B2822" s="2" t="n">
        <v>43238.85662037037</v>
      </c>
      <c r="C2822" t="n">
        <v>0</v>
      </c>
      <c r="D2822" t="n">
        <v>1323</v>
      </c>
      <c r="E2822" t="s">
        <v>2828</v>
      </c>
      <c r="F2822" t="s"/>
      <c r="G2822" t="s"/>
      <c r="H2822" t="s"/>
      <c r="I2822" t="s"/>
      <c r="J2822" t="n">
        <v>0</v>
      </c>
      <c r="K2822" t="n">
        <v>0</v>
      </c>
      <c r="L2822" t="n">
        <v>1</v>
      </c>
      <c r="M2822" t="n">
        <v>0</v>
      </c>
    </row>
    <row r="2823" spans="1:13">
      <c r="A2823" s="1">
        <f>HYPERLINK("http://www.twitter.com/NathanBLawrence/status/997575913373097985", "997575913373097985")</f>
        <v/>
      </c>
      <c r="B2823" s="2" t="n">
        <v>43238.85655092593</v>
      </c>
      <c r="C2823" t="n">
        <v>0</v>
      </c>
      <c r="D2823" t="n">
        <v>381</v>
      </c>
      <c r="E2823" t="s">
        <v>2829</v>
      </c>
      <c r="F2823" t="s"/>
      <c r="G2823" t="s"/>
      <c r="H2823" t="s"/>
      <c r="I2823" t="s"/>
      <c r="J2823" t="n">
        <v>-0.5266999999999999</v>
      </c>
      <c r="K2823" t="n">
        <v>0.175</v>
      </c>
      <c r="L2823" t="n">
        <v>0.825</v>
      </c>
      <c r="M2823" t="n">
        <v>0</v>
      </c>
    </row>
    <row r="2824" spans="1:13">
      <c r="A2824" s="1">
        <f>HYPERLINK("http://www.twitter.com/NathanBLawrence/status/997575781252464641", "997575781252464641")</f>
        <v/>
      </c>
      <c r="B2824" s="2" t="n">
        <v>43238.85618055556</v>
      </c>
      <c r="C2824" t="n">
        <v>0</v>
      </c>
      <c r="D2824" t="n">
        <v>1374</v>
      </c>
      <c r="E2824" t="s">
        <v>2830</v>
      </c>
      <c r="F2824" t="s"/>
      <c r="G2824" t="s"/>
      <c r="H2824" t="s"/>
      <c r="I2824" t="s"/>
      <c r="J2824" t="n">
        <v>0.3818</v>
      </c>
      <c r="K2824" t="n">
        <v>0</v>
      </c>
      <c r="L2824" t="n">
        <v>0.89</v>
      </c>
      <c r="M2824" t="n">
        <v>0.11</v>
      </c>
    </row>
    <row r="2825" spans="1:13">
      <c r="A2825" s="1">
        <f>HYPERLINK("http://www.twitter.com/NathanBLawrence/status/997575709387313152", "997575709387313152")</f>
        <v/>
      </c>
      <c r="B2825" s="2" t="n">
        <v>43238.8559837963</v>
      </c>
      <c r="C2825" t="n">
        <v>0</v>
      </c>
      <c r="D2825" t="n">
        <v>550</v>
      </c>
      <c r="E2825" t="s">
        <v>2831</v>
      </c>
      <c r="F2825" t="s"/>
      <c r="G2825" t="s"/>
      <c r="H2825" t="s"/>
      <c r="I2825" t="s"/>
      <c r="J2825" t="n">
        <v>0.4019</v>
      </c>
      <c r="K2825" t="n">
        <v>0.078</v>
      </c>
      <c r="L2825" t="n">
        <v>0.781</v>
      </c>
      <c r="M2825" t="n">
        <v>0.141</v>
      </c>
    </row>
    <row r="2826" spans="1:13">
      <c r="A2826" s="1">
        <f>HYPERLINK("http://www.twitter.com/NathanBLawrence/status/997575625056628743", "997575625056628743")</f>
        <v/>
      </c>
      <c r="B2826" s="2" t="n">
        <v>43238.85575231481</v>
      </c>
      <c r="C2826" t="n">
        <v>0</v>
      </c>
      <c r="D2826" t="n">
        <v>485</v>
      </c>
      <c r="E2826" t="s">
        <v>2832</v>
      </c>
      <c r="F2826" t="s"/>
      <c r="G2826" t="s"/>
      <c r="H2826" t="s"/>
      <c r="I2826" t="s"/>
      <c r="J2826" t="n">
        <v>0.6486</v>
      </c>
      <c r="K2826" t="n">
        <v>0</v>
      </c>
      <c r="L2826" t="n">
        <v>0.791</v>
      </c>
      <c r="M2826" t="n">
        <v>0.209</v>
      </c>
    </row>
    <row r="2827" spans="1:13">
      <c r="A2827" s="1">
        <f>HYPERLINK("http://www.twitter.com/NathanBLawrence/status/997575122398728194", "997575122398728194")</f>
        <v/>
      </c>
      <c r="B2827" s="2" t="n">
        <v>43238.85436342593</v>
      </c>
      <c r="C2827" t="n">
        <v>0</v>
      </c>
      <c r="D2827" t="n">
        <v>215</v>
      </c>
      <c r="E2827" t="s">
        <v>2833</v>
      </c>
      <c r="F2827" t="s"/>
      <c r="G2827" t="s"/>
      <c r="H2827" t="s"/>
      <c r="I2827" t="s"/>
      <c r="J2827" t="n">
        <v>-0.296</v>
      </c>
      <c r="K2827" t="n">
        <v>0.091</v>
      </c>
      <c r="L2827" t="n">
        <v>0.909</v>
      </c>
      <c r="M2827" t="n">
        <v>0</v>
      </c>
    </row>
    <row r="2828" spans="1:13">
      <c r="A2828" s="1">
        <f>HYPERLINK("http://www.twitter.com/NathanBLawrence/status/997575090362601472", "997575090362601472")</f>
        <v/>
      </c>
      <c r="B2828" s="2" t="n">
        <v>43238.85428240741</v>
      </c>
      <c r="C2828" t="n">
        <v>0</v>
      </c>
      <c r="D2828" t="n">
        <v>66</v>
      </c>
      <c r="E2828" t="s">
        <v>2834</v>
      </c>
      <c r="F2828" t="s"/>
      <c r="G2828" t="s"/>
      <c r="H2828" t="s"/>
      <c r="I2828" t="s"/>
      <c r="J2828" t="n">
        <v>-0.5423</v>
      </c>
      <c r="K2828" t="n">
        <v>0.241</v>
      </c>
      <c r="L2828" t="n">
        <v>0.759</v>
      </c>
      <c r="M2828" t="n">
        <v>0</v>
      </c>
    </row>
    <row r="2829" spans="1:13">
      <c r="A2829" s="1">
        <f>HYPERLINK("http://www.twitter.com/NathanBLawrence/status/997574965720485888", "997574965720485888")</f>
        <v/>
      </c>
      <c r="B2829" s="2" t="n">
        <v>43238.85393518519</v>
      </c>
      <c r="C2829" t="n">
        <v>0</v>
      </c>
      <c r="D2829" t="n">
        <v>1235</v>
      </c>
      <c r="E2829" t="s">
        <v>2835</v>
      </c>
      <c r="F2829" t="s"/>
      <c r="G2829" t="s"/>
      <c r="H2829" t="s"/>
      <c r="I2829" t="s"/>
      <c r="J2829" t="n">
        <v>0</v>
      </c>
      <c r="K2829" t="n">
        <v>0</v>
      </c>
      <c r="L2829" t="n">
        <v>1</v>
      </c>
      <c r="M2829" t="n">
        <v>0</v>
      </c>
    </row>
    <row r="2830" spans="1:13">
      <c r="A2830" s="1">
        <f>HYPERLINK("http://www.twitter.com/NathanBLawrence/status/997574929775255554", "997574929775255554")</f>
        <v/>
      </c>
      <c r="B2830" s="2" t="n">
        <v>43238.85383101852</v>
      </c>
      <c r="C2830" t="n">
        <v>0</v>
      </c>
      <c r="D2830" t="n">
        <v>1690</v>
      </c>
      <c r="E2830" t="s">
        <v>2836</v>
      </c>
      <c r="F2830" t="s"/>
      <c r="G2830" t="s"/>
      <c r="H2830" t="s"/>
      <c r="I2830" t="s"/>
      <c r="J2830" t="n">
        <v>-0.4404</v>
      </c>
      <c r="K2830" t="n">
        <v>0.112</v>
      </c>
      <c r="L2830" t="n">
        <v>0.888</v>
      </c>
      <c r="M2830" t="n">
        <v>0</v>
      </c>
    </row>
    <row r="2831" spans="1:13">
      <c r="A2831" s="1">
        <f>HYPERLINK("http://www.twitter.com/NathanBLawrence/status/997574879170957313", "997574879170957313")</f>
        <v/>
      </c>
      <c r="B2831" s="2" t="n">
        <v>43238.85369212963</v>
      </c>
      <c r="C2831" t="n">
        <v>0</v>
      </c>
      <c r="D2831" t="n">
        <v>748</v>
      </c>
      <c r="E2831" t="s">
        <v>2837</v>
      </c>
      <c r="F2831" t="s"/>
      <c r="G2831" t="s"/>
      <c r="H2831" t="s"/>
      <c r="I2831" t="s"/>
      <c r="J2831" t="n">
        <v>0</v>
      </c>
      <c r="K2831" t="n">
        <v>0</v>
      </c>
      <c r="L2831" t="n">
        <v>1</v>
      </c>
      <c r="M2831" t="n">
        <v>0</v>
      </c>
    </row>
    <row r="2832" spans="1:13">
      <c r="A2832" s="1">
        <f>HYPERLINK("http://www.twitter.com/NathanBLawrence/status/997574256685961217", "997574256685961217")</f>
        <v/>
      </c>
      <c r="B2832" s="2" t="n">
        <v>43238.85197916667</v>
      </c>
      <c r="C2832" t="n">
        <v>0</v>
      </c>
      <c r="D2832" t="n">
        <v>129</v>
      </c>
      <c r="E2832" t="s">
        <v>2838</v>
      </c>
      <c r="F2832" t="s"/>
      <c r="G2832" t="s"/>
      <c r="H2832" t="s"/>
      <c r="I2832" t="s"/>
      <c r="J2832" t="n">
        <v>-0.765</v>
      </c>
      <c r="K2832" t="n">
        <v>0.223</v>
      </c>
      <c r="L2832" t="n">
        <v>0.777</v>
      </c>
      <c r="M2832" t="n">
        <v>0</v>
      </c>
    </row>
    <row r="2833" spans="1:13">
      <c r="A2833" s="1">
        <f>HYPERLINK("http://www.twitter.com/NathanBLawrence/status/997573943564357633", "997573943564357633")</f>
        <v/>
      </c>
      <c r="B2833" s="2" t="n">
        <v>43238.85111111111</v>
      </c>
      <c r="C2833" t="n">
        <v>0</v>
      </c>
      <c r="D2833" t="n">
        <v>203</v>
      </c>
      <c r="E2833" t="s">
        <v>2839</v>
      </c>
      <c r="F2833" t="s"/>
      <c r="G2833" t="s"/>
      <c r="H2833" t="s"/>
      <c r="I2833" t="s"/>
      <c r="J2833" t="n">
        <v>-0.3612</v>
      </c>
      <c r="K2833" t="n">
        <v>0.116</v>
      </c>
      <c r="L2833" t="n">
        <v>0.83</v>
      </c>
      <c r="M2833" t="n">
        <v>0.054</v>
      </c>
    </row>
    <row r="2834" spans="1:13">
      <c r="A2834" s="1">
        <f>HYPERLINK("http://www.twitter.com/NathanBLawrence/status/997573921540067330", "997573921540067330")</f>
        <v/>
      </c>
      <c r="B2834" s="2" t="n">
        <v>43238.85105324074</v>
      </c>
      <c r="C2834" t="n">
        <v>0</v>
      </c>
      <c r="D2834" t="n">
        <v>718</v>
      </c>
      <c r="E2834" t="s">
        <v>2840</v>
      </c>
      <c r="F2834" t="s"/>
      <c r="G2834" t="s"/>
      <c r="H2834" t="s"/>
      <c r="I2834" t="s"/>
      <c r="J2834" t="n">
        <v>0.5719</v>
      </c>
      <c r="K2834" t="n">
        <v>0</v>
      </c>
      <c r="L2834" t="n">
        <v>0.793</v>
      </c>
      <c r="M2834" t="n">
        <v>0.207</v>
      </c>
    </row>
    <row r="2835" spans="1:13">
      <c r="A2835" s="1">
        <f>HYPERLINK("http://www.twitter.com/NathanBLawrence/status/997573705495646208", "997573705495646208")</f>
        <v/>
      </c>
      <c r="B2835" s="2" t="n">
        <v>43238.85046296296</v>
      </c>
      <c r="C2835" t="n">
        <v>0</v>
      </c>
      <c r="D2835" t="n">
        <v>5</v>
      </c>
      <c r="E2835" t="s">
        <v>2841</v>
      </c>
      <c r="F2835" t="s"/>
      <c r="G2835" t="s"/>
      <c r="H2835" t="s"/>
      <c r="I2835" t="s"/>
      <c r="J2835" t="n">
        <v>0</v>
      </c>
      <c r="K2835" t="n">
        <v>0</v>
      </c>
      <c r="L2835" t="n">
        <v>1</v>
      </c>
      <c r="M2835" t="n">
        <v>0</v>
      </c>
    </row>
    <row r="2836" spans="1:13">
      <c r="A2836" s="1">
        <f>HYPERLINK("http://www.twitter.com/NathanBLawrence/status/997573688613638150", "997573688613638150")</f>
        <v/>
      </c>
      <c r="B2836" s="2" t="n">
        <v>43238.85041666667</v>
      </c>
      <c r="C2836" t="n">
        <v>0</v>
      </c>
      <c r="D2836" t="n">
        <v>5</v>
      </c>
      <c r="E2836" t="s">
        <v>2842</v>
      </c>
      <c r="F2836">
        <f>HYPERLINK("http://pbs.twimg.com/media/Dacd4ltXcAEOXyY.jpg", "http://pbs.twimg.com/media/Dacd4ltXcAEOXyY.jpg")</f>
        <v/>
      </c>
      <c r="G2836" t="s"/>
      <c r="H2836" t="s"/>
      <c r="I2836" t="s"/>
      <c r="J2836" t="n">
        <v>0</v>
      </c>
      <c r="K2836" t="n">
        <v>0</v>
      </c>
      <c r="L2836" t="n">
        <v>1</v>
      </c>
      <c r="M2836" t="n">
        <v>0</v>
      </c>
    </row>
    <row r="2837" spans="1:13">
      <c r="A2837" s="1">
        <f>HYPERLINK("http://www.twitter.com/NathanBLawrence/status/997573578932580353", "997573578932580353")</f>
        <v/>
      </c>
      <c r="B2837" s="2" t="n">
        <v>43238.85010416667</v>
      </c>
      <c r="C2837" t="n">
        <v>0</v>
      </c>
      <c r="D2837" t="n">
        <v>77</v>
      </c>
      <c r="E2837" t="s">
        <v>2843</v>
      </c>
      <c r="F2837" t="s"/>
      <c r="G2837" t="s"/>
      <c r="H2837" t="s"/>
      <c r="I2837" t="s"/>
      <c r="J2837" t="n">
        <v>-0.743</v>
      </c>
      <c r="K2837" t="n">
        <v>0.215</v>
      </c>
      <c r="L2837" t="n">
        <v>0.785</v>
      </c>
      <c r="M2837" t="n">
        <v>0</v>
      </c>
    </row>
    <row r="2838" spans="1:13">
      <c r="A2838" s="1">
        <f>HYPERLINK("http://www.twitter.com/NathanBLawrence/status/997573542496624640", "997573542496624640")</f>
        <v/>
      </c>
      <c r="B2838" s="2" t="n">
        <v>43238.85001157408</v>
      </c>
      <c r="C2838" t="n">
        <v>0</v>
      </c>
      <c r="D2838" t="n">
        <v>26</v>
      </c>
      <c r="E2838" t="s">
        <v>2844</v>
      </c>
      <c r="F2838" t="s"/>
      <c r="G2838" t="s"/>
      <c r="H2838" t="s"/>
      <c r="I2838" t="s"/>
      <c r="J2838" t="n">
        <v>0.3818</v>
      </c>
      <c r="K2838" t="n">
        <v>0</v>
      </c>
      <c r="L2838" t="n">
        <v>0.885</v>
      </c>
      <c r="M2838" t="n">
        <v>0.115</v>
      </c>
    </row>
    <row r="2839" spans="1:13">
      <c r="A2839" s="1">
        <f>HYPERLINK("http://www.twitter.com/NathanBLawrence/status/997573519029473280", "997573519029473280")</f>
        <v/>
      </c>
      <c r="B2839" s="2" t="n">
        <v>43238.84994212963</v>
      </c>
      <c r="C2839" t="n">
        <v>0</v>
      </c>
      <c r="D2839" t="n">
        <v>440</v>
      </c>
      <c r="E2839" t="s">
        <v>2845</v>
      </c>
      <c r="F2839" t="s"/>
      <c r="G2839" t="s"/>
      <c r="H2839" t="s"/>
      <c r="I2839" t="s"/>
      <c r="J2839" t="n">
        <v>0.4588</v>
      </c>
      <c r="K2839" t="n">
        <v>0</v>
      </c>
      <c r="L2839" t="n">
        <v>0.846</v>
      </c>
      <c r="M2839" t="n">
        <v>0.154</v>
      </c>
    </row>
    <row r="2840" spans="1:13">
      <c r="A2840" s="1">
        <f>HYPERLINK("http://www.twitter.com/NathanBLawrence/status/997572469602115584", "997572469602115584")</f>
        <v/>
      </c>
      <c r="B2840" s="2" t="n">
        <v>43238.84704861111</v>
      </c>
      <c r="C2840" t="n">
        <v>0</v>
      </c>
      <c r="D2840" t="n">
        <v>85</v>
      </c>
      <c r="E2840" t="s">
        <v>2846</v>
      </c>
      <c r="F2840">
        <f>HYPERLINK("http://pbs.twimg.com/media/DdfZWyDV0AEAzlO.jpg", "http://pbs.twimg.com/media/DdfZWyDV0AEAzlO.jpg")</f>
        <v/>
      </c>
      <c r="G2840" t="s"/>
      <c r="H2840" t="s"/>
      <c r="I2840" t="s"/>
      <c r="J2840" t="n">
        <v>0.4145</v>
      </c>
      <c r="K2840" t="n">
        <v>0.074</v>
      </c>
      <c r="L2840" t="n">
        <v>0.743</v>
      </c>
      <c r="M2840" t="n">
        <v>0.182</v>
      </c>
    </row>
    <row r="2841" spans="1:13">
      <c r="A2841" s="1">
        <f>HYPERLINK("http://www.twitter.com/NathanBLawrence/status/997572389612544000", "997572389612544000")</f>
        <v/>
      </c>
      <c r="B2841" s="2" t="n">
        <v>43238.8468287037</v>
      </c>
      <c r="C2841" t="n">
        <v>0</v>
      </c>
      <c r="D2841" t="n">
        <v>13962</v>
      </c>
      <c r="E2841" t="s">
        <v>2847</v>
      </c>
      <c r="F2841" t="s"/>
      <c r="G2841" t="s"/>
      <c r="H2841" t="s"/>
      <c r="I2841" t="s"/>
      <c r="J2841" t="n">
        <v>0</v>
      </c>
      <c r="K2841" t="n">
        <v>0.097</v>
      </c>
      <c r="L2841" t="n">
        <v>0.805</v>
      </c>
      <c r="M2841" t="n">
        <v>0.097</v>
      </c>
    </row>
    <row r="2842" spans="1:13">
      <c r="A2842" s="1">
        <f>HYPERLINK("http://www.twitter.com/NathanBLawrence/status/997572272717225984", "997572272717225984")</f>
        <v/>
      </c>
      <c r="B2842" s="2" t="n">
        <v>43238.84650462963</v>
      </c>
      <c r="C2842" t="n">
        <v>0</v>
      </c>
      <c r="D2842" t="n">
        <v>244</v>
      </c>
      <c r="E2842" t="s">
        <v>2848</v>
      </c>
      <c r="F2842" t="s"/>
      <c r="G2842" t="s"/>
      <c r="H2842" t="s"/>
      <c r="I2842" t="s"/>
      <c r="J2842" t="n">
        <v>0</v>
      </c>
      <c r="K2842" t="n">
        <v>0</v>
      </c>
      <c r="L2842" t="n">
        <v>1</v>
      </c>
      <c r="M2842" t="n">
        <v>0</v>
      </c>
    </row>
    <row r="2843" spans="1:13">
      <c r="A2843" s="1">
        <f>HYPERLINK("http://www.twitter.com/NathanBLawrence/status/997572233735364608", "997572233735364608")</f>
        <v/>
      </c>
      <c r="B2843" s="2" t="n">
        <v>43238.84640046296</v>
      </c>
      <c r="C2843" t="n">
        <v>0</v>
      </c>
      <c r="D2843" t="n">
        <v>485</v>
      </c>
      <c r="E2843" t="s">
        <v>2849</v>
      </c>
      <c r="F2843" t="s"/>
      <c r="G2843" t="s"/>
      <c r="H2843" t="s"/>
      <c r="I2843" t="s"/>
      <c r="J2843" t="n">
        <v>0.5266999999999999</v>
      </c>
      <c r="K2843" t="n">
        <v>0</v>
      </c>
      <c r="L2843" t="n">
        <v>0.82</v>
      </c>
      <c r="M2843" t="n">
        <v>0.18</v>
      </c>
    </row>
    <row r="2844" spans="1:13">
      <c r="A2844" s="1">
        <f>HYPERLINK("http://www.twitter.com/NathanBLawrence/status/997572177011585024", "997572177011585024")</f>
        <v/>
      </c>
      <c r="B2844" s="2" t="n">
        <v>43238.84623842593</v>
      </c>
      <c r="C2844" t="n">
        <v>0</v>
      </c>
      <c r="D2844" t="n">
        <v>2139</v>
      </c>
      <c r="E2844" t="s">
        <v>2850</v>
      </c>
      <c r="F2844">
        <f>HYPERLINK("http://pbs.twimg.com/media/DdfcBU4V4AAGupq.jpg", "http://pbs.twimg.com/media/DdfcBU4V4AAGupq.jpg")</f>
        <v/>
      </c>
      <c r="G2844" t="s"/>
      <c r="H2844" t="s"/>
      <c r="I2844" t="s"/>
      <c r="J2844" t="n">
        <v>0.6369</v>
      </c>
      <c r="K2844" t="n">
        <v>0</v>
      </c>
      <c r="L2844" t="n">
        <v>0.851</v>
      </c>
      <c r="M2844" t="n">
        <v>0.149</v>
      </c>
    </row>
    <row r="2845" spans="1:13">
      <c r="A2845" s="1">
        <f>HYPERLINK("http://www.twitter.com/NathanBLawrence/status/997572151870935041", "997572151870935041")</f>
        <v/>
      </c>
      <c r="B2845" s="2" t="n">
        <v>43238.84616898148</v>
      </c>
      <c r="C2845" t="n">
        <v>0</v>
      </c>
      <c r="D2845" t="n">
        <v>20</v>
      </c>
      <c r="E2845" t="s">
        <v>2851</v>
      </c>
      <c r="F2845" t="s"/>
      <c r="G2845" t="s"/>
      <c r="H2845" t="s"/>
      <c r="I2845" t="s"/>
      <c r="J2845" t="n">
        <v>0.4215</v>
      </c>
      <c r="K2845" t="n">
        <v>0</v>
      </c>
      <c r="L2845" t="n">
        <v>0.8080000000000001</v>
      </c>
      <c r="M2845" t="n">
        <v>0.192</v>
      </c>
    </row>
    <row r="2846" spans="1:13">
      <c r="A2846" s="1">
        <f>HYPERLINK("http://www.twitter.com/NathanBLawrence/status/997572071080235009", "997572071080235009")</f>
        <v/>
      </c>
      <c r="B2846" s="2" t="n">
        <v>43238.84594907407</v>
      </c>
      <c r="C2846" t="n">
        <v>0</v>
      </c>
      <c r="D2846" t="n">
        <v>205</v>
      </c>
      <c r="E2846" t="s">
        <v>2852</v>
      </c>
      <c r="F2846">
        <f>HYPERLINK("http://pbs.twimg.com/media/DdazyMZV0AA24jS.jpg", "http://pbs.twimg.com/media/DdazyMZV0AA24jS.jpg")</f>
        <v/>
      </c>
      <c r="G2846" t="s"/>
      <c r="H2846" t="s"/>
      <c r="I2846" t="s"/>
      <c r="J2846" t="n">
        <v>0.3182</v>
      </c>
      <c r="K2846" t="n">
        <v>0</v>
      </c>
      <c r="L2846" t="n">
        <v>0.892</v>
      </c>
      <c r="M2846" t="n">
        <v>0.108</v>
      </c>
    </row>
    <row r="2847" spans="1:13">
      <c r="A2847" s="1">
        <f>HYPERLINK("http://www.twitter.com/NathanBLawrence/status/997572018613772288", "997572018613772288")</f>
        <v/>
      </c>
      <c r="B2847" s="2" t="n">
        <v>43238.84579861111</v>
      </c>
      <c r="C2847" t="n">
        <v>0</v>
      </c>
      <c r="D2847" t="n">
        <v>341</v>
      </c>
      <c r="E2847" t="s">
        <v>2853</v>
      </c>
      <c r="F2847">
        <f>HYPERLINK("http://pbs.twimg.com/media/Dda6G5FU0AAlg6O.jpg", "http://pbs.twimg.com/media/Dda6G5FU0AAlg6O.jpg")</f>
        <v/>
      </c>
      <c r="G2847" t="s"/>
      <c r="H2847" t="s"/>
      <c r="I2847" t="s"/>
      <c r="J2847" t="n">
        <v>-0.3182</v>
      </c>
      <c r="K2847" t="n">
        <v>0.123</v>
      </c>
      <c r="L2847" t="n">
        <v>0.821</v>
      </c>
      <c r="M2847" t="n">
        <v>0.056</v>
      </c>
    </row>
    <row r="2848" spans="1:13">
      <c r="A2848" s="1">
        <f>HYPERLINK("http://www.twitter.com/NathanBLawrence/status/997571992449626112", "997571992449626112")</f>
        <v/>
      </c>
      <c r="B2848" s="2" t="n">
        <v>43238.84572916666</v>
      </c>
      <c r="C2848" t="n">
        <v>0</v>
      </c>
      <c r="D2848" t="n">
        <v>877</v>
      </c>
      <c r="E2848" t="s">
        <v>2854</v>
      </c>
      <c r="F2848" t="s"/>
      <c r="G2848" t="s"/>
      <c r="H2848" t="s"/>
      <c r="I2848" t="s"/>
      <c r="J2848" t="n">
        <v>-0.2732</v>
      </c>
      <c r="K2848" t="n">
        <v>0.095</v>
      </c>
      <c r="L2848" t="n">
        <v>0.905</v>
      </c>
      <c r="M2848" t="n">
        <v>0</v>
      </c>
    </row>
    <row r="2849" spans="1:13">
      <c r="A2849" s="1">
        <f>HYPERLINK("http://www.twitter.com/NathanBLawrence/status/997571730225889281", "997571730225889281")</f>
        <v/>
      </c>
      <c r="B2849" s="2" t="n">
        <v>43238.84501157407</v>
      </c>
      <c r="C2849" t="n">
        <v>0</v>
      </c>
      <c r="D2849" t="n">
        <v>249</v>
      </c>
      <c r="E2849" t="s">
        <v>2855</v>
      </c>
      <c r="F2849" t="s"/>
      <c r="G2849" t="s"/>
      <c r="H2849" t="s"/>
      <c r="I2849" t="s"/>
      <c r="J2849" t="n">
        <v>-0.1027</v>
      </c>
      <c r="K2849" t="n">
        <v>0.247</v>
      </c>
      <c r="L2849" t="n">
        <v>0.533</v>
      </c>
      <c r="M2849" t="n">
        <v>0.22</v>
      </c>
    </row>
    <row r="2850" spans="1:13">
      <c r="A2850" s="1">
        <f>HYPERLINK("http://www.twitter.com/NathanBLawrence/status/997571581386854400", "997571581386854400")</f>
        <v/>
      </c>
      <c r="B2850" s="2" t="n">
        <v>43238.84459490741</v>
      </c>
      <c r="C2850" t="n">
        <v>0</v>
      </c>
      <c r="D2850" t="n">
        <v>3241</v>
      </c>
      <c r="E2850" t="s">
        <v>2856</v>
      </c>
      <c r="F2850" t="s"/>
      <c r="G2850" t="s"/>
      <c r="H2850" t="s"/>
      <c r="I2850" t="s"/>
      <c r="J2850" t="n">
        <v>-0.6627999999999999</v>
      </c>
      <c r="K2850" t="n">
        <v>0.218</v>
      </c>
      <c r="L2850" t="n">
        <v>0.782</v>
      </c>
      <c r="M2850" t="n">
        <v>0</v>
      </c>
    </row>
    <row r="2851" spans="1:13">
      <c r="A2851" s="1">
        <f>HYPERLINK("http://www.twitter.com/NathanBLawrence/status/997571506170400768", "997571506170400768")</f>
        <v/>
      </c>
      <c r="B2851" s="2" t="n">
        <v>43238.84438657408</v>
      </c>
      <c r="C2851" t="n">
        <v>0</v>
      </c>
      <c r="D2851" t="n">
        <v>1478</v>
      </c>
      <c r="E2851" t="s">
        <v>2857</v>
      </c>
      <c r="F2851">
        <f>HYPERLINK("https://video.twimg.com/amplify_video/997276789217968128/vid/1280x720/fLM3H9yKD-9Su8S4.mp4?tag=2", "https://video.twimg.com/amplify_video/997276789217968128/vid/1280x720/fLM3H9yKD-9Su8S4.mp4?tag=2")</f>
        <v/>
      </c>
      <c r="G2851" t="s"/>
      <c r="H2851" t="s"/>
      <c r="I2851" t="s"/>
      <c r="J2851" t="n">
        <v>0</v>
      </c>
      <c r="K2851" t="n">
        <v>0</v>
      </c>
      <c r="L2851" t="n">
        <v>1</v>
      </c>
      <c r="M2851" t="n">
        <v>0</v>
      </c>
    </row>
    <row r="2852" spans="1:13">
      <c r="A2852" s="1">
        <f>HYPERLINK("http://www.twitter.com/NathanBLawrence/status/997571408543744000", "997571408543744000")</f>
        <v/>
      </c>
      <c r="B2852" s="2" t="n">
        <v>43238.84412037037</v>
      </c>
      <c r="C2852" t="n">
        <v>0</v>
      </c>
      <c r="D2852" t="n">
        <v>2228</v>
      </c>
      <c r="E2852" t="s">
        <v>2858</v>
      </c>
      <c r="F2852" t="s"/>
      <c r="G2852" t="s"/>
      <c r="H2852" t="s"/>
      <c r="I2852" t="s"/>
      <c r="J2852" t="n">
        <v>0.5574</v>
      </c>
      <c r="K2852" t="n">
        <v>0</v>
      </c>
      <c r="L2852" t="n">
        <v>0.795</v>
      </c>
      <c r="M2852" t="n">
        <v>0.205</v>
      </c>
    </row>
    <row r="2853" spans="1:13">
      <c r="A2853" s="1">
        <f>HYPERLINK("http://www.twitter.com/NathanBLawrence/status/997571364516171781", "997571364516171781")</f>
        <v/>
      </c>
      <c r="B2853" s="2" t="n">
        <v>43238.84399305555</v>
      </c>
      <c r="C2853" t="n">
        <v>0</v>
      </c>
      <c r="D2853" t="n">
        <v>646</v>
      </c>
      <c r="E2853" t="s">
        <v>2859</v>
      </c>
      <c r="F2853" t="s"/>
      <c r="G2853" t="s"/>
      <c r="H2853" t="s"/>
      <c r="I2853" t="s"/>
      <c r="J2853" t="n">
        <v>-0.6124000000000001</v>
      </c>
      <c r="K2853" t="n">
        <v>0.154</v>
      </c>
      <c r="L2853" t="n">
        <v>0.846</v>
      </c>
      <c r="M2853" t="n">
        <v>0</v>
      </c>
    </row>
    <row r="2854" spans="1:13">
      <c r="A2854" s="1">
        <f>HYPERLINK("http://www.twitter.com/NathanBLawrence/status/997567496696844288", "997567496696844288")</f>
        <v/>
      </c>
      <c r="B2854" s="2" t="n">
        <v>43238.83332175926</v>
      </c>
      <c r="C2854" t="n">
        <v>0</v>
      </c>
      <c r="D2854" t="n">
        <v>3431</v>
      </c>
      <c r="E2854" t="s">
        <v>2860</v>
      </c>
      <c r="F2854" t="s"/>
      <c r="G2854" t="s"/>
      <c r="H2854" t="s"/>
      <c r="I2854" t="s"/>
      <c r="J2854" t="n">
        <v>0.2263</v>
      </c>
      <c r="K2854" t="n">
        <v>0.074</v>
      </c>
      <c r="L2854" t="n">
        <v>0.8179999999999999</v>
      </c>
      <c r="M2854" t="n">
        <v>0.108</v>
      </c>
    </row>
    <row r="2855" spans="1:13">
      <c r="A2855" s="1">
        <f>HYPERLINK("http://www.twitter.com/NathanBLawrence/status/997567426417119234", "997567426417119234")</f>
        <v/>
      </c>
      <c r="B2855" s="2" t="n">
        <v>43238.83313657407</v>
      </c>
      <c r="C2855" t="n">
        <v>0</v>
      </c>
      <c r="D2855" t="n">
        <v>0</v>
      </c>
      <c r="E2855" t="s">
        <v>2861</v>
      </c>
      <c r="F2855" t="s"/>
      <c r="G2855" t="s"/>
      <c r="H2855" t="s"/>
      <c r="I2855" t="s"/>
      <c r="J2855" t="n">
        <v>0.0165</v>
      </c>
      <c r="K2855" t="n">
        <v>0.209</v>
      </c>
      <c r="L2855" t="n">
        <v>0.556</v>
      </c>
      <c r="M2855" t="n">
        <v>0.234</v>
      </c>
    </row>
    <row r="2856" spans="1:13">
      <c r="A2856" s="1">
        <f>HYPERLINK("http://www.twitter.com/NathanBLawrence/status/997566656313462784", "997566656313462784")</f>
        <v/>
      </c>
      <c r="B2856" s="2" t="n">
        <v>43238.83100694444</v>
      </c>
      <c r="C2856" t="n">
        <v>2</v>
      </c>
      <c r="D2856" t="n">
        <v>0</v>
      </c>
      <c r="E2856" t="s">
        <v>2862</v>
      </c>
      <c r="F2856" t="s"/>
      <c r="G2856" t="s"/>
      <c r="H2856" t="s"/>
      <c r="I2856" t="s"/>
      <c r="J2856" t="n">
        <v>-0.3382</v>
      </c>
      <c r="K2856" t="n">
        <v>0.206</v>
      </c>
      <c r="L2856" t="n">
        <v>0.625</v>
      </c>
      <c r="M2856" t="n">
        <v>0.169</v>
      </c>
    </row>
    <row r="2857" spans="1:13">
      <c r="A2857" s="1">
        <f>HYPERLINK("http://www.twitter.com/NathanBLawrence/status/997564301933187072", "997564301933187072")</f>
        <v/>
      </c>
      <c r="B2857" s="2" t="n">
        <v>43238.82451388889</v>
      </c>
      <c r="C2857" t="n">
        <v>8</v>
      </c>
      <c r="D2857" t="n">
        <v>1</v>
      </c>
      <c r="E2857" t="s">
        <v>2863</v>
      </c>
      <c r="F2857" t="s"/>
      <c r="G2857" t="s"/>
      <c r="H2857" t="s"/>
      <c r="I2857" t="s"/>
      <c r="J2857" t="n">
        <v>0.6808</v>
      </c>
      <c r="K2857" t="n">
        <v>0.235</v>
      </c>
      <c r="L2857" t="n">
        <v>0.405</v>
      </c>
      <c r="M2857" t="n">
        <v>0.359</v>
      </c>
    </row>
    <row r="2858" spans="1:13">
      <c r="A2858" s="1">
        <f>HYPERLINK("http://www.twitter.com/NathanBLawrence/status/997563230699638786", "997563230699638786")</f>
        <v/>
      </c>
      <c r="B2858" s="2" t="n">
        <v>43238.82155092592</v>
      </c>
      <c r="C2858" t="n">
        <v>0</v>
      </c>
      <c r="D2858" t="n">
        <v>3</v>
      </c>
      <c r="E2858" t="s">
        <v>2864</v>
      </c>
      <c r="F2858" t="s"/>
      <c r="G2858" t="s"/>
      <c r="H2858" t="s"/>
      <c r="I2858" t="s"/>
      <c r="J2858" t="n">
        <v>-0.3786</v>
      </c>
      <c r="K2858" t="n">
        <v>0.278</v>
      </c>
      <c r="L2858" t="n">
        <v>0.527</v>
      </c>
      <c r="M2858" t="n">
        <v>0.195</v>
      </c>
    </row>
    <row r="2859" spans="1:13">
      <c r="A2859" s="1">
        <f>HYPERLINK("http://www.twitter.com/NathanBLawrence/status/997530650130427904", "997530650130427904")</f>
        <v/>
      </c>
      <c r="B2859" s="2" t="n">
        <v>43238.73164351852</v>
      </c>
      <c r="C2859" t="n">
        <v>2</v>
      </c>
      <c r="D2859" t="n">
        <v>3</v>
      </c>
      <c r="E2859" t="s">
        <v>2865</v>
      </c>
      <c r="F2859" t="s"/>
      <c r="G2859" t="s"/>
      <c r="H2859" t="s"/>
      <c r="I2859" t="s"/>
      <c r="J2859" t="n">
        <v>-0.3612</v>
      </c>
      <c r="K2859" t="n">
        <v>0.147</v>
      </c>
      <c r="L2859" t="n">
        <v>0.754</v>
      </c>
      <c r="M2859" t="n">
        <v>0.099</v>
      </c>
    </row>
    <row r="2860" spans="1:13">
      <c r="A2860" s="1">
        <f>HYPERLINK("http://www.twitter.com/NathanBLawrence/status/997522845310832647", "997522845310832647")</f>
        <v/>
      </c>
      <c r="B2860" s="2" t="n">
        <v>43238.71011574074</v>
      </c>
      <c r="C2860" t="n">
        <v>0</v>
      </c>
      <c r="D2860" t="n">
        <v>1428</v>
      </c>
      <c r="E2860" t="s">
        <v>2866</v>
      </c>
      <c r="F2860" t="s"/>
      <c r="G2860" t="s"/>
      <c r="H2860" t="s"/>
      <c r="I2860" t="s"/>
      <c r="J2860" t="n">
        <v>-0.5423</v>
      </c>
      <c r="K2860" t="n">
        <v>0.184</v>
      </c>
      <c r="L2860" t="n">
        <v>0.766</v>
      </c>
      <c r="M2860" t="n">
        <v>0.05</v>
      </c>
    </row>
    <row r="2861" spans="1:13">
      <c r="A2861" s="1">
        <f>HYPERLINK("http://www.twitter.com/NathanBLawrence/status/997522758790733827", "997522758790733827")</f>
        <v/>
      </c>
      <c r="B2861" s="2" t="n">
        <v>43238.70987268518</v>
      </c>
      <c r="C2861" t="n">
        <v>0</v>
      </c>
      <c r="D2861" t="n">
        <v>0</v>
      </c>
      <c r="E2861" t="s">
        <v>2867</v>
      </c>
      <c r="F2861" t="s"/>
      <c r="G2861" t="s"/>
      <c r="H2861" t="s"/>
      <c r="I2861" t="s"/>
      <c r="J2861" t="n">
        <v>-0.6402</v>
      </c>
      <c r="K2861" t="n">
        <v>0.168</v>
      </c>
      <c r="L2861" t="n">
        <v>0.714</v>
      </c>
      <c r="M2861" t="n">
        <v>0.118</v>
      </c>
    </row>
    <row r="2862" spans="1:13">
      <c r="A2862" s="1">
        <f>HYPERLINK("http://www.twitter.com/NathanBLawrence/status/997521487463579649", "997521487463579649")</f>
        <v/>
      </c>
      <c r="B2862" s="2" t="n">
        <v>43238.70636574074</v>
      </c>
      <c r="C2862" t="n">
        <v>0</v>
      </c>
      <c r="D2862" t="n">
        <v>43387</v>
      </c>
      <c r="E2862" t="s">
        <v>2868</v>
      </c>
      <c r="F2862" t="s"/>
      <c r="G2862" t="s"/>
      <c r="H2862" t="s"/>
      <c r="I2862" t="s"/>
      <c r="J2862" t="n">
        <v>-0.92</v>
      </c>
      <c r="K2862" t="n">
        <v>0.45</v>
      </c>
      <c r="L2862" t="n">
        <v>0.55</v>
      </c>
      <c r="M2862" t="n">
        <v>0</v>
      </c>
    </row>
    <row r="2863" spans="1:13">
      <c r="A2863" s="1">
        <f>HYPERLINK("http://www.twitter.com/NathanBLawrence/status/997521008943882246", "997521008943882246")</f>
        <v/>
      </c>
      <c r="B2863" s="2" t="n">
        <v>43238.70504629629</v>
      </c>
      <c r="C2863" t="n">
        <v>0</v>
      </c>
      <c r="D2863" t="n">
        <v>79</v>
      </c>
      <c r="E2863" t="s">
        <v>2869</v>
      </c>
      <c r="F2863" t="s"/>
      <c r="G2863" t="s"/>
      <c r="H2863" t="s"/>
      <c r="I2863" t="s"/>
      <c r="J2863" t="n">
        <v>-0.6124000000000001</v>
      </c>
      <c r="K2863" t="n">
        <v>0.27</v>
      </c>
      <c r="L2863" t="n">
        <v>0.638</v>
      </c>
      <c r="M2863" t="n">
        <v>0.092</v>
      </c>
    </row>
    <row r="2864" spans="1:13">
      <c r="A2864" s="1">
        <f>HYPERLINK("http://www.twitter.com/NathanBLawrence/status/997520113518698496", "997520113518698496")</f>
        <v/>
      </c>
      <c r="B2864" s="2" t="n">
        <v>43238.70256944445</v>
      </c>
      <c r="C2864" t="n">
        <v>0</v>
      </c>
      <c r="D2864" t="n">
        <v>0</v>
      </c>
      <c r="E2864" t="s">
        <v>2870</v>
      </c>
      <c r="F2864" t="s"/>
      <c r="G2864" t="s"/>
      <c r="H2864" t="s"/>
      <c r="I2864" t="s"/>
      <c r="J2864" t="n">
        <v>0.4184</v>
      </c>
      <c r="K2864" t="n">
        <v>0.217</v>
      </c>
      <c r="L2864" t="n">
        <v>0.417</v>
      </c>
      <c r="M2864" t="n">
        <v>0.366</v>
      </c>
    </row>
    <row r="2865" spans="1:13">
      <c r="A2865" s="1">
        <f>HYPERLINK("http://www.twitter.com/NathanBLawrence/status/997519150103789568", "997519150103789568")</f>
        <v/>
      </c>
      <c r="B2865" s="2" t="n">
        <v>43238.69991898148</v>
      </c>
      <c r="C2865" t="n">
        <v>0</v>
      </c>
      <c r="D2865" t="n">
        <v>0</v>
      </c>
      <c r="E2865" t="s">
        <v>2871</v>
      </c>
      <c r="F2865" t="s"/>
      <c r="G2865" t="s"/>
      <c r="H2865" t="s"/>
      <c r="I2865" t="s"/>
      <c r="J2865" t="n">
        <v>-0.5972</v>
      </c>
      <c r="K2865" t="n">
        <v>0.147</v>
      </c>
      <c r="L2865" t="n">
        <v>0.787</v>
      </c>
      <c r="M2865" t="n">
        <v>0.066</v>
      </c>
    </row>
    <row r="2866" spans="1:13">
      <c r="A2866" s="1">
        <f>HYPERLINK("http://www.twitter.com/NathanBLawrence/status/997518222940307457", "997518222940307457")</f>
        <v/>
      </c>
      <c r="B2866" s="2" t="n">
        <v>43238.69734953704</v>
      </c>
      <c r="C2866" t="n">
        <v>0</v>
      </c>
      <c r="D2866" t="n">
        <v>3</v>
      </c>
      <c r="E2866" t="s">
        <v>2872</v>
      </c>
      <c r="F2866" t="s"/>
      <c r="G2866" t="s"/>
      <c r="H2866" t="s"/>
      <c r="I2866" t="s"/>
      <c r="J2866" t="n">
        <v>0</v>
      </c>
      <c r="K2866" t="n">
        <v>0</v>
      </c>
      <c r="L2866" t="n">
        <v>1</v>
      </c>
      <c r="M2866" t="n">
        <v>0</v>
      </c>
    </row>
    <row r="2867" spans="1:13">
      <c r="A2867" s="1">
        <f>HYPERLINK("http://www.twitter.com/NathanBLawrence/status/997517675306897408", "997517675306897408")</f>
        <v/>
      </c>
      <c r="B2867" s="2" t="n">
        <v>43238.69584490741</v>
      </c>
      <c r="C2867" t="n">
        <v>0</v>
      </c>
      <c r="D2867" t="n">
        <v>15614</v>
      </c>
      <c r="E2867" t="s">
        <v>2873</v>
      </c>
      <c r="F2867">
        <f>HYPERLINK("http://pbs.twimg.com/media/DdVrgBVWsAIC9eB.jpg", "http://pbs.twimg.com/media/DdVrgBVWsAIC9eB.jpg")</f>
        <v/>
      </c>
      <c r="G2867" t="s"/>
      <c r="H2867" t="s"/>
      <c r="I2867" t="s"/>
      <c r="J2867" t="n">
        <v>-0.0258</v>
      </c>
      <c r="K2867" t="n">
        <v>0.055</v>
      </c>
      <c r="L2867" t="n">
        <v>0.945</v>
      </c>
      <c r="M2867" t="n">
        <v>0</v>
      </c>
    </row>
    <row r="2868" spans="1:13">
      <c r="A2868" s="1">
        <f>HYPERLINK("http://www.twitter.com/NathanBLawrence/status/997517631749017601", "997517631749017601")</f>
        <v/>
      </c>
      <c r="B2868" s="2" t="n">
        <v>43238.69572916667</v>
      </c>
      <c r="C2868" t="n">
        <v>0</v>
      </c>
      <c r="D2868" t="n">
        <v>2325</v>
      </c>
      <c r="E2868" t="s">
        <v>2874</v>
      </c>
      <c r="F2868" t="s"/>
      <c r="G2868" t="s"/>
      <c r="H2868" t="s"/>
      <c r="I2868" t="s"/>
      <c r="J2868" t="n">
        <v>0</v>
      </c>
      <c r="K2868" t="n">
        <v>0</v>
      </c>
      <c r="L2868" t="n">
        <v>1</v>
      </c>
      <c r="M2868" t="n">
        <v>0</v>
      </c>
    </row>
    <row r="2869" spans="1:13">
      <c r="A2869" s="1">
        <f>HYPERLINK("http://www.twitter.com/NathanBLawrence/status/997517434914516992", "997517434914516992")</f>
        <v/>
      </c>
      <c r="B2869" s="2" t="n">
        <v>43238.69518518518</v>
      </c>
      <c r="C2869" t="n">
        <v>0</v>
      </c>
      <c r="D2869" t="n">
        <v>2836</v>
      </c>
      <c r="E2869" t="s">
        <v>2875</v>
      </c>
      <c r="F2869" t="s"/>
      <c r="G2869" t="s"/>
      <c r="H2869" t="s"/>
      <c r="I2869" t="s"/>
      <c r="J2869" t="n">
        <v>0.4215</v>
      </c>
      <c r="K2869" t="n">
        <v>0</v>
      </c>
      <c r="L2869" t="n">
        <v>0.891</v>
      </c>
      <c r="M2869" t="n">
        <v>0.109</v>
      </c>
    </row>
    <row r="2870" spans="1:13">
      <c r="A2870" s="1">
        <f>HYPERLINK("http://www.twitter.com/NathanBLawrence/status/997517342056833025", "997517342056833025")</f>
        <v/>
      </c>
      <c r="B2870" s="2" t="n">
        <v>43238.69491898148</v>
      </c>
      <c r="C2870" t="n">
        <v>0</v>
      </c>
      <c r="D2870" t="n">
        <v>3877</v>
      </c>
      <c r="E2870" t="s">
        <v>2876</v>
      </c>
      <c r="F2870" t="s"/>
      <c r="G2870" t="s"/>
      <c r="H2870" t="s"/>
      <c r="I2870" t="s"/>
      <c r="J2870" t="n">
        <v>0.3818</v>
      </c>
      <c r="K2870" t="n">
        <v>0</v>
      </c>
      <c r="L2870" t="n">
        <v>0.89</v>
      </c>
      <c r="M2870" t="n">
        <v>0.11</v>
      </c>
    </row>
    <row r="2871" spans="1:13">
      <c r="A2871" s="1">
        <f>HYPERLINK("http://www.twitter.com/NathanBLawrence/status/997489548698570753", "997489548698570753")</f>
        <v/>
      </c>
      <c r="B2871" s="2" t="n">
        <v>43238.61822916667</v>
      </c>
      <c r="C2871" t="n">
        <v>0</v>
      </c>
      <c r="D2871" t="n">
        <v>7</v>
      </c>
      <c r="E2871" t="s">
        <v>2877</v>
      </c>
      <c r="F2871" t="s"/>
      <c r="G2871" t="s"/>
      <c r="H2871" t="s"/>
      <c r="I2871" t="s"/>
      <c r="J2871" t="n">
        <v>-0.5306999999999999</v>
      </c>
      <c r="K2871" t="n">
        <v>0.329</v>
      </c>
      <c r="L2871" t="n">
        <v>0.671</v>
      </c>
      <c r="M2871" t="n">
        <v>0</v>
      </c>
    </row>
    <row r="2872" spans="1:13">
      <c r="A2872" s="1">
        <f>HYPERLINK("http://www.twitter.com/NathanBLawrence/status/997489524237393931", "997489524237393931")</f>
        <v/>
      </c>
      <c r="B2872" s="2" t="n">
        <v>43238.61815972222</v>
      </c>
      <c r="C2872" t="n">
        <v>0</v>
      </c>
      <c r="D2872" t="n">
        <v>2730</v>
      </c>
      <c r="E2872" t="s">
        <v>2878</v>
      </c>
      <c r="F2872" t="s"/>
      <c r="G2872" t="s"/>
      <c r="H2872" t="s"/>
      <c r="I2872" t="s"/>
      <c r="J2872" t="n">
        <v>-0.7569</v>
      </c>
      <c r="K2872" t="n">
        <v>0.245</v>
      </c>
      <c r="L2872" t="n">
        <v>0.755</v>
      </c>
      <c r="M2872" t="n">
        <v>0</v>
      </c>
    </row>
    <row r="2873" spans="1:13">
      <c r="A2873" s="1">
        <f>HYPERLINK("http://www.twitter.com/NathanBLawrence/status/997489481669337088", "997489481669337088")</f>
        <v/>
      </c>
      <c r="B2873" s="2" t="n">
        <v>43238.61804398148</v>
      </c>
      <c r="C2873" t="n">
        <v>0</v>
      </c>
      <c r="D2873" t="n">
        <v>76</v>
      </c>
      <c r="E2873" t="s">
        <v>2879</v>
      </c>
      <c r="F2873" t="s"/>
      <c r="G2873" t="s"/>
      <c r="H2873" t="s"/>
      <c r="I2873" t="s"/>
      <c r="J2873" t="n">
        <v>-0.5423</v>
      </c>
      <c r="K2873" t="n">
        <v>0.163</v>
      </c>
      <c r="L2873" t="n">
        <v>0.837</v>
      </c>
      <c r="M2873" t="n">
        <v>0</v>
      </c>
    </row>
    <row r="2874" spans="1:13">
      <c r="A2874" s="1">
        <f>HYPERLINK("http://www.twitter.com/NathanBLawrence/status/997488880613056513", "997488880613056513")</f>
        <v/>
      </c>
      <c r="B2874" s="2" t="n">
        <v>43238.61638888889</v>
      </c>
      <c r="C2874" t="n">
        <v>0</v>
      </c>
      <c r="D2874" t="n">
        <v>2270</v>
      </c>
      <c r="E2874" t="s">
        <v>2880</v>
      </c>
      <c r="F2874">
        <f>HYPERLINK("https://video.twimg.com/ext_tw_video/997477160444022786/pu/vid/640x360/DohrXFFvXmFeOkjE.mp4?tag=3", "https://video.twimg.com/ext_tw_video/997477160444022786/pu/vid/640x360/DohrXFFvXmFeOkjE.mp4?tag=3")</f>
        <v/>
      </c>
      <c r="G2874" t="s"/>
      <c r="H2874" t="s"/>
      <c r="I2874" t="s"/>
      <c r="J2874" t="n">
        <v>-0.765</v>
      </c>
      <c r="K2874" t="n">
        <v>0.258</v>
      </c>
      <c r="L2874" t="n">
        <v>0.742</v>
      </c>
      <c r="M2874" t="n">
        <v>0</v>
      </c>
    </row>
    <row r="2875" spans="1:13">
      <c r="A2875" s="1">
        <f>HYPERLINK("http://www.twitter.com/NathanBLawrence/status/997488728108040192", "997488728108040192")</f>
        <v/>
      </c>
      <c r="B2875" s="2" t="n">
        <v>43238.61596064815</v>
      </c>
      <c r="C2875" t="n">
        <v>0</v>
      </c>
      <c r="D2875" t="n">
        <v>371</v>
      </c>
      <c r="E2875" t="s">
        <v>2881</v>
      </c>
      <c r="F2875">
        <f>HYPERLINK("http://pbs.twimg.com/media/Dde_MH5VQAAcHtf.jpg", "http://pbs.twimg.com/media/Dde_MH5VQAAcHtf.jpg")</f>
        <v/>
      </c>
      <c r="G2875">
        <f>HYPERLINK("http://pbs.twimg.com/media/Dde_Mn5VQAAkDlL.jpg", "http://pbs.twimg.com/media/Dde_Mn5VQAAkDlL.jpg")</f>
        <v/>
      </c>
      <c r="H2875" t="s"/>
      <c r="I2875" t="s"/>
      <c r="J2875" t="n">
        <v>0.4019</v>
      </c>
      <c r="K2875" t="n">
        <v>0.07199999999999999</v>
      </c>
      <c r="L2875" t="n">
        <v>0.773</v>
      </c>
      <c r="M2875" t="n">
        <v>0.155</v>
      </c>
    </row>
    <row r="2876" spans="1:13">
      <c r="A2876" s="1">
        <f>HYPERLINK("http://www.twitter.com/NathanBLawrence/status/997488405931003904", "997488405931003904")</f>
        <v/>
      </c>
      <c r="B2876" s="2" t="n">
        <v>43238.61508101852</v>
      </c>
      <c r="C2876" t="n">
        <v>0</v>
      </c>
      <c r="D2876" t="n">
        <v>24053</v>
      </c>
      <c r="E2876" t="s">
        <v>2882</v>
      </c>
      <c r="F2876" t="s"/>
      <c r="G2876" t="s"/>
      <c r="H2876" t="s"/>
      <c r="I2876" t="s"/>
      <c r="J2876" t="n">
        <v>-0.4588</v>
      </c>
      <c r="K2876" t="n">
        <v>0.143</v>
      </c>
      <c r="L2876" t="n">
        <v>0.857</v>
      </c>
      <c r="M2876" t="n">
        <v>0</v>
      </c>
    </row>
    <row r="2877" spans="1:13">
      <c r="A2877" s="1">
        <f>HYPERLINK("http://www.twitter.com/NathanBLawrence/status/997488269582655488", "997488269582655488")</f>
        <v/>
      </c>
      <c r="B2877" s="2" t="n">
        <v>43238.61469907407</v>
      </c>
      <c r="C2877" t="n">
        <v>0</v>
      </c>
      <c r="D2877" t="n">
        <v>8616</v>
      </c>
      <c r="E2877" t="s">
        <v>2883</v>
      </c>
      <c r="F2877" t="s"/>
      <c r="G2877" t="s"/>
      <c r="H2877" t="s"/>
      <c r="I2877" t="s"/>
      <c r="J2877" t="n">
        <v>0.6369</v>
      </c>
      <c r="K2877" t="n">
        <v>0</v>
      </c>
      <c r="L2877" t="n">
        <v>0.743</v>
      </c>
      <c r="M2877" t="n">
        <v>0.257</v>
      </c>
    </row>
    <row r="2878" spans="1:13">
      <c r="A2878" s="1">
        <f>HYPERLINK("http://www.twitter.com/NathanBLawrence/status/997488175613403139", "997488175613403139")</f>
        <v/>
      </c>
      <c r="B2878" s="2" t="n">
        <v>43238.61444444444</v>
      </c>
      <c r="C2878" t="n">
        <v>0</v>
      </c>
      <c r="D2878" t="n">
        <v>41</v>
      </c>
      <c r="E2878" t="s">
        <v>2884</v>
      </c>
      <c r="F2878" t="s"/>
      <c r="G2878" t="s"/>
      <c r="H2878" t="s"/>
      <c r="I2878" t="s"/>
      <c r="J2878" t="n">
        <v>0</v>
      </c>
      <c r="K2878" t="n">
        <v>0</v>
      </c>
      <c r="L2878" t="n">
        <v>1</v>
      </c>
      <c r="M2878" t="n">
        <v>0</v>
      </c>
    </row>
    <row r="2879" spans="1:13">
      <c r="A2879" s="1">
        <f>HYPERLINK("http://www.twitter.com/NathanBLawrence/status/997488116578574336", "997488116578574336")</f>
        <v/>
      </c>
      <c r="B2879" s="2" t="n">
        <v>43238.6142824074</v>
      </c>
      <c r="C2879" t="n">
        <v>0</v>
      </c>
      <c r="D2879" t="n">
        <v>43</v>
      </c>
      <c r="E2879" t="s">
        <v>2885</v>
      </c>
      <c r="F2879" t="s"/>
      <c r="G2879" t="s"/>
      <c r="H2879" t="s"/>
      <c r="I2879" t="s"/>
      <c r="J2879" t="n">
        <v>-0.7462</v>
      </c>
      <c r="K2879" t="n">
        <v>0.286</v>
      </c>
      <c r="L2879" t="n">
        <v>0.626</v>
      </c>
      <c r="M2879" t="n">
        <v>0.08799999999999999</v>
      </c>
    </row>
    <row r="2880" spans="1:13">
      <c r="A2880" s="1">
        <f>HYPERLINK("http://www.twitter.com/NathanBLawrence/status/997487973087227906", "997487973087227906")</f>
        <v/>
      </c>
      <c r="B2880" s="2" t="n">
        <v>43238.61387731481</v>
      </c>
      <c r="C2880" t="n">
        <v>0</v>
      </c>
      <c r="D2880" t="n">
        <v>0</v>
      </c>
      <c r="E2880" t="s">
        <v>2886</v>
      </c>
      <c r="F2880" t="s"/>
      <c r="G2880" t="s"/>
      <c r="H2880" t="s"/>
      <c r="I2880" t="s"/>
      <c r="J2880" t="n">
        <v>0</v>
      </c>
      <c r="K2880" t="n">
        <v>0</v>
      </c>
      <c r="L2880" t="n">
        <v>1</v>
      </c>
      <c r="M2880" t="n">
        <v>0</v>
      </c>
    </row>
    <row r="2881" spans="1:13">
      <c r="A2881" s="1">
        <f>HYPERLINK("http://www.twitter.com/NathanBLawrence/status/997487770556944384", "997487770556944384")</f>
        <v/>
      </c>
      <c r="B2881" s="2" t="n">
        <v>43238.61332175926</v>
      </c>
      <c r="C2881" t="n">
        <v>0</v>
      </c>
      <c r="D2881" t="n">
        <v>91</v>
      </c>
      <c r="E2881" t="s">
        <v>2887</v>
      </c>
      <c r="F2881">
        <f>HYPERLINK("http://pbs.twimg.com/media/DdejFDyU8AASTRd.jpg", "http://pbs.twimg.com/media/DdejFDyU8AASTRd.jpg")</f>
        <v/>
      </c>
      <c r="G2881" t="s"/>
      <c r="H2881" t="s"/>
      <c r="I2881" t="s"/>
      <c r="J2881" t="n">
        <v>0.8277</v>
      </c>
      <c r="K2881" t="n">
        <v>0.044</v>
      </c>
      <c r="L2881" t="n">
        <v>0.63</v>
      </c>
      <c r="M2881" t="n">
        <v>0.326</v>
      </c>
    </row>
    <row r="2882" spans="1:13">
      <c r="A2882" s="1">
        <f>HYPERLINK("http://www.twitter.com/NathanBLawrence/status/997487602860265473", "997487602860265473")</f>
        <v/>
      </c>
      <c r="B2882" s="2" t="n">
        <v>43238.6128587963</v>
      </c>
      <c r="C2882" t="n">
        <v>0</v>
      </c>
      <c r="D2882" t="n">
        <v>0</v>
      </c>
      <c r="E2882" t="s">
        <v>2888</v>
      </c>
      <c r="F2882" t="s"/>
      <c r="G2882" t="s"/>
      <c r="H2882" t="s"/>
      <c r="I2882" t="s"/>
      <c r="J2882" t="n">
        <v>0</v>
      </c>
      <c r="K2882" t="n">
        <v>0</v>
      </c>
      <c r="L2882" t="n">
        <v>1</v>
      </c>
      <c r="M2882" t="n">
        <v>0</v>
      </c>
    </row>
    <row r="2883" spans="1:13">
      <c r="A2883" s="1">
        <f>HYPERLINK("http://www.twitter.com/NathanBLawrence/status/997466151365079040", "997466151365079040")</f>
        <v/>
      </c>
      <c r="B2883" s="2" t="n">
        <v>43238.55366898148</v>
      </c>
      <c r="C2883" t="n">
        <v>0</v>
      </c>
      <c r="D2883" t="n">
        <v>4146</v>
      </c>
      <c r="E2883" t="s">
        <v>2889</v>
      </c>
      <c r="F2883" t="s"/>
      <c r="G2883" t="s"/>
      <c r="H2883" t="s"/>
      <c r="I2883" t="s"/>
      <c r="J2883" t="n">
        <v>0.5266999999999999</v>
      </c>
      <c r="K2883" t="n">
        <v>0</v>
      </c>
      <c r="L2883" t="n">
        <v>0.841</v>
      </c>
      <c r="M2883" t="n">
        <v>0.159</v>
      </c>
    </row>
    <row r="2884" spans="1:13">
      <c r="A2884" s="1">
        <f>HYPERLINK("http://www.twitter.com/NathanBLawrence/status/997466015691935744", "997466015691935744")</f>
        <v/>
      </c>
      <c r="B2884" s="2" t="n">
        <v>43238.55328703704</v>
      </c>
      <c r="C2884" t="n">
        <v>0</v>
      </c>
      <c r="D2884" t="n">
        <v>45</v>
      </c>
      <c r="E2884" t="s">
        <v>2890</v>
      </c>
      <c r="F2884">
        <f>HYPERLINK("http://pbs.twimg.com/media/Ddbvr1VUQAkYF06.jpg", "http://pbs.twimg.com/media/Ddbvr1VUQAkYF06.jpg")</f>
        <v/>
      </c>
      <c r="G2884" t="s"/>
      <c r="H2884" t="s"/>
      <c r="I2884" t="s"/>
      <c r="J2884" t="n">
        <v>-0.1027</v>
      </c>
      <c r="K2884" t="n">
        <v>0.091</v>
      </c>
      <c r="L2884" t="n">
        <v>0.909</v>
      </c>
      <c r="M2884" t="n">
        <v>0</v>
      </c>
    </row>
    <row r="2885" spans="1:13">
      <c r="A2885" s="1">
        <f>HYPERLINK("http://www.twitter.com/NathanBLawrence/status/997465606621483015", "997465606621483015")</f>
        <v/>
      </c>
      <c r="B2885" s="2" t="n">
        <v>43238.55216435185</v>
      </c>
      <c r="C2885" t="n">
        <v>0</v>
      </c>
      <c r="D2885" t="n">
        <v>6022</v>
      </c>
      <c r="E2885" t="s">
        <v>2891</v>
      </c>
      <c r="F2885">
        <f>HYPERLINK("https://video.twimg.com/amplify_video/997193273700638720/vid/640x360/8bavN_Ikj5wXM3AA.mp4?tag=2", "https://video.twimg.com/amplify_video/997193273700638720/vid/640x360/8bavN_Ikj5wXM3AA.mp4?tag=2")</f>
        <v/>
      </c>
      <c r="G2885" t="s"/>
      <c r="H2885" t="s"/>
      <c r="I2885" t="s"/>
      <c r="J2885" t="n">
        <v>0.4199</v>
      </c>
      <c r="K2885" t="n">
        <v>0</v>
      </c>
      <c r="L2885" t="n">
        <v>0.866</v>
      </c>
      <c r="M2885" t="n">
        <v>0.134</v>
      </c>
    </row>
    <row r="2886" spans="1:13">
      <c r="A2886" s="1">
        <f>HYPERLINK("http://www.twitter.com/NathanBLawrence/status/997465558969876480", "997465558969876480")</f>
        <v/>
      </c>
      <c r="B2886" s="2" t="n">
        <v>43238.55202546297</v>
      </c>
      <c r="C2886" t="n">
        <v>0</v>
      </c>
      <c r="D2886" t="n">
        <v>108</v>
      </c>
      <c r="E2886" t="s">
        <v>2892</v>
      </c>
      <c r="F2886" t="s"/>
      <c r="G2886" t="s"/>
      <c r="H2886" t="s"/>
      <c r="I2886" t="s"/>
      <c r="J2886" t="n">
        <v>0</v>
      </c>
      <c r="K2886" t="n">
        <v>0</v>
      </c>
      <c r="L2886" t="n">
        <v>1</v>
      </c>
      <c r="M2886" t="n">
        <v>0</v>
      </c>
    </row>
    <row r="2887" spans="1:13">
      <c r="A2887" s="1">
        <f>HYPERLINK("http://www.twitter.com/NathanBLawrence/status/997449426888163328", "997449426888163328")</f>
        <v/>
      </c>
      <c r="B2887" s="2" t="n">
        <v>43238.50751157408</v>
      </c>
      <c r="C2887" t="n">
        <v>0</v>
      </c>
      <c r="D2887" t="n">
        <v>263</v>
      </c>
      <c r="E2887" t="s">
        <v>2893</v>
      </c>
      <c r="F2887" t="s"/>
      <c r="G2887" t="s"/>
      <c r="H2887" t="s"/>
      <c r="I2887" t="s"/>
      <c r="J2887" t="n">
        <v>-0.5266999999999999</v>
      </c>
      <c r="K2887" t="n">
        <v>0.208</v>
      </c>
      <c r="L2887" t="n">
        <v>0.704</v>
      </c>
      <c r="M2887" t="n">
        <v>0.08799999999999999</v>
      </c>
    </row>
    <row r="2888" spans="1:13">
      <c r="A2888" s="1">
        <f>HYPERLINK("http://www.twitter.com/NathanBLawrence/status/997449403890831362", "997449403890831362")</f>
        <v/>
      </c>
      <c r="B2888" s="2" t="n">
        <v>43238.50745370371</v>
      </c>
      <c r="C2888" t="n">
        <v>0</v>
      </c>
      <c r="D2888" t="n">
        <v>6</v>
      </c>
      <c r="E2888" t="s">
        <v>2894</v>
      </c>
      <c r="F2888" t="s"/>
      <c r="G2888" t="s"/>
      <c r="H2888" t="s"/>
      <c r="I2888" t="s"/>
      <c r="J2888" t="n">
        <v>-0.8074</v>
      </c>
      <c r="K2888" t="n">
        <v>0.316</v>
      </c>
      <c r="L2888" t="n">
        <v>0.6840000000000001</v>
      </c>
      <c r="M2888" t="n">
        <v>0</v>
      </c>
    </row>
    <row r="2889" spans="1:13">
      <c r="A2889" s="1">
        <f>HYPERLINK("http://www.twitter.com/NathanBLawrence/status/997449226345943041", "997449226345943041")</f>
        <v/>
      </c>
      <c r="B2889" s="2" t="n">
        <v>43238.50695601852</v>
      </c>
      <c r="C2889" t="n">
        <v>0</v>
      </c>
      <c r="D2889" t="n">
        <v>998</v>
      </c>
      <c r="E2889" t="s">
        <v>2895</v>
      </c>
      <c r="F2889" t="s"/>
      <c r="G2889" t="s"/>
      <c r="H2889" t="s"/>
      <c r="I2889" t="s"/>
      <c r="J2889" t="n">
        <v>-0.5423</v>
      </c>
      <c r="K2889" t="n">
        <v>0.205</v>
      </c>
      <c r="L2889" t="n">
        <v>0.722</v>
      </c>
      <c r="M2889" t="n">
        <v>0.07199999999999999</v>
      </c>
    </row>
    <row r="2890" spans="1:13">
      <c r="A2890" s="1">
        <f>HYPERLINK("http://www.twitter.com/NathanBLawrence/status/997449061476323328", "997449061476323328")</f>
        <v/>
      </c>
      <c r="B2890" s="2" t="n">
        <v>43238.50650462963</v>
      </c>
      <c r="C2890" t="n">
        <v>0</v>
      </c>
      <c r="D2890" t="n">
        <v>2</v>
      </c>
      <c r="E2890" t="s">
        <v>2896</v>
      </c>
      <c r="F2890" t="s"/>
      <c r="G2890" t="s"/>
      <c r="H2890" t="s"/>
      <c r="I2890" t="s"/>
      <c r="J2890" t="n">
        <v>0</v>
      </c>
      <c r="K2890" t="n">
        <v>0</v>
      </c>
      <c r="L2890" t="n">
        <v>1</v>
      </c>
      <c r="M2890" t="n">
        <v>0</v>
      </c>
    </row>
    <row r="2891" spans="1:13">
      <c r="A2891" s="1">
        <f>HYPERLINK("http://www.twitter.com/NathanBLawrence/status/997323930452021248", "997323930452021248")</f>
        <v/>
      </c>
      <c r="B2891" s="2" t="n">
        <v>43238.16121527777</v>
      </c>
      <c r="C2891" t="n">
        <v>0</v>
      </c>
      <c r="D2891" t="n">
        <v>1047</v>
      </c>
      <c r="E2891" t="s">
        <v>2897</v>
      </c>
      <c r="F2891" t="s"/>
      <c r="G2891" t="s"/>
      <c r="H2891" t="s"/>
      <c r="I2891" t="s"/>
      <c r="J2891" t="n">
        <v>0</v>
      </c>
      <c r="K2891" t="n">
        <v>0</v>
      </c>
      <c r="L2891" t="n">
        <v>1</v>
      </c>
      <c r="M2891" t="n">
        <v>0</v>
      </c>
    </row>
    <row r="2892" spans="1:13">
      <c r="A2892" s="1">
        <f>HYPERLINK("http://www.twitter.com/NathanBLawrence/status/997323724406906881", "997323724406906881")</f>
        <v/>
      </c>
      <c r="B2892" s="2" t="n">
        <v>43238.16063657407</v>
      </c>
      <c r="C2892" t="n">
        <v>0</v>
      </c>
      <c r="D2892" t="n">
        <v>373</v>
      </c>
      <c r="E2892" t="s">
        <v>2898</v>
      </c>
      <c r="F2892">
        <f>HYPERLINK("http://pbs.twimg.com/media/Dda9ZclUQAAHJtt.jpg", "http://pbs.twimg.com/media/Dda9ZclUQAAHJtt.jpg")</f>
        <v/>
      </c>
      <c r="G2892" t="s"/>
      <c r="H2892" t="s"/>
      <c r="I2892" t="s"/>
      <c r="J2892" t="n">
        <v>0</v>
      </c>
      <c r="K2892" t="n">
        <v>0</v>
      </c>
      <c r="L2892" t="n">
        <v>1</v>
      </c>
      <c r="M2892" t="n">
        <v>0</v>
      </c>
    </row>
    <row r="2893" spans="1:13">
      <c r="A2893" s="1">
        <f>HYPERLINK("http://www.twitter.com/NathanBLawrence/status/997323535923245057", "997323535923245057")</f>
        <v/>
      </c>
      <c r="B2893" s="2" t="n">
        <v>43238.16011574074</v>
      </c>
      <c r="C2893" t="n">
        <v>0</v>
      </c>
      <c r="D2893" t="n">
        <v>264</v>
      </c>
      <c r="E2893" t="s">
        <v>2899</v>
      </c>
      <c r="F2893">
        <f>HYPERLINK("http://pbs.twimg.com/media/Dda4utyV0AIx_Lu.jpg", "http://pbs.twimg.com/media/Dda4utyV0AIx_Lu.jpg")</f>
        <v/>
      </c>
      <c r="G2893" t="s"/>
      <c r="H2893" t="s"/>
      <c r="I2893" t="s"/>
      <c r="J2893" t="n">
        <v>-0.34</v>
      </c>
      <c r="K2893" t="n">
        <v>0.107</v>
      </c>
      <c r="L2893" t="n">
        <v>0.893</v>
      </c>
      <c r="M2893" t="n">
        <v>0</v>
      </c>
    </row>
    <row r="2894" spans="1:13">
      <c r="A2894" s="1">
        <f>HYPERLINK("http://www.twitter.com/NathanBLawrence/status/997323463500103680", "997323463500103680")</f>
        <v/>
      </c>
      <c r="B2894" s="2" t="n">
        <v>43238.15991898148</v>
      </c>
      <c r="C2894" t="n">
        <v>0</v>
      </c>
      <c r="D2894" t="n">
        <v>272</v>
      </c>
      <c r="E2894" t="s">
        <v>2900</v>
      </c>
      <c r="F2894">
        <f>HYPERLINK("http://pbs.twimg.com/media/Dda24tHVMAAVRC-.jpg", "http://pbs.twimg.com/media/Dda24tHVMAAVRC-.jpg")</f>
        <v/>
      </c>
      <c r="G2894" t="s"/>
      <c r="H2894" t="s"/>
      <c r="I2894" t="s"/>
      <c r="J2894" t="n">
        <v>0.6841</v>
      </c>
      <c r="K2894" t="n">
        <v>0</v>
      </c>
      <c r="L2894" t="n">
        <v>0.786</v>
      </c>
      <c r="M2894" t="n">
        <v>0.214</v>
      </c>
    </row>
    <row r="2895" spans="1:13">
      <c r="A2895" s="1">
        <f>HYPERLINK("http://www.twitter.com/NathanBLawrence/status/997323407070031872", "997323407070031872")</f>
        <v/>
      </c>
      <c r="B2895" s="2" t="n">
        <v>43238.15976851852</v>
      </c>
      <c r="C2895" t="n">
        <v>0</v>
      </c>
      <c r="D2895" t="n">
        <v>297</v>
      </c>
      <c r="E2895" t="s">
        <v>2901</v>
      </c>
      <c r="F2895">
        <f>HYPERLINK("http://pbs.twimg.com/media/Dda1dEhU8AAyB_F.jpg", "http://pbs.twimg.com/media/Dda1dEhU8AAyB_F.jpg")</f>
        <v/>
      </c>
      <c r="G2895" t="s"/>
      <c r="H2895" t="s"/>
      <c r="I2895" t="s"/>
      <c r="J2895" t="n">
        <v>0</v>
      </c>
      <c r="K2895" t="n">
        <v>0</v>
      </c>
      <c r="L2895" t="n">
        <v>1</v>
      </c>
      <c r="M2895" t="n">
        <v>0</v>
      </c>
    </row>
    <row r="2896" spans="1:13">
      <c r="A2896" s="1">
        <f>HYPERLINK("http://www.twitter.com/NathanBLawrence/status/997323345086550017", "997323345086550017")</f>
        <v/>
      </c>
      <c r="B2896" s="2" t="n">
        <v>43238.15959490741</v>
      </c>
      <c r="C2896" t="n">
        <v>0</v>
      </c>
      <c r="D2896" t="n">
        <v>244</v>
      </c>
      <c r="E2896" t="s">
        <v>2902</v>
      </c>
      <c r="F2896" t="s"/>
      <c r="G2896" t="s"/>
      <c r="H2896" t="s"/>
      <c r="I2896" t="s"/>
      <c r="J2896" t="n">
        <v>0</v>
      </c>
      <c r="K2896" t="n">
        <v>0</v>
      </c>
      <c r="L2896" t="n">
        <v>1</v>
      </c>
      <c r="M2896" t="n">
        <v>0</v>
      </c>
    </row>
    <row r="2897" spans="1:13">
      <c r="A2897" s="1">
        <f>HYPERLINK("http://www.twitter.com/NathanBLawrence/status/997323291596591104", "997323291596591104")</f>
        <v/>
      </c>
      <c r="B2897" s="2" t="n">
        <v>43238.15944444444</v>
      </c>
      <c r="C2897" t="n">
        <v>0</v>
      </c>
      <c r="D2897" t="n">
        <v>298</v>
      </c>
      <c r="E2897" t="s">
        <v>2903</v>
      </c>
      <c r="F2897" t="s"/>
      <c r="G2897" t="s"/>
      <c r="H2897" t="s"/>
      <c r="I2897" t="s"/>
      <c r="J2897" t="n">
        <v>0</v>
      </c>
      <c r="K2897" t="n">
        <v>0</v>
      </c>
      <c r="L2897" t="n">
        <v>1</v>
      </c>
      <c r="M2897" t="n">
        <v>0</v>
      </c>
    </row>
    <row r="2898" spans="1:13">
      <c r="A2898" s="1">
        <f>HYPERLINK("http://www.twitter.com/NathanBLawrence/status/997322785432260609", "997322785432260609")</f>
        <v/>
      </c>
      <c r="B2898" s="2" t="n">
        <v>43238.15805555556</v>
      </c>
      <c r="C2898" t="n">
        <v>0</v>
      </c>
      <c r="D2898" t="n">
        <v>1545</v>
      </c>
      <c r="E2898" t="s">
        <v>2904</v>
      </c>
      <c r="F2898">
        <f>HYPERLINK("http://pbs.twimg.com/media/DdXg7GpUwAAqiBv.jpg", "http://pbs.twimg.com/media/DdXg7GpUwAAqiBv.jpg")</f>
        <v/>
      </c>
      <c r="G2898" t="s"/>
      <c r="H2898" t="s"/>
      <c r="I2898" t="s"/>
      <c r="J2898" t="n">
        <v>0</v>
      </c>
      <c r="K2898" t="n">
        <v>0</v>
      </c>
      <c r="L2898" t="n">
        <v>1</v>
      </c>
      <c r="M2898" t="n">
        <v>0</v>
      </c>
    </row>
    <row r="2899" spans="1:13">
      <c r="A2899" s="1">
        <f>HYPERLINK("http://www.twitter.com/NathanBLawrence/status/997322669463830528", "997322669463830528")</f>
        <v/>
      </c>
      <c r="B2899" s="2" t="n">
        <v>43238.15773148148</v>
      </c>
      <c r="C2899" t="n">
        <v>0</v>
      </c>
      <c r="D2899" t="n">
        <v>400</v>
      </c>
      <c r="E2899" t="s">
        <v>2905</v>
      </c>
      <c r="F2899">
        <f>HYPERLINK("http://pbs.twimg.com/media/DdXlqyvU8AIvNaf.jpg", "http://pbs.twimg.com/media/DdXlqyvU8AIvNaf.jpg")</f>
        <v/>
      </c>
      <c r="G2899" t="s"/>
      <c r="H2899" t="s"/>
      <c r="I2899" t="s"/>
      <c r="J2899" t="n">
        <v>0.1111</v>
      </c>
      <c r="K2899" t="n">
        <v>0.096</v>
      </c>
      <c r="L2899" t="n">
        <v>0.745</v>
      </c>
      <c r="M2899" t="n">
        <v>0.159</v>
      </c>
    </row>
    <row r="2900" spans="1:13">
      <c r="A2900" s="1">
        <f>HYPERLINK("http://www.twitter.com/NathanBLawrence/status/997322591902855169", "997322591902855169")</f>
        <v/>
      </c>
      <c r="B2900" s="2" t="n">
        <v>43238.15751157407</v>
      </c>
      <c r="C2900" t="n">
        <v>0</v>
      </c>
      <c r="D2900" t="n">
        <v>669</v>
      </c>
      <c r="E2900" t="s">
        <v>2906</v>
      </c>
      <c r="F2900" t="s"/>
      <c r="G2900" t="s"/>
      <c r="H2900" t="s"/>
      <c r="I2900" t="s"/>
      <c r="J2900" t="n">
        <v>0.6523</v>
      </c>
      <c r="K2900" t="n">
        <v>0</v>
      </c>
      <c r="L2900" t="n">
        <v>0.852</v>
      </c>
      <c r="M2900" t="n">
        <v>0.148</v>
      </c>
    </row>
    <row r="2901" spans="1:13">
      <c r="A2901" s="1">
        <f>HYPERLINK("http://www.twitter.com/NathanBLawrence/status/997322354522025984", "997322354522025984")</f>
        <v/>
      </c>
      <c r="B2901" s="2" t="n">
        <v>43238.15686342592</v>
      </c>
      <c r="C2901" t="n">
        <v>0</v>
      </c>
      <c r="D2901" t="n">
        <v>1693</v>
      </c>
      <c r="E2901" t="s">
        <v>2907</v>
      </c>
      <c r="F2901" t="s"/>
      <c r="G2901" t="s"/>
      <c r="H2901" t="s"/>
      <c r="I2901" t="s"/>
      <c r="J2901" t="n">
        <v>-0.296</v>
      </c>
      <c r="K2901" t="n">
        <v>0.109</v>
      </c>
      <c r="L2901" t="n">
        <v>0.891</v>
      </c>
      <c r="M2901" t="n">
        <v>0</v>
      </c>
    </row>
    <row r="2902" spans="1:13">
      <c r="A2902" s="1">
        <f>HYPERLINK("http://www.twitter.com/NathanBLawrence/status/997322198389088257", "997322198389088257")</f>
        <v/>
      </c>
      <c r="B2902" s="2" t="n">
        <v>43238.15643518518</v>
      </c>
      <c r="C2902" t="n">
        <v>0</v>
      </c>
      <c r="D2902" t="n">
        <v>573</v>
      </c>
      <c r="E2902" t="s">
        <v>2908</v>
      </c>
      <c r="F2902">
        <f>HYPERLINK("http://pbs.twimg.com/media/DdXBV_mUQAAC9A0.jpg", "http://pbs.twimg.com/media/DdXBV_mUQAAC9A0.jpg")</f>
        <v/>
      </c>
      <c r="G2902" t="s"/>
      <c r="H2902" t="s"/>
      <c r="I2902" t="s"/>
      <c r="J2902" t="n">
        <v>-0.4588</v>
      </c>
      <c r="K2902" t="n">
        <v>0.13</v>
      </c>
      <c r="L2902" t="n">
        <v>0.87</v>
      </c>
      <c r="M2902" t="n">
        <v>0</v>
      </c>
    </row>
    <row r="2903" spans="1:13">
      <c r="A2903" s="1">
        <f>HYPERLINK("http://www.twitter.com/NathanBLawrence/status/997321434694344710", "997321434694344710")</f>
        <v/>
      </c>
      <c r="B2903" s="2" t="n">
        <v>43238.15432870371</v>
      </c>
      <c r="C2903" t="n">
        <v>0</v>
      </c>
      <c r="D2903" t="n">
        <v>10</v>
      </c>
      <c r="E2903" t="s">
        <v>2909</v>
      </c>
      <c r="F2903" t="s"/>
      <c r="G2903" t="s"/>
      <c r="H2903" t="s"/>
      <c r="I2903" t="s"/>
      <c r="J2903" t="n">
        <v>-0.3391</v>
      </c>
      <c r="K2903" t="n">
        <v>0.264</v>
      </c>
      <c r="L2903" t="n">
        <v>0.54</v>
      </c>
      <c r="M2903" t="n">
        <v>0.196</v>
      </c>
    </row>
    <row r="2904" spans="1:13">
      <c r="A2904" s="1">
        <f>HYPERLINK("http://www.twitter.com/NathanBLawrence/status/997321396861722624", "997321396861722624")</f>
        <v/>
      </c>
      <c r="B2904" s="2" t="n">
        <v>43238.15422453704</v>
      </c>
      <c r="C2904" t="n">
        <v>0</v>
      </c>
      <c r="D2904" t="n">
        <v>2</v>
      </c>
      <c r="E2904" t="s">
        <v>2910</v>
      </c>
      <c r="F2904" t="s"/>
      <c r="G2904" t="s"/>
      <c r="H2904" t="s"/>
      <c r="I2904" t="s"/>
      <c r="J2904" t="n">
        <v>0.3612</v>
      </c>
      <c r="K2904" t="n">
        <v>0</v>
      </c>
      <c r="L2904" t="n">
        <v>0.783</v>
      </c>
      <c r="M2904" t="n">
        <v>0.217</v>
      </c>
    </row>
    <row r="2905" spans="1:13">
      <c r="A2905" s="1">
        <f>HYPERLINK("http://www.twitter.com/NathanBLawrence/status/997321347020808192", "997321347020808192")</f>
        <v/>
      </c>
      <c r="B2905" s="2" t="n">
        <v>43238.15408564815</v>
      </c>
      <c r="C2905" t="n">
        <v>0</v>
      </c>
      <c r="D2905" t="n">
        <v>2125</v>
      </c>
      <c r="E2905" t="s">
        <v>2911</v>
      </c>
      <c r="F2905" t="s"/>
      <c r="G2905" t="s"/>
      <c r="H2905" t="s"/>
      <c r="I2905" t="s"/>
      <c r="J2905" t="n">
        <v>0.34</v>
      </c>
      <c r="K2905" t="n">
        <v>0.089</v>
      </c>
      <c r="L2905" t="n">
        <v>0.726</v>
      </c>
      <c r="M2905" t="n">
        <v>0.185</v>
      </c>
    </row>
    <row r="2906" spans="1:13">
      <c r="A2906" s="1">
        <f>HYPERLINK("http://www.twitter.com/NathanBLawrence/status/997321286379503618", "997321286379503618")</f>
        <v/>
      </c>
      <c r="B2906" s="2" t="n">
        <v>43238.15391203704</v>
      </c>
      <c r="C2906" t="n">
        <v>0</v>
      </c>
      <c r="D2906" t="n">
        <v>3</v>
      </c>
      <c r="E2906" t="s">
        <v>2912</v>
      </c>
      <c r="F2906" t="s"/>
      <c r="G2906" t="s"/>
      <c r="H2906" t="s"/>
      <c r="I2906" t="s"/>
      <c r="J2906" t="n">
        <v>0.8225</v>
      </c>
      <c r="K2906" t="n">
        <v>0</v>
      </c>
      <c r="L2906" t="n">
        <v>0.602</v>
      </c>
      <c r="M2906" t="n">
        <v>0.398</v>
      </c>
    </row>
    <row r="2907" spans="1:13">
      <c r="A2907" s="1">
        <f>HYPERLINK("http://www.twitter.com/NathanBLawrence/status/997321205156892672", "997321205156892672")</f>
        <v/>
      </c>
      <c r="B2907" s="2" t="n">
        <v>43238.15369212963</v>
      </c>
      <c r="C2907" t="n">
        <v>0</v>
      </c>
      <c r="D2907" t="n">
        <v>916</v>
      </c>
      <c r="E2907" t="s">
        <v>2913</v>
      </c>
      <c r="F2907">
        <f>HYPERLINK("http://pbs.twimg.com/media/Ddb8hTxVwAAf0cD.jpg", "http://pbs.twimg.com/media/Ddb8hTxVwAAf0cD.jpg")</f>
        <v/>
      </c>
      <c r="G2907" t="s"/>
      <c r="H2907" t="s"/>
      <c r="I2907" t="s"/>
      <c r="J2907" t="n">
        <v>0</v>
      </c>
      <c r="K2907" t="n">
        <v>0</v>
      </c>
      <c r="L2907" t="n">
        <v>1</v>
      </c>
      <c r="M2907" t="n">
        <v>0</v>
      </c>
    </row>
    <row r="2908" spans="1:13">
      <c r="A2908" s="1">
        <f>HYPERLINK("http://www.twitter.com/NathanBLawrence/status/997321008976683009", "997321008976683009")</f>
        <v/>
      </c>
      <c r="B2908" s="2" t="n">
        <v>43238.15314814815</v>
      </c>
      <c r="C2908" t="n">
        <v>0</v>
      </c>
      <c r="D2908" t="n">
        <v>1644</v>
      </c>
      <c r="E2908" t="s">
        <v>2914</v>
      </c>
      <c r="F2908" t="s"/>
      <c r="G2908" t="s"/>
      <c r="H2908" t="s"/>
      <c r="I2908" t="s"/>
      <c r="J2908" t="n">
        <v>0.7423999999999999</v>
      </c>
      <c r="K2908" t="n">
        <v>0</v>
      </c>
      <c r="L2908" t="n">
        <v>0.778</v>
      </c>
      <c r="M2908" t="n">
        <v>0.222</v>
      </c>
    </row>
    <row r="2909" spans="1:13">
      <c r="A2909" s="1">
        <f>HYPERLINK("http://www.twitter.com/NathanBLawrence/status/997320869516070912", "997320869516070912")</f>
        <v/>
      </c>
      <c r="B2909" s="2" t="n">
        <v>43238.1527662037</v>
      </c>
      <c r="C2909" t="n">
        <v>0</v>
      </c>
      <c r="D2909" t="n">
        <v>1391</v>
      </c>
      <c r="E2909" t="s">
        <v>1589</v>
      </c>
      <c r="F2909" t="s"/>
      <c r="G2909" t="s"/>
      <c r="H2909" t="s"/>
      <c r="I2909" t="s"/>
      <c r="J2909" t="n">
        <v>-0.3612</v>
      </c>
      <c r="K2909" t="n">
        <v>0.201</v>
      </c>
      <c r="L2909" t="n">
        <v>0.656</v>
      </c>
      <c r="M2909" t="n">
        <v>0.143</v>
      </c>
    </row>
    <row r="2910" spans="1:13">
      <c r="A2910" s="1">
        <f>HYPERLINK("http://www.twitter.com/NathanBLawrence/status/997320841590427648", "997320841590427648")</f>
        <v/>
      </c>
      <c r="B2910" s="2" t="n">
        <v>43238.15268518519</v>
      </c>
      <c r="C2910" t="n">
        <v>0</v>
      </c>
      <c r="D2910" t="n">
        <v>235</v>
      </c>
      <c r="E2910" t="s">
        <v>2915</v>
      </c>
      <c r="F2910">
        <f>HYPERLINK("http://pbs.twimg.com/media/DdbHFNtVQAAaWjw.jpg", "http://pbs.twimg.com/media/DdbHFNtVQAAaWjw.jpg")</f>
        <v/>
      </c>
      <c r="G2910" t="s"/>
      <c r="H2910" t="s"/>
      <c r="I2910" t="s"/>
      <c r="J2910" t="n">
        <v>0.6588000000000001</v>
      </c>
      <c r="K2910" t="n">
        <v>0</v>
      </c>
      <c r="L2910" t="n">
        <v>0.672</v>
      </c>
      <c r="M2910" t="n">
        <v>0.328</v>
      </c>
    </row>
    <row r="2911" spans="1:13">
      <c r="A2911" s="1">
        <f>HYPERLINK("http://www.twitter.com/NathanBLawrence/status/997320741895987206", "997320741895987206")</f>
        <v/>
      </c>
      <c r="B2911" s="2" t="n">
        <v>43238.1524074074</v>
      </c>
      <c r="C2911" t="n">
        <v>0</v>
      </c>
      <c r="D2911" t="n">
        <v>107</v>
      </c>
      <c r="E2911" t="s">
        <v>2916</v>
      </c>
      <c r="F2911">
        <f>HYPERLINK("http://pbs.twimg.com/media/DdamtfSU0AAZ-pD.jpg", "http://pbs.twimg.com/media/DdamtfSU0AAZ-pD.jpg")</f>
        <v/>
      </c>
      <c r="G2911" t="s"/>
      <c r="H2911" t="s"/>
      <c r="I2911" t="s"/>
      <c r="J2911" t="n">
        <v>0.3182</v>
      </c>
      <c r="K2911" t="n">
        <v>0</v>
      </c>
      <c r="L2911" t="n">
        <v>0.753</v>
      </c>
      <c r="M2911" t="n">
        <v>0.247</v>
      </c>
    </row>
    <row r="2912" spans="1:13">
      <c r="A2912" s="1">
        <f>HYPERLINK("http://www.twitter.com/NathanBLawrence/status/997320476539195392", "997320476539195392")</f>
        <v/>
      </c>
      <c r="B2912" s="2" t="n">
        <v>43238.15167824074</v>
      </c>
      <c r="C2912" t="n">
        <v>0</v>
      </c>
      <c r="D2912" t="n">
        <v>93</v>
      </c>
      <c r="E2912" t="s">
        <v>2917</v>
      </c>
      <c r="F2912">
        <f>HYPERLINK("http://pbs.twimg.com/media/DdaB3-lX0AATLX6.jpg", "http://pbs.twimg.com/media/DdaB3-lX0AATLX6.jpg")</f>
        <v/>
      </c>
      <c r="G2912" t="s"/>
      <c r="H2912" t="s"/>
      <c r="I2912" t="s"/>
      <c r="J2912" t="n">
        <v>0</v>
      </c>
      <c r="K2912" t="n">
        <v>0</v>
      </c>
      <c r="L2912" t="n">
        <v>1</v>
      </c>
      <c r="M2912" t="n">
        <v>0</v>
      </c>
    </row>
    <row r="2913" spans="1:13">
      <c r="A2913" s="1">
        <f>HYPERLINK("http://www.twitter.com/NathanBLawrence/status/997320426912190464", "997320426912190464")</f>
        <v/>
      </c>
      <c r="B2913" s="2" t="n">
        <v>43238.15153935185</v>
      </c>
      <c r="C2913" t="n">
        <v>0</v>
      </c>
      <c r="D2913" t="n">
        <v>107</v>
      </c>
      <c r="E2913" t="s">
        <v>2918</v>
      </c>
      <c r="F2913">
        <f>HYPERLINK("http://pbs.twimg.com/media/DdZ6iF1XcAIDGK0.jpg", "http://pbs.twimg.com/media/DdZ6iF1XcAIDGK0.jpg")</f>
        <v/>
      </c>
      <c r="G2913" t="s"/>
      <c r="H2913" t="s"/>
      <c r="I2913" t="s"/>
      <c r="J2913" t="n">
        <v>-0.1511</v>
      </c>
      <c r="K2913" t="n">
        <v>0.166</v>
      </c>
      <c r="L2913" t="n">
        <v>0.834</v>
      </c>
      <c r="M2913" t="n">
        <v>0</v>
      </c>
    </row>
    <row r="2914" spans="1:13">
      <c r="A2914" s="1">
        <f>HYPERLINK("http://www.twitter.com/NathanBLawrence/status/997320206472089606", "997320206472089606")</f>
        <v/>
      </c>
      <c r="B2914" s="2" t="n">
        <v>43238.1509375</v>
      </c>
      <c r="C2914" t="n">
        <v>0</v>
      </c>
      <c r="D2914" t="n">
        <v>746</v>
      </c>
      <c r="E2914" t="s">
        <v>2919</v>
      </c>
      <c r="F2914" t="s"/>
      <c r="G2914" t="s"/>
      <c r="H2914" t="s"/>
      <c r="I2914" t="s"/>
      <c r="J2914" t="n">
        <v>-0.1184</v>
      </c>
      <c r="K2914" t="n">
        <v>0.268</v>
      </c>
      <c r="L2914" t="n">
        <v>0.515</v>
      </c>
      <c r="M2914" t="n">
        <v>0.218</v>
      </c>
    </row>
    <row r="2915" spans="1:13">
      <c r="A2915" s="1">
        <f>HYPERLINK("http://www.twitter.com/NathanBLawrence/status/997319826472349696", "997319826472349696")</f>
        <v/>
      </c>
      <c r="B2915" s="2" t="n">
        <v>43238.14988425926</v>
      </c>
      <c r="C2915" t="n">
        <v>0</v>
      </c>
      <c r="D2915" t="n">
        <v>2525</v>
      </c>
      <c r="E2915" t="s">
        <v>1591</v>
      </c>
      <c r="F2915" t="s"/>
      <c r="G2915" t="s"/>
      <c r="H2915" t="s"/>
      <c r="I2915" t="s"/>
      <c r="J2915" t="n">
        <v>0</v>
      </c>
      <c r="K2915" t="n">
        <v>0</v>
      </c>
      <c r="L2915" t="n">
        <v>1</v>
      </c>
      <c r="M2915" t="n">
        <v>0</v>
      </c>
    </row>
    <row r="2916" spans="1:13">
      <c r="A2916" s="1">
        <f>HYPERLINK("http://www.twitter.com/NathanBLawrence/status/997319633488183296", "997319633488183296")</f>
        <v/>
      </c>
      <c r="B2916" s="2" t="n">
        <v>43238.14935185185</v>
      </c>
      <c r="C2916" t="n">
        <v>0</v>
      </c>
      <c r="D2916" t="n">
        <v>195</v>
      </c>
      <c r="E2916" t="s">
        <v>2920</v>
      </c>
      <c r="F2916" t="s"/>
      <c r="G2916" t="s"/>
      <c r="H2916" t="s"/>
      <c r="I2916" t="s"/>
      <c r="J2916" t="n">
        <v>-0.7717000000000001</v>
      </c>
      <c r="K2916" t="n">
        <v>0.34</v>
      </c>
      <c r="L2916" t="n">
        <v>0.66</v>
      </c>
      <c r="M2916" t="n">
        <v>0</v>
      </c>
    </row>
    <row r="2917" spans="1:13">
      <c r="A2917" s="1">
        <f>HYPERLINK("http://www.twitter.com/NathanBLawrence/status/997319386867404801", "997319386867404801")</f>
        <v/>
      </c>
      <c r="B2917" s="2" t="n">
        <v>43238.14866898148</v>
      </c>
      <c r="C2917" t="n">
        <v>0</v>
      </c>
      <c r="D2917" t="n">
        <v>1882</v>
      </c>
      <c r="E2917" t="s">
        <v>2921</v>
      </c>
      <c r="F2917" t="s"/>
      <c r="G2917" t="s"/>
      <c r="H2917" t="s"/>
      <c r="I2917" t="s"/>
      <c r="J2917" t="n">
        <v>-0.296</v>
      </c>
      <c r="K2917" t="n">
        <v>0.104</v>
      </c>
      <c r="L2917" t="n">
        <v>0.896</v>
      </c>
      <c r="M2917" t="n">
        <v>0</v>
      </c>
    </row>
    <row r="2918" spans="1:13">
      <c r="A2918" s="1">
        <f>HYPERLINK("http://www.twitter.com/NathanBLawrence/status/997319227450314752", "997319227450314752")</f>
        <v/>
      </c>
      <c r="B2918" s="2" t="n">
        <v>43238.14822916667</v>
      </c>
      <c r="C2918" t="n">
        <v>0</v>
      </c>
      <c r="D2918" t="n">
        <v>0</v>
      </c>
      <c r="E2918" t="s">
        <v>2922</v>
      </c>
      <c r="F2918" t="s"/>
      <c r="G2918" t="s"/>
      <c r="H2918" t="s"/>
      <c r="I2918" t="s"/>
      <c r="J2918" t="n">
        <v>0</v>
      </c>
      <c r="K2918" t="n">
        <v>0</v>
      </c>
      <c r="L2918" t="n">
        <v>1</v>
      </c>
      <c r="M2918" t="n">
        <v>0</v>
      </c>
    </row>
    <row r="2919" spans="1:13">
      <c r="A2919" s="1">
        <f>HYPERLINK("http://www.twitter.com/NathanBLawrence/status/997319009333841921", "997319009333841921")</f>
        <v/>
      </c>
      <c r="B2919" s="2" t="n">
        <v>43238.14762731481</v>
      </c>
      <c r="C2919" t="n">
        <v>0</v>
      </c>
      <c r="D2919" t="n">
        <v>366</v>
      </c>
      <c r="E2919" t="s">
        <v>2923</v>
      </c>
      <c r="F2919" t="s"/>
      <c r="G2919" t="s"/>
      <c r="H2919" t="s"/>
      <c r="I2919" t="s"/>
      <c r="J2919" t="n">
        <v>0.765</v>
      </c>
      <c r="K2919" t="n">
        <v>0</v>
      </c>
      <c r="L2919" t="n">
        <v>0.742</v>
      </c>
      <c r="M2919" t="n">
        <v>0.258</v>
      </c>
    </row>
    <row r="2920" spans="1:13">
      <c r="A2920" s="1">
        <f>HYPERLINK("http://www.twitter.com/NathanBLawrence/status/997318813082415104", "997318813082415104")</f>
        <v/>
      </c>
      <c r="B2920" s="2" t="n">
        <v>43238.14708333334</v>
      </c>
      <c r="C2920" t="n">
        <v>0</v>
      </c>
      <c r="D2920" t="n">
        <v>304</v>
      </c>
      <c r="E2920" t="s">
        <v>2924</v>
      </c>
      <c r="F2920" t="s"/>
      <c r="G2920" t="s"/>
      <c r="H2920" t="s"/>
      <c r="I2920" t="s"/>
      <c r="J2920" t="n">
        <v>-0.6705</v>
      </c>
      <c r="K2920" t="n">
        <v>0.208</v>
      </c>
      <c r="L2920" t="n">
        <v>0.792</v>
      </c>
      <c r="M2920" t="n">
        <v>0</v>
      </c>
    </row>
    <row r="2921" spans="1:13">
      <c r="A2921" s="1">
        <f>HYPERLINK("http://www.twitter.com/NathanBLawrence/status/997318766747963392", "997318766747963392")</f>
        <v/>
      </c>
      <c r="B2921" s="2" t="n">
        <v>43238.14695601852</v>
      </c>
      <c r="C2921" t="n">
        <v>0</v>
      </c>
      <c r="D2921" t="n">
        <v>154</v>
      </c>
      <c r="E2921" t="s">
        <v>2925</v>
      </c>
      <c r="F2921">
        <f>HYPERLINK("http://pbs.twimg.com/media/Ddci5JJVQAA9sOY.jpg", "http://pbs.twimg.com/media/Ddci5JJVQAA9sOY.jpg")</f>
        <v/>
      </c>
      <c r="G2921" t="s"/>
      <c r="H2921" t="s"/>
      <c r="I2921" t="s"/>
      <c r="J2921" t="n">
        <v>-0.5423</v>
      </c>
      <c r="K2921" t="n">
        <v>0.123</v>
      </c>
      <c r="L2921" t="n">
        <v>0.877</v>
      </c>
      <c r="M2921" t="n">
        <v>0</v>
      </c>
    </row>
    <row r="2922" spans="1:13">
      <c r="A2922" s="1">
        <f>HYPERLINK("http://www.twitter.com/NathanBLawrence/status/997318448119209984", "997318448119209984")</f>
        <v/>
      </c>
      <c r="B2922" s="2" t="n">
        <v>43238.14607638889</v>
      </c>
      <c r="C2922" t="n">
        <v>0</v>
      </c>
      <c r="D2922" t="n">
        <v>220</v>
      </c>
      <c r="E2922" t="s">
        <v>2926</v>
      </c>
      <c r="F2922">
        <f>HYPERLINK("http://pbs.twimg.com/media/DdcZP2EVMAAcSSt.jpg", "http://pbs.twimg.com/media/DdcZP2EVMAAcSSt.jpg")</f>
        <v/>
      </c>
      <c r="G2922" t="s"/>
      <c r="H2922" t="s"/>
      <c r="I2922" t="s"/>
      <c r="J2922" t="n">
        <v>-0.2263</v>
      </c>
      <c r="K2922" t="n">
        <v>0.073</v>
      </c>
      <c r="L2922" t="n">
        <v>0.927</v>
      </c>
      <c r="M2922" t="n">
        <v>0</v>
      </c>
    </row>
    <row r="2923" spans="1:13">
      <c r="A2923" s="1">
        <f>HYPERLINK("http://www.twitter.com/NathanBLawrence/status/997318411058368513", "997318411058368513")</f>
        <v/>
      </c>
      <c r="B2923" s="2" t="n">
        <v>43238.1459837963</v>
      </c>
      <c r="C2923" t="n">
        <v>0</v>
      </c>
      <c r="D2923" t="n">
        <v>235</v>
      </c>
      <c r="E2923" t="s">
        <v>2927</v>
      </c>
      <c r="F2923">
        <f>HYPERLINK("http://pbs.twimg.com/media/DdcWGzSU0AAw5An.jpg", "http://pbs.twimg.com/media/DdcWGzSU0AAw5An.jpg")</f>
        <v/>
      </c>
      <c r="G2923" t="s"/>
      <c r="H2923" t="s"/>
      <c r="I2923" t="s"/>
      <c r="J2923" t="n">
        <v>0</v>
      </c>
      <c r="K2923" t="n">
        <v>0</v>
      </c>
      <c r="L2923" t="n">
        <v>1</v>
      </c>
      <c r="M2923" t="n">
        <v>0</v>
      </c>
    </row>
    <row r="2924" spans="1:13">
      <c r="A2924" s="1">
        <f>HYPERLINK("http://www.twitter.com/NathanBLawrence/status/997316112718196736", "997316112718196736")</f>
        <v/>
      </c>
      <c r="B2924" s="2" t="n">
        <v>43238.13964120371</v>
      </c>
      <c r="C2924" t="n">
        <v>0</v>
      </c>
      <c r="D2924" t="n">
        <v>217</v>
      </c>
      <c r="E2924" t="s">
        <v>2928</v>
      </c>
      <c r="F2924">
        <f>HYPERLINK("http://pbs.twimg.com/media/Ddb49KAVwAAwmxo.jpg", "http://pbs.twimg.com/media/Ddb49KAVwAAwmxo.jpg")</f>
        <v/>
      </c>
      <c r="G2924" t="s"/>
      <c r="H2924" t="s"/>
      <c r="I2924" t="s"/>
      <c r="J2924" t="n">
        <v>0.4215</v>
      </c>
      <c r="K2924" t="n">
        <v>0.057</v>
      </c>
      <c r="L2924" t="n">
        <v>0.8129999999999999</v>
      </c>
      <c r="M2924" t="n">
        <v>0.13</v>
      </c>
    </row>
    <row r="2925" spans="1:13">
      <c r="A2925" s="1">
        <f>HYPERLINK("http://www.twitter.com/NathanBLawrence/status/997316029222146048", "997316029222146048")</f>
        <v/>
      </c>
      <c r="B2925" s="2" t="n">
        <v>43238.13940972222</v>
      </c>
      <c r="C2925" t="n">
        <v>0</v>
      </c>
      <c r="D2925" t="n">
        <v>353</v>
      </c>
      <c r="E2925" t="s">
        <v>2929</v>
      </c>
      <c r="F2925">
        <f>HYPERLINK("http://pbs.twimg.com/media/DdbyLZrVAAAU8C3.jpg", "http://pbs.twimg.com/media/DdbyLZrVAAAU8C3.jpg")</f>
        <v/>
      </c>
      <c r="G2925" t="s"/>
      <c r="H2925" t="s"/>
      <c r="I2925" t="s"/>
      <c r="J2925" t="n">
        <v>0.7506</v>
      </c>
      <c r="K2925" t="n">
        <v>0</v>
      </c>
      <c r="L2925" t="n">
        <v>0.748</v>
      </c>
      <c r="M2925" t="n">
        <v>0.252</v>
      </c>
    </row>
    <row r="2926" spans="1:13">
      <c r="A2926" s="1">
        <f>HYPERLINK("http://www.twitter.com/NathanBLawrence/status/997315705182834688", "997315705182834688")</f>
        <v/>
      </c>
      <c r="B2926" s="2" t="n">
        <v>43238.13851851852</v>
      </c>
      <c r="C2926" t="n">
        <v>0</v>
      </c>
      <c r="D2926" t="n">
        <v>448</v>
      </c>
      <c r="E2926" t="s">
        <v>2930</v>
      </c>
      <c r="F2926">
        <f>HYPERLINK("http://pbs.twimg.com/media/DdbowMfUwAAiJsU.jpg", "http://pbs.twimg.com/media/DdbowMfUwAAiJsU.jpg")</f>
        <v/>
      </c>
      <c r="G2926" t="s"/>
      <c r="H2926" t="s"/>
      <c r="I2926" t="s"/>
      <c r="J2926" t="n">
        <v>0.0516</v>
      </c>
      <c r="K2926" t="n">
        <v>0.078</v>
      </c>
      <c r="L2926" t="n">
        <v>0.837</v>
      </c>
      <c r="M2926" t="n">
        <v>0.08599999999999999</v>
      </c>
    </row>
    <row r="2927" spans="1:13">
      <c r="A2927" s="1">
        <f>HYPERLINK("http://www.twitter.com/NathanBLawrence/status/997314949637660672", "997314949637660672")</f>
        <v/>
      </c>
      <c r="B2927" s="2" t="n">
        <v>43238.13642361111</v>
      </c>
      <c r="C2927" t="n">
        <v>0</v>
      </c>
      <c r="D2927" t="n">
        <v>4</v>
      </c>
      <c r="E2927" t="s">
        <v>2931</v>
      </c>
      <c r="F2927">
        <f>HYPERLINK("http://pbs.twimg.com/media/Ddb8fUSV0AEuDfk.jpg", "http://pbs.twimg.com/media/Ddb8fUSV0AEuDfk.jpg")</f>
        <v/>
      </c>
      <c r="G2927" t="s"/>
      <c r="H2927" t="s"/>
      <c r="I2927" t="s"/>
      <c r="J2927" t="n">
        <v>0</v>
      </c>
      <c r="K2927" t="n">
        <v>0</v>
      </c>
      <c r="L2927" t="n">
        <v>1</v>
      </c>
      <c r="M2927" t="n">
        <v>0</v>
      </c>
    </row>
    <row r="2928" spans="1:13">
      <c r="A2928" s="1">
        <f>HYPERLINK("http://www.twitter.com/NathanBLawrence/status/997314886869938176", "997314886869938176")</f>
        <v/>
      </c>
      <c r="B2928" s="2" t="n">
        <v>43238.13625</v>
      </c>
      <c r="C2928" t="n">
        <v>0</v>
      </c>
      <c r="D2928" t="n">
        <v>6</v>
      </c>
      <c r="E2928" t="s">
        <v>2932</v>
      </c>
      <c r="F2928">
        <f>HYPERLINK("http://pbs.twimg.com/media/DdcbQ-0U8AAn6FO.jpg", "http://pbs.twimg.com/media/DdcbQ-0U8AAn6FO.jpg")</f>
        <v/>
      </c>
      <c r="G2928" t="s"/>
      <c r="H2928" t="s"/>
      <c r="I2928" t="s"/>
      <c r="J2928" t="n">
        <v>-0.4404</v>
      </c>
      <c r="K2928" t="n">
        <v>0.172</v>
      </c>
      <c r="L2928" t="n">
        <v>0.828</v>
      </c>
      <c r="M2928" t="n">
        <v>0</v>
      </c>
    </row>
    <row r="2929" spans="1:13">
      <c r="A2929" s="1">
        <f>HYPERLINK("http://www.twitter.com/NathanBLawrence/status/997314852937977856", "997314852937977856")</f>
        <v/>
      </c>
      <c r="B2929" s="2" t="n">
        <v>43238.13615740741</v>
      </c>
      <c r="C2929" t="n">
        <v>0</v>
      </c>
      <c r="D2929" t="n">
        <v>7</v>
      </c>
      <c r="E2929" t="s">
        <v>2933</v>
      </c>
      <c r="F2929">
        <f>HYPERLINK("http://pbs.twimg.com/media/DdcltiyVMAASR-s.jpg", "http://pbs.twimg.com/media/DdcltiyVMAASR-s.jpg")</f>
        <v/>
      </c>
      <c r="G2929" t="s"/>
      <c r="H2929" t="s"/>
      <c r="I2929" t="s"/>
      <c r="J2929" t="n">
        <v>0</v>
      </c>
      <c r="K2929" t="n">
        <v>0</v>
      </c>
      <c r="L2929" t="n">
        <v>1</v>
      </c>
      <c r="M2929" t="n">
        <v>0</v>
      </c>
    </row>
    <row r="2930" spans="1:13">
      <c r="A2930" s="1">
        <f>HYPERLINK("http://www.twitter.com/NathanBLawrence/status/997314438826004480", "997314438826004480")</f>
        <v/>
      </c>
      <c r="B2930" s="2" t="n">
        <v>43238.13502314815</v>
      </c>
      <c r="C2930" t="n">
        <v>0</v>
      </c>
      <c r="D2930" t="n">
        <v>270</v>
      </c>
      <c r="E2930" t="s">
        <v>2934</v>
      </c>
      <c r="F2930">
        <f>HYPERLINK("http://pbs.twimg.com/media/Ddboy2JXUAA8Jcl.jpg", "http://pbs.twimg.com/media/Ddboy2JXUAA8Jcl.jpg")</f>
        <v/>
      </c>
      <c r="G2930" t="s"/>
      <c r="H2930" t="s"/>
      <c r="I2930" t="s"/>
      <c r="J2930" t="n">
        <v>0.6588000000000001</v>
      </c>
      <c r="K2930" t="n">
        <v>0</v>
      </c>
      <c r="L2930" t="n">
        <v>0.8120000000000001</v>
      </c>
      <c r="M2930" t="n">
        <v>0.188</v>
      </c>
    </row>
    <row r="2931" spans="1:13">
      <c r="A2931" s="1">
        <f>HYPERLINK("http://www.twitter.com/NathanBLawrence/status/997310018897764354", "997310018897764354")</f>
        <v/>
      </c>
      <c r="B2931" s="2" t="n">
        <v>43238.12282407407</v>
      </c>
      <c r="C2931" t="n">
        <v>0</v>
      </c>
      <c r="D2931" t="n">
        <v>8</v>
      </c>
      <c r="E2931" t="s">
        <v>2935</v>
      </c>
      <c r="F2931" t="s"/>
      <c r="G2931" t="s"/>
      <c r="H2931" t="s"/>
      <c r="I2931" t="s"/>
      <c r="J2931" t="n">
        <v>-0.5204</v>
      </c>
      <c r="K2931" t="n">
        <v>0.132</v>
      </c>
      <c r="L2931" t="n">
        <v>0.868</v>
      </c>
      <c r="M2931" t="n">
        <v>0</v>
      </c>
    </row>
    <row r="2932" spans="1:13">
      <c r="A2932" s="1">
        <f>HYPERLINK("http://www.twitter.com/NathanBLawrence/status/997309940090982400", "997309940090982400")</f>
        <v/>
      </c>
      <c r="B2932" s="2" t="n">
        <v>43238.12260416667</v>
      </c>
      <c r="C2932" t="n">
        <v>0</v>
      </c>
      <c r="D2932" t="n">
        <v>17</v>
      </c>
      <c r="E2932" t="s">
        <v>2936</v>
      </c>
      <c r="F2932" t="s"/>
      <c r="G2932" t="s"/>
      <c r="H2932" t="s"/>
      <c r="I2932" t="s"/>
      <c r="J2932" t="n">
        <v>0.4404</v>
      </c>
      <c r="K2932" t="n">
        <v>0</v>
      </c>
      <c r="L2932" t="n">
        <v>0.861</v>
      </c>
      <c r="M2932" t="n">
        <v>0.139</v>
      </c>
    </row>
    <row r="2933" spans="1:13">
      <c r="A2933" s="1">
        <f>HYPERLINK("http://www.twitter.com/NathanBLawrence/status/997309740559585282", "997309740559585282")</f>
        <v/>
      </c>
      <c r="B2933" s="2" t="n">
        <v>43238.12204861111</v>
      </c>
      <c r="C2933" t="n">
        <v>0</v>
      </c>
      <c r="D2933" t="n">
        <v>29</v>
      </c>
      <c r="E2933" t="s">
        <v>2937</v>
      </c>
      <c r="F2933" t="s"/>
      <c r="G2933" t="s"/>
      <c r="H2933" t="s"/>
      <c r="I2933" t="s"/>
      <c r="J2933" t="n">
        <v>-0.8807</v>
      </c>
      <c r="K2933" t="n">
        <v>0.389</v>
      </c>
      <c r="L2933" t="n">
        <v>0.611</v>
      </c>
      <c r="M2933" t="n">
        <v>0</v>
      </c>
    </row>
    <row r="2934" spans="1:13">
      <c r="A2934" s="1">
        <f>HYPERLINK("http://www.twitter.com/NathanBLawrence/status/997309607734325249", "997309607734325249")</f>
        <v/>
      </c>
      <c r="B2934" s="2" t="n">
        <v>43238.12168981481</v>
      </c>
      <c r="C2934" t="n">
        <v>0</v>
      </c>
      <c r="D2934" t="n">
        <v>10</v>
      </c>
      <c r="E2934" t="s">
        <v>2938</v>
      </c>
      <c r="F2934" t="s"/>
      <c r="G2934" t="s"/>
      <c r="H2934" t="s"/>
      <c r="I2934" t="s"/>
      <c r="J2934" t="n">
        <v>0</v>
      </c>
      <c r="K2934" t="n">
        <v>0</v>
      </c>
      <c r="L2934" t="n">
        <v>1</v>
      </c>
      <c r="M2934" t="n">
        <v>0</v>
      </c>
    </row>
    <row r="2935" spans="1:13">
      <c r="A2935" s="1">
        <f>HYPERLINK("http://www.twitter.com/NathanBLawrence/status/997309512909492229", "997309512909492229")</f>
        <v/>
      </c>
      <c r="B2935" s="2" t="n">
        <v>43238.12142361111</v>
      </c>
      <c r="C2935" t="n">
        <v>0</v>
      </c>
      <c r="D2935" t="n">
        <v>215</v>
      </c>
      <c r="E2935" t="s">
        <v>2939</v>
      </c>
      <c r="F2935">
        <f>HYPERLINK("http://pbs.twimg.com/media/DdW7F-IVMAAv7C4.jpg", "http://pbs.twimg.com/media/DdW7F-IVMAAv7C4.jpg")</f>
        <v/>
      </c>
      <c r="G2935" t="s"/>
      <c r="H2935" t="s"/>
      <c r="I2935" t="s"/>
      <c r="J2935" t="n">
        <v>0</v>
      </c>
      <c r="K2935" t="n">
        <v>0</v>
      </c>
      <c r="L2935" t="n">
        <v>1</v>
      </c>
      <c r="M2935" t="n">
        <v>0</v>
      </c>
    </row>
    <row r="2936" spans="1:13">
      <c r="A2936" s="1">
        <f>HYPERLINK("http://www.twitter.com/NathanBLawrence/status/997309373243449344", "997309373243449344")</f>
        <v/>
      </c>
      <c r="B2936" s="2" t="n">
        <v>43238.12104166667</v>
      </c>
      <c r="C2936" t="n">
        <v>0</v>
      </c>
      <c r="D2936" t="n">
        <v>3526</v>
      </c>
      <c r="E2936" t="s">
        <v>2940</v>
      </c>
      <c r="F2936">
        <f>HYPERLINK("https://video.twimg.com/amplify_video/997227985471197184/vid/1280x720/pH8a5fyRgSpRaY8O.mp4?tag=2", "https://video.twimg.com/amplify_video/997227985471197184/vid/1280x720/pH8a5fyRgSpRaY8O.mp4?tag=2")</f>
        <v/>
      </c>
      <c r="G2936" t="s"/>
      <c r="H2936" t="s"/>
      <c r="I2936" t="s"/>
      <c r="J2936" t="n">
        <v>-0.8555</v>
      </c>
      <c r="K2936" t="n">
        <v>0.356</v>
      </c>
      <c r="L2936" t="n">
        <v>0.644</v>
      </c>
      <c r="M2936" t="n">
        <v>0</v>
      </c>
    </row>
    <row r="2937" spans="1:13">
      <c r="A2937" s="1">
        <f>HYPERLINK("http://www.twitter.com/NathanBLawrence/status/997309165331722241", "997309165331722241")</f>
        <v/>
      </c>
      <c r="B2937" s="2" t="n">
        <v>43238.12046296296</v>
      </c>
      <c r="C2937" t="n">
        <v>0</v>
      </c>
      <c r="D2937" t="n">
        <v>6</v>
      </c>
      <c r="E2937" t="s">
        <v>2941</v>
      </c>
      <c r="F2937" t="s"/>
      <c r="G2937" t="s"/>
      <c r="H2937" t="s"/>
      <c r="I2937" t="s"/>
      <c r="J2937" t="n">
        <v>-0.516</v>
      </c>
      <c r="K2937" t="n">
        <v>0.164</v>
      </c>
      <c r="L2937" t="n">
        <v>0.836</v>
      </c>
      <c r="M2937" t="n">
        <v>0</v>
      </c>
    </row>
    <row r="2938" spans="1:13">
      <c r="A2938" s="1">
        <f>HYPERLINK("http://www.twitter.com/NathanBLawrence/status/997308292421574656", "997308292421574656")</f>
        <v/>
      </c>
      <c r="B2938" s="2" t="n">
        <v>43238.11805555555</v>
      </c>
      <c r="C2938" t="n">
        <v>0</v>
      </c>
      <c r="D2938" t="n">
        <v>1728</v>
      </c>
      <c r="E2938" t="s">
        <v>2942</v>
      </c>
      <c r="F2938" t="s"/>
      <c r="G2938" t="s"/>
      <c r="H2938" t="s"/>
      <c r="I2938" t="s"/>
      <c r="J2938" t="n">
        <v>0</v>
      </c>
      <c r="K2938" t="n">
        <v>0</v>
      </c>
      <c r="L2938" t="n">
        <v>1</v>
      </c>
      <c r="M2938" t="n">
        <v>0</v>
      </c>
    </row>
    <row r="2939" spans="1:13">
      <c r="A2939" s="1">
        <f>HYPERLINK("http://www.twitter.com/NathanBLawrence/status/997308140625580032", "997308140625580032")</f>
        <v/>
      </c>
      <c r="B2939" s="2" t="n">
        <v>43238.11763888889</v>
      </c>
      <c r="C2939" t="n">
        <v>0</v>
      </c>
      <c r="D2939" t="n">
        <v>1363</v>
      </c>
      <c r="E2939" t="s">
        <v>2943</v>
      </c>
      <c r="F2939" t="s"/>
      <c r="G2939" t="s"/>
      <c r="H2939" t="s"/>
      <c r="I2939" t="s"/>
      <c r="J2939" t="n">
        <v>-0.6597</v>
      </c>
      <c r="K2939" t="n">
        <v>0.206</v>
      </c>
      <c r="L2939" t="n">
        <v>0.794</v>
      </c>
      <c r="M2939" t="n">
        <v>0</v>
      </c>
    </row>
    <row r="2940" spans="1:13">
      <c r="A2940" s="1">
        <f>HYPERLINK("http://www.twitter.com/NathanBLawrence/status/997308087718510592", "997308087718510592")</f>
        <v/>
      </c>
      <c r="B2940" s="2" t="n">
        <v>43238.11748842592</v>
      </c>
      <c r="C2940" t="n">
        <v>0</v>
      </c>
      <c r="D2940" t="n">
        <v>240</v>
      </c>
      <c r="E2940" t="s">
        <v>2944</v>
      </c>
      <c r="F2940" t="s"/>
      <c r="G2940" t="s"/>
      <c r="H2940" t="s"/>
      <c r="I2940" t="s"/>
      <c r="J2940" t="n">
        <v>0.7345</v>
      </c>
      <c r="K2940" t="n">
        <v>0</v>
      </c>
      <c r="L2940" t="n">
        <v>0.764</v>
      </c>
      <c r="M2940" t="n">
        <v>0.236</v>
      </c>
    </row>
    <row r="2941" spans="1:13">
      <c r="A2941" s="1">
        <f>HYPERLINK("http://www.twitter.com/NathanBLawrence/status/997308064926715904", "997308064926715904")</f>
        <v/>
      </c>
      <c r="B2941" s="2" t="n">
        <v>43238.11743055555</v>
      </c>
      <c r="C2941" t="n">
        <v>0</v>
      </c>
      <c r="D2941" t="n">
        <v>43</v>
      </c>
      <c r="E2941" t="s">
        <v>2945</v>
      </c>
      <c r="F2941">
        <f>HYPERLINK("http://pbs.twimg.com/media/DdchnArWAAEq0i3.jpg", "http://pbs.twimg.com/media/DdchnArWAAEq0i3.jpg")</f>
        <v/>
      </c>
      <c r="G2941" t="s"/>
      <c r="H2941" t="s"/>
      <c r="I2941" t="s"/>
      <c r="J2941" t="n">
        <v>-0.8331</v>
      </c>
      <c r="K2941" t="n">
        <v>0.318</v>
      </c>
      <c r="L2941" t="n">
        <v>0.609</v>
      </c>
      <c r="M2941" t="n">
        <v>0.073</v>
      </c>
    </row>
    <row r="2942" spans="1:13">
      <c r="A2942" s="1">
        <f>HYPERLINK("http://www.twitter.com/NathanBLawrence/status/997308002863583234", "997308002863583234")</f>
        <v/>
      </c>
      <c r="B2942" s="2" t="n">
        <v>43238.11725694445</v>
      </c>
      <c r="C2942" t="n">
        <v>0</v>
      </c>
      <c r="D2942" t="n">
        <v>1093</v>
      </c>
      <c r="E2942" t="s">
        <v>2946</v>
      </c>
      <c r="F2942" t="s"/>
      <c r="G2942" t="s"/>
      <c r="H2942" t="s"/>
      <c r="I2942" t="s"/>
      <c r="J2942" t="n">
        <v>0.1984</v>
      </c>
      <c r="K2942" t="n">
        <v>0.122</v>
      </c>
      <c r="L2942" t="n">
        <v>0.6870000000000001</v>
      </c>
      <c r="M2942" t="n">
        <v>0.19</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