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<sst xmlns="http://schemas.openxmlformats.org/spreadsheetml/2006/main" uniqueCount="3207">
  <si>
    <t>id</t>
  </si>
  <si>
    <t>created_at</t>
  </si>
  <si>
    <t>fav</t>
  </si>
  <si>
    <t>rt</t>
  </si>
  <si>
    <t>text</t>
  </si>
  <si>
    <t>media1</t>
  </si>
  <si>
    <t>media2</t>
  </si>
  <si>
    <t>media3</t>
  </si>
  <si>
    <t>media4</t>
  </si>
  <si>
    <t>compound</t>
  </si>
  <si>
    <t>neg</t>
  </si>
  <si>
    <t>neu</t>
  </si>
  <si>
    <t>pos</t>
  </si>
  <si>
    <t>The more the MEDIA complain and criticize President Trump, the higher his approval numbers go!  It's an inverse relationship!  Just look at the roaring economy, trade, border security, higher wages! Media refuses to report on all the great news! #MAGA</t>
  </si>
  <si>
    <t>RT @SandraTXAS: Panic 💥
Trump tweets and the guilty came out screeching 😂😂
Sally Yates
John Brennan
Mark Warner
Adam Schiff
Eric Holder
Dia…</t>
  </si>
  <si>
    <t>Has it been confirmed that John Brennan converted to Islam?  If so, that explains why he lies so easily.  It's my understanding Muslims are encouraged to lie to non-Muslims.</t>
  </si>
  <si>
    <t>Clapper said if we suspected Russian interference, spying on Trump campaign was a good thing.  What?!?  #ArrestClapper</t>
  </si>
  <si>
    <t>Sally Yates criticizing Trump for calling for an investigation of the investigators --&amp;gt; this is the woman who took the law into her own hands when she defied the president's orders.</t>
  </si>
  <si>
    <t>When We Find Out the Truth about the Obama Admin &amp;amp; spying on Trump campaign &amp;amp; other individuals, ‘Clapper and the rest of them’ Will Be Wearing Orange Suits. https://t.co/VkyO4nJUOQ</t>
  </si>
  <si>
    <t>Fmr Trump Adviser Caputo: More Than One Informant From an Obama Agency Approached the Campaign | Breitbart https://t.co/VkyO4nJUOQ via @BreitbartNews</t>
  </si>
  <si>
    <t>White South African farmers claiming persecution at home seek refuge in Australia — RT Business News https://t.co/GLDHfQ6f18</t>
  </si>
  <si>
    <t>Venezuelans buy bus tickets out after Maduro wins re-election.  Isn't Socialism grand?
https://t.co/aGbnoxdFjM</t>
  </si>
  <si>
    <t>ACLU: Amazon shouldn't sell face-recognition tech to police - ABC News - https://t.co/DxD7eBwjjj via @ABC</t>
  </si>
  <si>
    <t>RT @franmudm: https://t.co/v0zZr2jR3e</t>
  </si>
  <si>
    <t>RT @DiamondandSilk: Just In: DOJ Finally Caves, Agrees To Hand Over Documents To Congress.  
Time to investigate the investigators. https:/…</t>
  </si>
  <si>
    <t>Isn't it time Robert Mueller brought in Obama for questioning, about what he knew and what he ordered? Seems the crime here starts at the top with Fmr Pres Obama. #VoteDemsOUT</t>
  </si>
  <si>
    <t>Another 'informant' attempted to infiltrate Trump campaign under Obama, campaign aide says https://t.co/iNSzfZ6i8E #FoxNews</t>
  </si>
  <si>
    <t>U.S. Trade Team to Head Back to China After Agreement to Reduce Trade Deficit https://t.co/IfuWfHQAE3</t>
  </si>
  <si>
    <t>Box Office Poison: Jim Carrey's New Movie Went Straight-to-Video - CARREY IS POISON B/C HE'S NOT FUNNY.  HE'S AN ANGRY LEFTIST LIKE DE NIRO. https://t.co/oF4ED2s7f5</t>
  </si>
  <si>
    <t>White House Triples Down on ‘Animals’ of MS-13 with New Fact Sheet | Breitbart https://t.co/JnSnvcsShZ</t>
  </si>
  <si>
    <t>RT @09hamilton: @jerseyhotgurl  https://t.co/gKHZ7xMqgV</t>
  </si>
  <si>
    <t>RT @reggie27: @jerseyhotgurl @dogwhisperer94 Yeah. That's not Photoshopped! 😉</t>
  </si>
  <si>
    <t>RT @jerseyhotgurl: The legacy of this fraud Barack Obama aka Barry Soetoro  #Pedogate #Obamagate #Rothschild #SpiritCooking #JohnPodesta #J…</t>
  </si>
  <si>
    <t>RT @marklevinshow: Mueller's appointment violates the Constitution's Appointments Clause ... https://t.co/JWsCLwf2zT</t>
  </si>
  <si>
    <t>RT @GaskillRebecca: @Golfinggary5221 @JHull95195727 Yes, but I will add this, as has been discussed, BO spied illegally on EVERYONE, he bui…</t>
  </si>
  <si>
    <t>RT @SquasherG: @Golfinggary5221 @LadyRedWave It wasn’t about Hillary it was about Obama!!</t>
  </si>
  <si>
    <t>RT @DutyOfAPatriot: @Golfinggary5221 I believe not only was he aware but instigated it.</t>
  </si>
  <si>
    <t>RT @willmann12: @Golfinggary5221 They not only wanted to defeat President Trump, they wanted to destroy him. The fact that they failed on b…</t>
  </si>
  <si>
    <t>RT @BryonEnderle: @Golfinggary5221 You’d think an innocent guy would invite the investigation....... his sayin</t>
  </si>
  <si>
    <t>RT @oldscool18: @Golfinggary5221 I had a thought. It does happen.
They were so sure Clinton was going to be elected, and then she would bur…</t>
  </si>
  <si>
    <t>RT @ObamaGateX2: @Golfinggary5221 @squattchie Yes, Obama knew. She wasn't suppose to lose.</t>
  </si>
  <si>
    <t>RT @Tennesseesgtsgl: @Golfinggary5221 Of course he knew! Guilty as sin!  Obama is really arrogant too. He did not want to leave the White h…</t>
  </si>
  <si>
    <t>Saw the movie.  It was amazing! https://t.co/Yw5YAKVVlX</t>
  </si>
  <si>
    <t>Maybe Obama was secretly working for Putin!
#VoteDemsOUT https://t.co/74R1p5bine</t>
  </si>
  <si>
    <t>RT @GregFul81450032: @Golfinggary5221 Will be proven! All roads lead to Hussein! #Traitor44</t>
  </si>
  <si>
    <t>RT @Golfinggary5221: Obama knew about the spying on the Trump campaign. He authorized the spying. He was trying to help Hillary. She lost.…</t>
  </si>
  <si>
    <t>RT @Jesus_isPeace: #Obamagate #CrossfireHurricane #CCOT #PJNet #MAGA #KAG 🇺🇸🇺🇸🇺🇸🇺🇸🇺🇸🇺🇸🇺🇸 https://t.co/rD0LtPFloS</t>
  </si>
  <si>
    <t>RT @DRUDGE_REPORT: WHITE HOUSE MEET SET OVER SPOOK SPYING https://t.co/3ph34BbH2l</t>
  </si>
  <si>
    <t>For starters --&amp;gt; 
#ArrestHillary
#ArrestObama
#ArrestComey https://t.co/yHWiDMl9Se</t>
  </si>
  <si>
    <t>RT @KGBKomrad: Yes #WINNING https://t.co/LWvoVlRLPN</t>
  </si>
  <si>
    <t>RT @sandy45_46: https://t.co/lg5yYC3yty
JUST IN: IGs Report On Clinton Email Scandal To Target FBI Leaders...Comey
Deserves A Cell In Gitm…</t>
  </si>
  <si>
    <t>Correct.  The Left loves to invent, identify problems --&amp;gt;  but they never ever want to fix them!  It's why we must #VoteDemsOUT https://t.co/P2fuJleOPC</t>
  </si>
  <si>
    <t>RT @Mike_Press19: Another controversy by Stormy Daniels Saying She ‘Technically’ Didn’t Sleep With The Us President &amp;lt; America Fans https://…</t>
  </si>
  <si>
    <t>RT @StanM3: Austria- Two asylum seekers masturbated in front of children in the children's pool in Vöcklabruck. 
https://t.co/BbSLis5A0w ht…</t>
  </si>
  <si>
    <t>Isn't it time for Rosenstein to resign???
#VoteDemsOUT https://t.co/P1oZxpuzdI</t>
  </si>
  <si>
    <t>RT @zerohedge: FBI Informant Stefan Halper Paid Over $1 Million By Obama Admin; Spied On Trump Aide After Election https://t.co/APBc1tysDb</t>
  </si>
  <si>
    <t>Apparently, ROD ROSENSTEIN is a hothead, and he is prone to vicious outbursts at the DOJ.  Things are not very pleasant at the agency these days.  Rosenstein is on edge according to observers.</t>
  </si>
  <si>
    <t>Who does DOJ report to, if not Congress and the President? They have to give the requested documents to Congress and We The People!  We demand it!</t>
  </si>
  <si>
    <t>DEMOCRATS at DOJ and FBI don't want to reveal documents to Congress. They report to Congress.  If they refuse to reveal documents &amp;amp; offer transparency, these people need to be fired! #VoteDemsOUT</t>
  </si>
  <si>
    <t>Hillary does have a personality disorder. She's a chameleon of epic proportions -- remember her fake southern drawl when addressing a crowd of southerners? She's fake, phony, a liar, a leftist. #VoteDemsOUT https://t.co/mXBHyid3e7</t>
  </si>
  <si>
    <t>RT @tracybeanz: It’s all coming apart. What a week so far. https://t.co/ZCotL6FTk9</t>
  </si>
  <si>
    <t>"On Sunday night Tom Fitton from Judicial Watch tweeted out to President Donald Trump that Barack Obama could still be impeached and barred from public office every again."</t>
  </si>
  <si>
    <t>"It would not be hard for Congress to impeach Barack Obama for spying on the opposition candidate during a national election."
https://t.co/UdvNOwZ4S3</t>
  </si>
  <si>
    <t>RT @USSANews: There May be an Impeachment in the Works… But it Won’t Be #Trump - https://t.co/u1BzHuwiNR https://t.co/OTHjhdGjwr</t>
  </si>
  <si>
    <t>#ImpeachObama https://t.co/MVZPR2Wdh0</t>
  </si>
  <si>
    <t>FBI informant scandal engulfs Washington DC. Shame on Democrats &amp;amp; their surrogates in the intel community who violated the US Constitution, spying on another candidate's campaign, then trying to derail his presidency after he won. #VoteDemsOUT</t>
  </si>
  <si>
    <t>What?  Another participation trophy? https://t.co/U7sVFiBHYY</t>
  </si>
  <si>
    <t>RT @RealMAGASteve: These are the conditions in @RepAdamSchiff’s district in CA. He is far more of a threat to his constituents than he says…</t>
  </si>
  <si>
    <t>RT @BrotherVet: We The People
Want Jim Jordan
For Speaker of the House
#JimJordanForSpeakerOfTheHouse
@eavesdropann @Mariatweets3 https:…</t>
  </si>
  <si>
    <t>RT @RevAnthonyWood: A truly converted Christian will:
1. Recognize their sin (Matt 12:41)
2. Feel sorrow for their sin (Matt 21:29-32)
3…</t>
  </si>
  <si>
    <t>Heads need to roll!  #ArrestComey #ArrestBrennan #ArrestClapper https://t.co/IMsi7kffJF</t>
  </si>
  <si>
    <t>RT @BiddyThe: -----USA IS LUCKY #CROOKED HILLARY LOST THE ELECTION----- https://t.co/6fSGTbxVjh</t>
  </si>
  <si>
    <t>JOHN BRENNAN incorrectly refers to our nation as a democracy.  Wrong!  We are a republic!  Pure democracy is mob rule. Everything Brennan &amp;amp; Clapper railed against, they are guilty of. #VoteDemsOUT</t>
  </si>
  <si>
    <t>RT @SharylAttkisson: (2/3)  ...including placing at least one spy/informant close to Trump campaign &amp;amp; wiretapping or surveilling at least s…</t>
  </si>
  <si>
    <t>RT @SharylAttkisson: (1/3) There are at least 2 possible scenarios: #1 In 2016, before anybody thought @realDonaldTrump would win, the FBI…</t>
  </si>
  <si>
    <t>RT @SharylAttkisson: If you suspect Russia may try to interfere should the tact be: 1. Wiretap, surveil &amp;amp; plant informants w/ one political…</t>
  </si>
  <si>
    <t>RT @SharylAttkisson: #1 is more effective if the candidate is the target and you want to get political intel against him.
#2 is more effect…</t>
  </si>
  <si>
    <t>RT @seanmdav: Weird: FBI spied on Trump campaign.
Weirder: Alleged FBI spy endorsed Hillary.
Weirdest: He endorsed her in an exclusive inte…</t>
  </si>
  <si>
    <t>RT @SharylAttkisson: I wouldn't call it so much practice as symptomatic of corruption and alleged crimes within our own government/intel co…</t>
  </si>
  <si>
    <t>RT @SharylAttkisson: "Flood is coming."</t>
  </si>
  <si>
    <t>RT @SharylAttkisson: NEW FBI EMAILS REVEAL the "Sensitive Matter Team" inside the FBI that dealt with anti-Trump "dossier" and tracked the…</t>
  </si>
  <si>
    <t>RT @SharylAttkisson: "Flood is coming." "Sensitive Matters Team." New FBI emails. @SenRonJohnson @realDonaldTrump https://t.co/CW1XAvPNll h…</t>
  </si>
  <si>
    <t>RT @SharylAttkisson: UPDATED: DOJ FBI Personnel Change Chart https://t.co/00D4woKqhi https://t.co/WlbLqOyLt3</t>
  </si>
  <si>
    <t>FBI rigged the Clinton email investigation and went after candidate Trump, a clear violation of the Hatch Act.</t>
  </si>
  <si>
    <t>OBAMA admin "SPY SCANDAL" is the worst political scandal in U.S. history.  Obama politicized &amp;amp; weaponized DOJ, FBI, CIA &amp;amp; IRS to go after Trump and conservatives.  Heads must roll!  #ArrestObama</t>
  </si>
  <si>
    <t>‘Too inconvenient’: Trump goes rogue on phone security https://t.co/rFyfCp2DWI via @politico</t>
  </si>
  <si>
    <t>RT @HollywoodUSArmy: @msa_holly #ImpeachObama</t>
  </si>
  <si>
    <t>@HollywoodUSArmy @netflix and the obamas can go pound sand.  Because of these anti-Americans, I will be canceling my Netflix subscription.</t>
  </si>
  <si>
    <t>RT @TomFitton: So it looks like Obama gang began spy operation against @RealDonaldTrump, now being run by Mueller, months earlier than prev…</t>
  </si>
  <si>
    <t>RT @DiamondandSilk: We told y'all way back then whats unfolding right now.  This Obamagate collusion is some unbelievable hypocrisy.
Maybe…</t>
  </si>
  <si>
    <t>RT @John_KissMyBot: Maria Bartiromo:  @MariaBartiromo 👉The DOJ, FBI, IRS, CIA Were ‘All Involved in Trying to Take Down Donald Trump 
Just…</t>
  </si>
  <si>
    <t>RT @RealJamesWoods: “There is nothing more dangerous to the welfare of our republic than operatives from three-letter agencies taking sides…</t>
  </si>
  <si>
    <t>FBI scandal bigger than Watergate? -- Could be, and the dishonest press should cover it that way, too https://t.co/jX6PY5oOho #FoxNews</t>
  </si>
  <si>
    <t>RT @Snap_Politics: BLOCK ADS UNTIL TWITTER STOPS SHADOWBANNING CONSERVATIVES:
Go to Profile
Then Settings and Privacy
Then Privacy and Safe…</t>
  </si>
  <si>
    <t>LOVE THIS BIO --&amp;gt; Prez Trump is the Savior of America from the plague of Liberalism &amp;amp; Globalization.</t>
  </si>
  <si>
    <t>RT @USAHotLips: FBI Informant Stefan Halper Paid Over $1 Million By Obama Admin; Spied On Trump Aide After Election
So what are we waiting…</t>
  </si>
  <si>
    <t>RT @rodtatro: Mark Levin Audio Rewind - 5/21/18 https://t.co/cAJXJV3bSh</t>
  </si>
  <si>
    <t>LONG ISLAND is battling with the criminal MS-13 gang whose motto is:  "RAPE, CONTROL, KILL."  These are animals, folks!
#VoteDemsOUT</t>
  </si>
  <si>
    <t>So many buffoons on cable news --&amp;gt; Leftist talking heads now complaining that Trump MS-13 "animals" remark is racist.  Thank goodness I don't watch those propaganda stations - @cnn @msnbc.</t>
  </si>
  <si>
    <t>Media lying about dangers of revealing the agent -- is only tyring to cover their asses and the guilty Democrats they are protecting with #FakeNews! #VoteDemsOUT</t>
  </si>
  <si>
    <t>Chuck Schumer is the worst possible Democratic leader on foreign policy at the worst possible time https://t.co/NKaDgyQEYp by @Schwarz</t>
  </si>
  <si>
    <t>Nolte:  Ex-CIA Director John Brennan Threatens Paul Ryan, Mitch McConnell for 'Enabling' Trump. SOUNDS LIKE BRENNAN IS THE CRIMINAL HERE! #VoteDemsOUT https://t.co/te3W5JAPeu</t>
  </si>
  <si>
    <t>My good friend is a female gay cop in Los Angeles.  She strongly feels that EVERYONE SHOULD OWN A GUN b/c cops can only stop a criminal AFTER a crime has been committed. People w/guns can prevent crimes! #2A</t>
  </si>
  <si>
    <t>I love that Gov. Abbott is giving guns away!  Way to go!  In America, we have the right to self-defense. 2nd Amendment only says that Govt can't infringe on that right. https://t.co/ZQzAs9rVFw</t>
  </si>
  <si>
    <t>Donald Trump Praises NASCAR Drivers for Standing During the National Anthem | Breitbart https://t.co/DYoC9dI8ZM</t>
  </si>
  <si>
    <t>FBI ‘Spy’ Stefan Halper Wanted a Job in Donald Trump’s Administration | Breitbart https://t.co/Mai4AstyV5</t>
  </si>
  <si>
    <t>Dennis Prager: God-Free College Campuses ‘Produce Stupidity’ https://t.co/SB4RmRMhzm</t>
  </si>
  <si>
    <t>RT @TheRealJohnHCox: Big applause to the Corona City Council. @GavinNewsom’s sanctuary state will end &amp;amp; getting these bad guys out of CA wi…</t>
  </si>
  <si>
    <t>RT @TheRealJohnHCox: Reports of more liberal #FakeNews trying to suppress our #GOP vote. #ReadDisclaimers #BewareofBloomberg #WhenDemocrats…</t>
  </si>
  <si>
    <t>RT @TheRealJohnHCox: Gavin Newsom’s Democrats will do anything to keep a Republican off the ballot in Nov &amp;amp;  prevent the gas tax repeal. Fi…</t>
  </si>
  <si>
    <t>RT @TheRealJohnHCox: I’ve said this before and I agree 110% with @LilaGraceRose. https://t.co/YVbEEWGGhR</t>
  </si>
  <si>
    <t>RT @FoxNews: .@TheRealJohnHCox: “What happened to the rule of law?... The Rule of law is what makes this country the most successful countr…</t>
  </si>
  <si>
    <t>RT @TheRealJohnHCox: #VoteJohnCoxforGovernor #Endorsed by @realDonaldTrump, @newtgingrich and @HJTA! #GOP https://t.co/HKr9y7FIzM</t>
  </si>
  <si>
    <t>RT @TheRealJohnHCox: Just spoke to a group of charter school parents &amp;amp; they were steaming mad about the Democrat billionaires’ #fakenews &amp;amp;…</t>
  </si>
  <si>
    <t>This is an awful shame! Sad that blacks now support segregation -- just like in the old days. Going Backwards! https://t.co/xeBlDCgg8H</t>
  </si>
  <si>
    <t>FBI &amp;amp; DOJ gave Clinton a pass, but are biased against this president.  How is that working for the best interest of the American people?  FBI and DOJ report to Congress &amp;amp; We The People.  They are not above the law &amp;amp; should be held to account for their crimes against the US!</t>
  </si>
  <si>
    <t>Sen. Lindsay Graham --&amp;gt; We finally have a president who is willing to get tough with Iran. Getting out of that terrible Iran Nuke Deal was the best thing we could do.</t>
  </si>
  <si>
    <t>Economist Tom Woods says:  The LEFT has run inner city schools for 50 years. And they are a colassal failure because any increase in taxes for schools ALL goes to the teachers unions, not the classroom or the students!  #VoteDemsOUT</t>
  </si>
  <si>
    <t>Tom Fitton of Judicial Watch says A DOJ Spying Investigation would be a win for the Rule of Law!
#VoteDemsOUT</t>
  </si>
  <si>
    <t>Hard to see how a year-long investigation won’t come down hard on fmr FBI Dir James Comey &amp;amp; fmr Atty Gen Loretta Lynch, who definitely wasn’t playing mahjong in a secret “no aides allowed” meeting w/ former President Clinton on a Phoenix airport tarmac.</t>
  </si>
  <si>
    <t>PENN, Hillary 08 campaign strategist, wkd 4 Clintons since 90s, lowers boom on Mueller, Rosenstein, Chris Steele, Clinton Fndtn &amp;amp; intel community’s DEEP STATE, laying out the absurdity &amp;amp; danger of Obama Admin’s abuse of surveillance &amp;amp; law enforcement against political enemies.</t>
  </si>
  <si>
    <t>Clintonista Mark Penn: 'Deep State' Flailing as Mueller Probe Crumbles!  https://t.co/EtzUoVCbac</t>
  </si>
  <si>
    <t>Nolte: Ex-CIA Director John Brennan Threatens Paul Ryan, Mitch McConnell for 'Enabling' Trump. SOUNDS LIKE BRENNAN IS THE CRIMINAL HERE! #VoteDemsOUT https://t.co/te3W5JAPeu</t>
  </si>
  <si>
    <t>Trump, Rosenstein, Wray Meeting At White House To Talk Campaign Spying https://t.co/CI6ftsFIZp via @BreitbartNews</t>
  </si>
  <si>
    <t>Billboard Music Awards Ratings Hit Low, ‘Brooklyn Nine-Nine’ Finale Rises, NBA Up With Warriors’ Win!  BYE BYE LEFTIES AWARD SHOWS - NOBODY CARES!  https://t.co/bY36ezbbmV via @deadline</t>
  </si>
  <si>
    <t>Riverside County CA - Vote for JAN HARNIK for County Supervisor --&amp;gt; She actively opposes the early release of criminals.</t>
  </si>
  <si>
    <t>JAN HARNIK stopped politicians from taking junkets to foreign countries and cut taxpayer dollar waste.  JAN HARNIK for RIVERSIDE COUNTY SUPERVISOR!</t>
  </si>
  <si>
    <t>JAN HARNIK for Riverside County Supervisor --&amp;gt; She Streamlined government permits, bringing more jobs to the Coachella Valley! #VoteJanHarnik</t>
  </si>
  <si>
    <t>JAN HARNIK for RIVERSIDE COUNTY SUPERVISOR - Balanced every city budget and built a $66 million reserve while maintaining public safety funding.</t>
  </si>
  <si>
    <t>Time for a real investigation into Hillary Clinton. https://t.co/GXQg0tOaHR</t>
  </si>
  <si>
    <t>#VoteDemsOUT https://t.co/GsNo0j9Haj</t>
  </si>
  <si>
    <t>Exactly.  Why isn't Mueller team demanding to see the DNC servers and Wiener's laptop that had over 60,000 Hillary emails on it?????
#VoteDemsOUT https://t.co/ihhm116VOy</t>
  </si>
  <si>
    <t>RT @realDonaldTrump: ....and why hasn’t the Podesta brother been charged and arrested, like others, after being forced to close down his ve…</t>
  </si>
  <si>
    <t>RT @realDonaldTrump: The Witch Hunt finds no Collusion with Russia - so now they’re looking at the rest of the World. Oh’ great!</t>
  </si>
  <si>
    <t>RT @realDonaldTrump: I hereby demand, and will do so officially tomorrow, that the Department of Justice look into whether or not the FBI/D…</t>
  </si>
  <si>
    <t>RT @realDonaldTrump: I ask Senator Chuck Schumer, why didn’t President Obama &amp;amp; the Democrats do something about Trade with China, including…</t>
  </si>
  <si>
    <t>RT @realDonaldTrump: ...they then used to start an investigation about Trump. It is that simple. This guy is the genesis of this whole Deba…</t>
  </si>
  <si>
    <t>RT @realDonaldTrump: ....top of the FBI. Brennan started this entire debacle about President Trump. We now know that Brennan had detailed k…</t>
  </si>
  <si>
    <t>RT @realDonaldTrump: “John Brennan is panicking. He has disgraced himself, he has disgraced the Country, he has disgraced the entire Intell…</t>
  </si>
  <si>
    <t>RT @RealCandaceO: Democrats tend to ask questions about Donald Trump's mental health. When are they going to start asking the tough questio…</t>
  </si>
  <si>
    <t>RT @realDonaldTrump: The Wall Street Journal asks, “WHERE IN THE WORLD WAS BARACK OBAMA?”  A very good question!</t>
  </si>
  <si>
    <t>RT @therealcornett: Judicial Watch Files Two Lawsuits against Justice Department for Docs on Top Officials’ Ties to Clinton Dossier Creator…</t>
  </si>
  <si>
    <t>RT @therealcornett: WATCH: Kellyanne HUMILIATES CNN Host and Forces Him to Admit Who he ‘Voted’ For https://t.co/Anc7fDdSOA via @truthfeedn…</t>
  </si>
  <si>
    <t>RT @therealcornett: @RealCandaceO on the U.S. embassy opening in Jerusalem: "You could feel the energy in the room. You can feel the excite…</t>
  </si>
  <si>
    <t>RT @therealcornett: 🚨🚨🚨IMPORTANT 🚨🚨🚨
Call the @FBI at 1-800-CALL-FBI and tell them that you don't appreciate Robert Mueller's attempt to u…</t>
  </si>
  <si>
    <t>RT @therealcornett: 🚨🚨🚨IMPORTANT 🚨🚨🚨
Call the Department of Justice at 1-202-514-2000 and tell them that you don't appreciate Robert Muell…</t>
  </si>
  <si>
    <t>OBAMA + SOROS = Leftist Scum https://t.co/AVt2WwrgG8</t>
  </si>
  <si>
    <t>RT @therealcornett: HAPPENING NOW: DOJ Responds to Trump’s Demand for an Investigation https://t.co/NiNLfeKQAQ via @truthfeednews</t>
  </si>
  <si>
    <t>RT @therealcornett: JW President @TomFitton: “Judicial Watch uncovered some new emails that are pretty startling, because they show collusi…</t>
  </si>
  <si>
    <t>RT @therealcornett: Hillary Clinton Warns Democrats: You’re NEVER Getting Rid of Me https://t.co/FWmHecX5cS via @truthfeednews</t>
  </si>
  <si>
    <t>RT @therealcornett: REPORT: Here’s How Much Deep State Paid ‘FBI MOLE’ to SPY on Trump https://t.co/xZW3HfuDXW via @truthfeednews</t>
  </si>
  <si>
    <t>RT @therealcornett: China Makes BOLD Promise to Trump as They CAVE Yet Again to ‘America First’ https://t.co/zpk1vIExcV via @truthfeednews</t>
  </si>
  <si>
    <t>RT @RealCandaceO: This was a great honor— a wonderful conversation with @RealBenCarson, a trailblazer for the black community. 
Tick-tock,…</t>
  </si>
  <si>
    <t>#VoteDemsOUT
#BlacksforTrump https://t.co/ykey7IojUW</t>
  </si>
  <si>
    <t>RT @therealcornett: DOJ Says Atty. Gen. Used Alias to Conduct Official Business to Protect Security, Privacy - Judicial Watch
https://t.co/…</t>
  </si>
  <si>
    <t>#ArrestBrennan https://t.co/jB6VjmfBOS</t>
  </si>
  <si>
    <t>RT @therealcornett: Trump Books Brennan’s One-Way Ticket to GITMO in This EPIC Tweet Storm https://t.co/YR7eCICFIk via @truthfeednews</t>
  </si>
  <si>
    <t>RT @therealcornett: Judicial Watch Sues for Text Messages of FBI’s Strzok and Page - Judicial Watch
https://t.co/ot3zO38CNl</t>
  </si>
  <si>
    <t>RT @therealcornett: Judicial Watch Sues for Records about Obama White House Unmasking of Trump Associates - Judicial Watch
https://t.co/iEV…</t>
  </si>
  <si>
    <t>RT @therealcornett: RETWEET If you believe rude CNN Fake News Reporter Jim @Acosta should be banned from further White House access! https:…</t>
  </si>
  <si>
    <t>“Sources are confirming that former President Barack Obama has called Jay-Z several times over the past month pleading with Jay-Z to discourage fellow Hip Hop artists from meeting with President Trump.” OBAMA IS A TRAITOR TO HIS COUNTRY &amp;amp; TO BLACK AMERICANS!</t>
  </si>
  <si>
    <t>Obama Pleads with Jay-Z to Prevent Other Hip Hop Artists Meeting With Trump! HaHaHa! #VoteDemsOUT https://t.co/qZ4JvFuodS</t>
  </si>
  <si>
    <t>If Obamas sign a deal with Netflix, I will be cancelling my subscription to Netflix.  Plus, Netflix has none of the older movies available for streaming.  I could not even find 'Moulin Rouge.' They offer very few moview!
#BoycottNetflix</t>
  </si>
  <si>
    <t>Stephen Miller: Trump America’s ‘negotiator-in-chief,’ what voters wanted ‘times 10’ --&amp;gt; PRESIDENT TRUMP EXCEEDING ALL EXPECTATIONS!  https://t.co/rMnIwjrU5o</t>
  </si>
  <si>
    <t>PORTLAND PUBLIC SCHOOLS covered up 32 yr sex abuse scandal involving a teacher who routinely harassed teens over the course of his career. School officials looked the other way &amp;amp; were afraid of getting on the bad side of the teachers’ union! WHO'S PROTECTING THE KIDS?</t>
  </si>
  <si>
    <t>Imprison the whole rotten, criminal bunch of anti-Americans! 
#VoteDemsOUT https://t.co/IhaGWkWkvH</t>
  </si>
  <si>
    <t>RT @KAG4Life: I don’t know if she can be any more embarrassing? 🤔 She is a train wreck that just keeps on wrecking. @ChelseaClinton who is…</t>
  </si>
  <si>
    <t>@jack @twittersupport https://t.co/vaAIbSx5fo</t>
  </si>
  <si>
    <t>RT @AmyMek: Jihadists sentenced in Florida
3 "Men" Convert to Islam, Try to join ISLAMIC State:
Gregory Hubbard, aka, Jibreel
Dayne Antan…</t>
  </si>
  <si>
    <t>RT @AmyMek: Jihadist Files to Run for Congress in Alaska
Gregory “Shoaib” Jones, a Muslims of the Americas (MOA) cult member is running fo…</t>
  </si>
  <si>
    <t>RT @AmyMek: DEMAND RACIST ANTI-COP JHADI RESIGNS FROM NJ SCHOOL BOARD!
CALL Tel: 973-762-5600
Stephanie Lawson-Muhammad, a NJ Board of Ed…</t>
  </si>
  <si>
    <t>RT @AmyMek: France has completely submitted...
Jihadists cheer the renaming of Victory Square in front of Notre Dame Cathedral to ‘Nakba’…</t>
  </si>
  <si>
    <t>NYC High School now bowing to Hamas?!?! It's why we must #VoteDemsOUT https://t.co/IfFTCWQGMP</t>
  </si>
  <si>
    <t>RT @StephanieAmeiss: This is the Israeli-Lebanese border the day after Trump threw out the Iran deal. Thank you President Trump! #StandWith…</t>
  </si>
  <si>
    <t>Fox's Bartiromo: DOJ, FBI, IRS, CIA 'were all involved in trying to take down Donald Trump' -- AND THE PEOPLE WHO VOTED, WON!  https://t.co/cuDYjI90dE</t>
  </si>
  <si>
    <t>Trump shares quote ripping Brennan: 'This guy is the genesis of this whole debacle.'  #VoteDemsOUT  https://t.co/ADEMQXB7zm</t>
  </si>
  <si>
    <t>Pope Francis tells gay man 'God made you like this and loves you like this' --&amp;gt; IS HE SAYING THIS BECAUSE HE IS GAY? 
 https://t.co/LXb6hvYt5r</t>
  </si>
  <si>
    <t>When Centers for Medicare &amp;amp; Medicaid Services announced that states could experiment w/ work requirements as a prerequisite for Medicaid eligibility, Democrats denounced the policy as racist and cruel. What does left have against work?   https://t.co/8qHPOK9C0q</t>
  </si>
  <si>
    <t>Medicaid and the Democratic War on Work --&amp;gt; What does the left have against productive employment? #VoteDemsOUT https://t.co/8qHPOK9C0q</t>
  </si>
  <si>
    <t>One Year In, The Russia Investigations Keep Leading To The Investigators https://t.co/pqodNIcaEC</t>
  </si>
  <si>
    <t>10 Takeaways From NYT's Error-Ridden Defense Of FBI Spying On Trump Campaign!  https://t.co/stNw5Xtr7E</t>
  </si>
  <si>
    <t>Obama Campaign Paid $972,000 To Law Firm That Paid Fusion GPS https://t.co/El3n0x6tAM</t>
  </si>
  <si>
    <t>Sanders: Talking Impeachment on the Campaign Trail Is a Gift to Republicans via @freebeacon https://t.co/MQgZJ3OrSJ</t>
  </si>
  <si>
    <t>.@JohnBrennan You are a liar sir!  Time to air out ALL the dirty laundry of the Obama administration &amp;amp; DOJ.  Trump is trying to get at the truth of what  you, Comey, Clapper, Lynch et al. did to try and derail his campaign.  Your actions are treasonous to our democracy!</t>
  </si>
  <si>
    <t>#ArrestBrennan https://t.co/3JV38DTkqg</t>
  </si>
  <si>
    <t>Israel has no friend in Democrats!  It why we must #VoteDemsOUT!  https://t.co/e68LSjXNsD via @worldnetdaily</t>
  </si>
  <si>
    <t>CNN Uses Santa Fe Shooting To Spread Misinformation on School Shooting Statistics https://t.co/ofdahz9sjk</t>
  </si>
  <si>
    <t>Chinese &amp;amp;#8216;Re-Education Camps&amp;amp;#8217; Force Muslims to Drink Alcohol and Eat Pork &amp;amp;#8212; Report https://t.co/0HNzLmEOJM</t>
  </si>
  <si>
    <t>BREAKING. Justice Directs the DOJ IG to Expand His Probe to Include Election Shenanigans By the FBI https://t.co/wPjzhERSKs</t>
  </si>
  <si>
    <t>String Of Scandals Rock Portland Public Schools https://t.co/l8Fx04sbUQ via @gatewaypundit</t>
  </si>
  <si>
    <t>PORTLAND PUBLIC SCHOOLS covered up a 32 yr sex abuse scandal involving a teacher, who routinely harassed teenagers over the course of his career. School officials looked the other way &amp;amp; were afraid of getting on the bad side of the teachers’ union! WHO'S PROTECTING THE KIDS?</t>
  </si>
  <si>
    <t>String Of Scandals Rock Portland Public Schools. #VoteDemsOUT https://t.co/l8Fx04sbUQ via @gatewaypundit</t>
  </si>
  <si>
    <t>HUGE! Email Shows FBI 'Informant' Stefan Halper Was Still Spying on Trump Well Into 2017 https://t.co/q8seFWUSlj via @gatewaypundit</t>
  </si>
  <si>
    <t>Here's Why Devin Nunes and Trey Gowdy Ignored Invitation to Meet With Leaky DOJ and Rosenstein on Friday https://t.co/lKQsEaPEeq via @gatewaypundit</t>
  </si>
  <si>
    <t>BREAKING: DOJ Asks IG Horowitz to Investigate Possible "Impropriety or Political Motivation" After Trump Demands Probe on FBI Campaign Infiltration https://t.co/Y8G5WXdgbE via @gatewaypundit</t>
  </si>
  <si>
    <t>Freedom Caucus Chair Mark Meadows Demands Documents From Rosenstein: 'The DOJ Can't Be Trusted to Investigate Themselves' https://t.co/DsEE6DPxu9 via @gatewaypundit</t>
  </si>
  <si>
    <t>Feehery: Putting Pelosi back in control of House would hurt job creation. SHE WANTS TO RAISE TAXES &amp;amp; DESTROY OUR GROWING ECONOMY! #VoteDemsOUT https://t.co/HoTSyhTgt1</t>
  </si>
  <si>
    <t>RT @Wildkattz: Alan Dershowitz rips into Mueller's probe with eight words after Dan Abrams defends it vigorously https://t.co/JTtoqCVnYz</t>
  </si>
  <si>
    <t>RT @MiskaPhillip: @realDonaldTrump W https://t.co/3lwa3AO9YY</t>
  </si>
  <si>
    <t>#ArrestBrennan https://t.co/pHKPxnFMtM</t>
  </si>
  <si>
    <t>RT @tsimsparker: Funny @CNN @MSNBC @foxnews doesn't bring you on their shows to tell your stories?! @seanhannity https://t.co/Ul2TN0Z0vQ</t>
  </si>
  <si>
    <t>RT @thehill: Nunes: I won't meet with Justice Dept until I get info on FBI source who met with Trump officials https://t.co/fvwLtVOhHf http…</t>
  </si>
  <si>
    <t>CORRECT.  Our message is that if you want an abortion --&amp;gt; GO PAY FOR IT YOURSELF.  No tax dollars should be funding murdering the unborn. https://t.co/BW3ZmItQ8z</t>
  </si>
  <si>
    <t>#ArrestBrennan https://t.co/qZAmUmXCuL</t>
  </si>
  <si>
    <t>Where is Mueller on investigating Podestas and Clintons for interfering with the election??? https://t.co/7KlKGiJMlz</t>
  </si>
  <si>
    <t>RT @MEL2AUSA: Retweet if you agree with .@POTUS that any member of the murdering, raping, criminal gang MS-13 is an “animal.” https://t.co/…</t>
  </si>
  <si>
    <t>TRUMP was right again!
#MAGA
#DrainTheSwamp
#VoteDemsOUT https://t.co/MHG63iIe0t</t>
  </si>
  <si>
    <t>I love this President!  He is getting so much done at home and abroad!  Fair trade deals with China happening now!  Trump is tired of the Obama clique that only wants to see America fail!  They can all go to hell! #MAGA 🇺🇸 https://t.co/0U4u6xrnKs</t>
  </si>
  <si>
    <t>RT @OliverMcGee: Retweet if you believe @realDonaldTrump has the right to request the DOJ look into political interference by the Obama adm…</t>
  </si>
  <si>
    <t>RT @IancuVladim: https://t.co/4LCP8XRLgF
Nancy and Maxine suffer from the same neurological affliction - senility. They belong in a home fo…</t>
  </si>
  <si>
    <t>2 SICKOS who belong in the nut farm!
VOTE "Crazy" Maxine out of office.  Vote of #OmarNavarro in CA-43
#VoteDemsOUT https://t.co/ncwguWMskt</t>
  </si>
  <si>
    <t>RT @TheBeaSmith: “It doesn’t mttr how many drugs I do, I’m not fulfilled. There’s a spiritual hunger. If u don’t feel it now, u will. Trust…</t>
  </si>
  <si>
    <t>RT @carldemaio: ON AIR NOW - True to form, media takes comments on Sanctuary City law completely out of context.  But voters are seeing thr…</t>
  </si>
  <si>
    <t>RT @carldemaio: Oh please. If you believe that the homeless population went down this year in #SanDiego I have a pothole-free bridge to sel…</t>
  </si>
  <si>
    <t>RT @carldemaio: Great turnout for our first organizing meeting in Los Angeles for the Gas Tax Repeal.  Join us at the next one in your area…</t>
  </si>
  <si>
    <t>RT @carldemaio: The Gas and Car Tax Repeal Initiative will be on the ballot in November - here's a good explainer on why we need to repeal…</t>
  </si>
  <si>
    <t>RT @carldemaio: Donald Trump has endorsed John Cox for California Governor.  I'm asking Travis Allen to drop out of this race.  His support…</t>
  </si>
  <si>
    <t>RT @carldemaio: We're holding Organizing Meetings in every region of California for the Gas Tax Repeal Campaign.  Here's the initial list -…</t>
  </si>
  <si>
    <t>RT @carldemaio: Have plans Tuesday night? Join me at my home in Rancho Bernardo for a Gas Tax Repeal fundraiser. Don't sit on the sidelines…</t>
  </si>
  <si>
    <t>Gov. Jerry Brown: Attempts to Repeal the Gas Tax are 'Un-Californian' 
 - CA POOR are getting poorer b/c of Jerry Brown GAS TAX! 
 #RepealGasTax https://t.co/RBc3vVKIfH</t>
  </si>
  <si>
    <t>For Activists the Children Are Means to an End | https://t.co/PKZvp8X8Ca https://t.co/axwiI0TL6S via @Newsmax</t>
  </si>
  <si>
    <t>RT @rocknrollajc: 100%. Truth is, @MichelleObama was not only scary to look at, she was also a peach to talk to. Her bad attitude was writt…</t>
  </si>
  <si>
    <t>Dershowitz: Non-Partisan Committee Would Have Been Better Thank Russia Probe | https://t.co/PKZvp8X8Ca https://t.co/XtvhSxZgP5 via @Newsmax</t>
  </si>
  <si>
    <t>DOJ Says Inspector General Will Investigate Trump Campaign Surveillance Claims | https://t.co/PKZvp8X8Ca https://t.co/odaAW99qmP via @Newsmax</t>
  </si>
  <si>
    <t>Egged on by Steele, Obama Admin's DOJ/FBI simply believed Trump and his team must be dirty — they just needed to dig deep enough to find it. It was all based on lies &amp;amp; #FakeNews. https://t.co/ktttX80Kq4</t>
  </si>
  <si>
    <t>"It is hard to see how a year-long investigation won’t come down hard on former FBI director James Comey &amp;amp; former Atty General Loretta Lynch, who definitely wasn’t playing mahjong in a secret, no-aides-allowed meeting w/ former Pres Clinton on a Phoenix airport tarmac."</t>
  </si>
  <si>
    <t>"At this point, there is little doubt that the highest echelons of the FBI and the Justice Department  broke their own rules to end the Hillary Clinton “matter.” https://t.co/ktttX80Kq4</t>
  </si>
  <si>
    <t>Love this Bio --&amp;gt; Enough is Enough lets MAGA for our kids and Country cause we are losing it and we have to fight back The west will not fall.</t>
  </si>
  <si>
    <t>RT @John_KissMyBot: Harvard Law Professor (Democrat) Alan Dershowitz SAYS  Asst Attorney General Rod Rosenstein should Recuse Himself From…</t>
  </si>
  <si>
    <t>RT @TomFitton: Obama, btw, can still be impeached. https://t.co/JsIU9bhnnJ</t>
  </si>
  <si>
    <t>RT @LouDobbs: Give 'em hell, Mr. President! This is now a fight worth having, to preserve the constitution and root out the political corru…</t>
  </si>
  <si>
    <t>RT @FiveRights: Obamagate is now is officially underway.
Maybe he'll be the first President to do prison time.
https://t.co/MtQBGwdRMm</t>
  </si>
  <si>
    <t>That would be justice! https://t.co/MEMkexNxco</t>
  </si>
  <si>
    <t>RT @hale_razor: "We stand for truth, evidence, and facts," said the woman who claimed she was dead broke, deleted 30,000 subpoenaed documen…</t>
  </si>
  <si>
    <t>RT @rockynickydog: IT'S OVER! Brave Judge FIRES back at Jeff Sessions And Adam Schiff Over ... https://t.co/6IF8QGSC8L via @YouTube</t>
  </si>
  <si>
    <t>"The DEEP STATE is in a state of desperation. With little time left b4 the Justice Dept Inspector General’s rept becomes public, &amp;amp; with special counsel Robert Mueller having failed to bring down Donald Trump after a year of trying, they know a reckoning is coming. #ScumLiberals</t>
  </si>
  <si>
    <t>Stopping Robert Mueller to protect us all!  #VoteDemsOUT https://t.co/ffS0GU9wg1</t>
  </si>
  <si>
    <t>In Chad, the Elephants (So Many Elephants) Are Back https://t.co/IHcStLF8Fw</t>
  </si>
  <si>
    <t>RT @nytimes: That elephants still exist here at all comes as a shock to many experts. The park’s population “was just in free fall.” https:…</t>
  </si>
  <si>
    <t>RT @mandymendez90: Parents, please teach your children that every time they bully a classmate, they’re contributing to creating a possible…</t>
  </si>
  <si>
    <t>RT @TellUsWhyCo: Are you a Donald Trump’s Supporter?
#MAGA2018</t>
  </si>
  <si>
    <t>RT @John_KissMyBot: Trump railed against special counsel Mueller’s ongoing investigation &amp;amp; the FBI for not investigating alleged crimes by…</t>
  </si>
  <si>
    <t>RT @SebGorka: THE GLOVES ARE OFF. 
Swampdwellers you just lost control. 
@realDonaldTrump has just officially announced the end of your r…</t>
  </si>
  <si>
    <t>RT @StefanMolyneux: “Researchers analyzed data on 877,000 women, including 164,000 who had an abortion. They found women who had an abortio…</t>
  </si>
  <si>
    <t>US, China agree to abandon trade war: Beijing.  THIS IS FANTASTIC NEWS!  THANK YOU PRESIDENT TRUMP!   https://t.co/zmouW8JW0p</t>
  </si>
  <si>
    <t>RT @hale_razor: Yesterday: don't smear all immigrants because of a few misguided divine humans
Today: all NRA members are murderers with b…</t>
  </si>
  <si>
    <t>#VoteDemsOUT https://t.co/I6jc62sf2m</t>
  </si>
  <si>
    <t>Perfect example of how GOOGLE filters out positive news favorable to conservatives.  GOOGLE engages in censorship, pure &amp;amp; simple!  #BoycottGoogle https://t.co/Q9a8BD7jsx</t>
  </si>
  <si>
    <t>RT @w_terrence: Where is Black Lives Matter? A black Trump Supporter was attacked and everyone is quiet🤨 Where is Al Sharpton? 
Please Retw…</t>
  </si>
  <si>
    <t>RT @w_terrence: Public schools should have armed security &amp;amp; metal detectors just like Banks, Courts &amp;amp; Airports. Also a Surveillance Team ju…</t>
  </si>
  <si>
    <t>RT @w_terrence: People Stop blaming Trump for the shooting that is so rude. You didn’t blame Obama for mass shootings. He was not an NRA Me…</t>
  </si>
  <si>
    <t>Looks absolutely yummy! https://t.co/wQQbeGqRMh</t>
  </si>
  <si>
    <t>RT @w_terrence: I’m so disappointed in our President, I just don’t understand how he could call these poor babies animals. Yes they are the…</t>
  </si>
  <si>
    <t>Terrence is right @w_terrence: Maxine Waters has been in office of 99 years &amp;amp; all she's done for the black community is buy herself a $4 million house &amp;amp; show up on CNN and The View to talk crap. Pres Trump has done more for blacks in 1 yr than Maxine has done in her entire life.</t>
  </si>
  <si>
    <t>#Vote4OmarNavarro to end the political career of Crazy Maxine Waters! #VoteDemsOUT 
https://t.co/Zd3D1t87uf https://t.co/niqCUxFIx6</t>
  </si>
  <si>
    <t>"President Trump is reaping the results this month of his foreign policy initiatives.  He blew up Obama's sketchy Iran deal.  The U.S. embassy opened in Jerusalem, fulfilling a promise made, but never kept, by a slew of recent U.S. presidents."  
https://t.co/qDRTN94QNC</t>
  </si>
  <si>
    <t>The dirty little secret is that Saul Alinsky has little in common with modern leftists.  As Ralph Benko writes, "Alinsky was an aggressively anti-communist, anti-big government, populist with a healthy contempt for liberals."  
https://t.co/qgqAJZ99oK</t>
  </si>
  <si>
    <t>MSM silence on Stefan Halper’s name ends. 
 Time to #VoteDemsOUT ! https://t.co/OTBtJzns7g</t>
  </si>
  <si>
    <t>So Much Winning! Earth Has Cooled Half a Degree Since Trump Election (VIDEO) https://t.co/CT5jjMqdrv via @gatewaypundit</t>
  </si>
  <si>
    <t>If you look and compare Black Americans to First Gen Blacks from Africa -- their skin tone and features are getting lighter and whiter and bear little resemblance to their African ancestors. One could argue that Black Americans are turning whiter.</t>
  </si>
  <si>
    <t>Even though Markle is 1/2 black, her children will only be 1/4 black, 3/4 caucasian, and their children will only be 1/8 black -- which begs the argument that the black race is somehow diluting the caucasian race.  Seems that the opposite is the case.</t>
  </si>
  <si>
    <t>President Poker-Player: Obama's Tell https://t.co/dvXsITV7i2</t>
  </si>
  <si>
    <t>CHARLIE ROSE can only look on in wonder as Bill Clinton rakes in millions from the same corporate empire that fired him for the same sort of conduct with subordinate females.  https://t.co/UZhqgYtHuV</t>
  </si>
  <si>
    <t>Sorry to the bi-racial advocates, but Megan Markle looks very white and could easily pass as caucasian.  Our country's early settlers married and had children with native Americans.  No big deal!</t>
  </si>
  <si>
    <t>Al Sharpton: Royal Wedding Proves White Supremacy is 'on Its Last Breath' 
 --&amp;gt; YES Rev. Al, EXCEPT THE MEGAN MARKLE LOOKS SO WHITE! https://t.co/6KSLbjB7oF</t>
  </si>
  <si>
    <t>RT @tracybeanz: AND! It makes it worse that they KNOW THIS in the Senate Intel Committee and they STILL said that there was Russian interfe…</t>
  </si>
  <si>
    <t>RT @tracybeanz: 27. Here is a video report. Please share and add comments below. https://t.co/QYP3ZMjVPv</t>
  </si>
  <si>
    <t>RT @tracybeanz: 26. My question is, who provided the intelligence to Steele? What did McCain have to do with it? Did Fusion provide it to C…</t>
  </si>
  <si>
    <t>RT @tracybeanz: 25. So it appears, that select folks in the IC, who had used the unverified dossier already to obtain FISA warrants, etc, v…</t>
  </si>
  <si>
    <t>RT @tracybeanz: 24. One more: https://t.co/HuOCejvpj1 https://t.co/Pi8KQrYfk0</t>
  </si>
  <si>
    <t>RT @tracybeanz: 23. As a matter of fact, not two weeks later, the official intelligence report concluding the Russian hacking was released.…</t>
  </si>
  <si>
    <t>RT @tracybeanz: 22. It appears that Crowdstrike obtained this memo, either via Fusion GPS (as insinuated in the lawsuit, by Orbis) or via M…</t>
  </si>
  <si>
    <t>RT @tracybeanz: 21. Well it did. Take a look. https://t.co/MQr8DYgrPl https://t.co/ZCEsBWueER</t>
  </si>
  <si>
    <t>RT @tracybeanz: 20. Remember the contents of the memo? Russian and "Romanian" hacking financed by Cohen? Is it sheer coincidence that Crowd…</t>
  </si>
  <si>
    <t>RT @tracybeanz: 19. And finally, the big enchilada, they couldn't even PROVE the contents of the memo were true! So again, we have unverifi…</t>
  </si>
  <si>
    <t>RT @tracybeanz: 18. This is interesting, because it states that this intelligence was delivered to Steele without him even asking for it. T…</t>
  </si>
  <si>
    <t>RT @tracybeanz: 17. "We were providing the December memo to McCain and Kramer under their official capacity- that is how it was presented t…</t>
  </si>
  <si>
    <t>RT @tracybeanz: 16. Here, they basically say that Fusion should have known not to disperse the December memo under a previous NDA (aka- Fus…</t>
  </si>
  <si>
    <t>RT @tracybeanz: 15. "We had to send this along because it was important. They should have known they shouldn't publish it or share it" http…</t>
  </si>
  <si>
    <t>RT @tracybeanz: 14. This entire page needs to be read- remember this is Orbis/Steele answering. It states here the Dec memo was given to Mc…</t>
  </si>
  <si>
    <t>RT @tracybeanz: 13. Lets go through the lawsuit together, and I will tie everything up in a moment. Kramer asked that McCain be briefed wit…</t>
  </si>
  <si>
    <t>RT @tracybeanz: 12. The media was trying to get in front of this story, because of the massive implications it has. We learn in this lawsui…</t>
  </si>
  <si>
    <t>RT @tracybeanz: 11. We all scratched our heads a few weeks ago, in mid April, when the "Cohen in Prague" story was trotted out again in fro…</t>
  </si>
  <si>
    <t>RT @tracybeanz: 10. The problem?? MICHAEL COHEN HAS NEVER BEEN TO PRAGUE. It was debunked back after the dossier was released, when Cohen p…</t>
  </si>
  <si>
    <t>RT @tracybeanz: 9. In this part, they cover the phishing and malware that the establishment contends targeted members of the DNC and Podest…</t>
  </si>
  <si>
    <t>RT @tracybeanz: 8. In this part here, they cover "Guccifer 2.0". https://t.co/oCWUMlPveA</t>
  </si>
  <si>
    <t>RT @tracybeanz: 7. Here is the memo. This memo basically states, that Cohen, in Prague, made cash payments to Russian FSB connected hackers…</t>
  </si>
  <si>
    <t>RT @tracybeanz: 6. When the Senate released their docs the other day, inside was a full copy of the dossier, including the December memo, a…</t>
  </si>
  <si>
    <t>#ArrestJohnMcCain https://t.co/gLauRaezS1</t>
  </si>
  <si>
    <t>RT @tracybeanz: 4. We know that during this time, he met with Sir Andrew Wood (former UK diplomat) to receive it. https://t.co/bGdNPWmzaR T…</t>
  </si>
  <si>
    <t>RT @tracybeanz: 3. We know that McCain received the dossier via David Kramer back in November of 2016, and then he handed it over to the FB…</t>
  </si>
  <si>
    <t>RT @tracybeanz: 2. There is a lawsuit ongoing right now in the UK. Orbis and Steele are being sued by Aleksej Gubarev, Webzilla, and XBT ba…</t>
  </si>
  <si>
    <t>RT @tracybeanz: 1. I am about to blow your minds with this thread. It is massive. You will want to pay VERY close attention. The Senate Int…</t>
  </si>
  <si>
    <t>That's pope justice for you...the man who hates capitalism and worships at the altar of Venezuelan-style socialism that starves its own people for power. https://t.co/zWWjwFQd4C</t>
  </si>
  <si>
    <t>RT @Joe_America1776: "Records Show FBI ‘Informant’ Stefan Halper Was Paid $282,000 in 2016 For Spying on Trump — And Another $129,280 in 20…</t>
  </si>
  <si>
    <t>RT @SebGorka: https://t.co/LAHhmtgvzW</t>
  </si>
  <si>
    <t>#Criminals
#ArrestComey
#ArrestObama https://t.co/j9hjqQqlEI</t>
  </si>
  <si>
    <t>MS-13 are #Animals!
#VoteDemsOUT to keep MS-13 animals out of the USA! #MAGA https://t.co/RyRgZlnQ4A</t>
  </si>
  <si>
    <t>@joesbooks @RealJamesWoods Correct!  It's why we must #VoteDemsOUT</t>
  </si>
  <si>
    <t>#VoteDemsOUT
#ArrestObama https://t.co/HQpdQqhDWy</t>
  </si>
  <si>
    <t>RT @Godsgirl158: It is Heroes such as this that keep us &amp;amp;our beloved ones safe..
NOT BANNING GUNS!
https://t.co/tj8HjQFF0U</t>
  </si>
  <si>
    <t>LEFTISTS pushing for segregation.  Is this what Democrats truly stand for?  Dem president LBJ hated blacks and believed in segregation.  #GoingBackwards https://t.co/81wuHOd6Ai</t>
  </si>
  <si>
    <t>RT @GunOwners: “The mainstream media has ignored potential mass shootings that were stopped by armed personnel, such as the school resource…</t>
  </si>
  <si>
    <t>Get your national Concealed Carry Qualification Online:
https://t.co/6Pl792m5UG</t>
  </si>
  <si>
    <t>Records Show FBI 'Informant' Stefan Halper Was Paid $282,000 in 2016 For Spying on Trump -- And Another $129,280 in 2017. #ArrestObama #VoteDemsOUT  https://t.co/gGkm2xxpCa via @gatewaypundit</t>
  </si>
  <si>
    <t>BOOM! Devin Nunes: If FBI Paid to Spy on Trump "It's Absolute Red Line!  It's Over With!... No Honest American Will Stand for This!" (VIDEO) https://t.co/2ufuSLEaVi via @gatewaypundit</t>
  </si>
  <si>
    <t>TRUMP SUNDAY TWEETSTORM! -- POTUS Goes After Criminal Podesta Brothers, Deep State, 13 Angry Democrats, Crooked Hillary...#VoteDemsOUT  https://t.co/p17OjBW3mx via @gatewaypundit</t>
  </si>
  <si>
    <t>BREAKING: President Trump to Order DOJ Investigate Alleged Spying on His Campaign By Obama Admin. 
 #VoteDemsOUT https://t.co/4xBWArxgOb via @gatewaypundit</t>
  </si>
  <si>
    <t>FLASHBACK=&amp;gt; Barack Obama: I Guarantee There Is No Political Influence in Any Investigation by DOJ or FBI. Full Stop. Period. #ObamaAlwaysLied https://t.co/zL0TP6jQZN via @gatewaypundit</t>
  </si>
  <si>
    <t>SHOCK REPORT: New Evidence of Foreign Government Meddling in 2016 Election Finally Uncovered  -- But it was from the UK - not Russia! Time to #VoteDemsOUT https://t.co/WIEAm9W2oy via @gatewaypundit</t>
  </si>
  <si>
    <t>Mom of slain Santa Fe school shooting victim believes daughter was targeted. “He kept making advances on her &amp;amp; she repeatedly told him no,” Sadie Rodriguez said. https://t.co/QVSfmDQiyk</t>
  </si>
  <si>
    <t>Minister Rev. Gregory Stevens called his city of Palo Alto "an elitist shit den of hate," &amp;amp; "disgusting." The pastor believes Palo Alto is a ghetto of wealth, power &amp;amp; elitist liberalism -- all talk and no action. #VoteDemsOUT
https://t.co/B0m2CJMgyD</t>
  </si>
  <si>
    <t>#ArrestObama
#ArrestComey
#ArrestBrennan
#ArrestClapper https://t.co/lWLx35paOz</t>
  </si>
  <si>
    <t>Rush Limbaugh Slams 'Snake' James Clapper --- Says Deep State Damaged U.S. Elections Beyond Putin's Wildest 'Dreams' | Breitbart https://t.co/fLvCYp2Jft</t>
  </si>
  <si>
    <t>Veteran Exec Suzanne Scott Becomes Fox News' First Female CEO. Real Woman Power not the phony kind from the Left. https://t.co/6RJuVbzUFZ</t>
  </si>
  <si>
    <t>Ratings Crisis: CNN Suffers Viewership Collapse of Nearly 30%.  HA HA HA!  THIS MAKES ME SO HAPPY!  #FakeNewsCNN is dying! https://t.co/mrHU461HAN</t>
  </si>
  <si>
    <t>Even Chuck Todd Defends Trump’s MS-13 ‘Animals’ Remarks | Breitbart https://t.co/GBynwUEoqI</t>
  </si>
  <si>
    <t>Top Dem Pollster: ‘Very Real Risk’ Millennials Won’t Turn Out for Left in ’18 | --&amp;gt; Because the LEFT ONLY STANDS FOR HATE, LIES &amp;amp; VIOLENCE. https://t.co/FBV2c1f8tU</t>
  </si>
  <si>
    <t>That's right! https://t.co/KznAZadmuG</t>
  </si>
  <si>
    <t>RT @RedNationRising: If they’re gonna support a gang of heinous criminals, they should at least look like them. | #RedNationRising https://…</t>
  </si>
  <si>
    <t>That's a load of crap and everyone knows it!  @theatlantic is a left smeer propaganda rag. Shame on you! Trump is the greatest president we've had in decades, unlike dummy Obama who did nothing but grow debt, poverty, kill cops &amp;amp; create ISIS. https://t.co/MeBA5MIk3U</t>
  </si>
  <si>
    <t>Santa Fe, Texas shooter has been identified by law enforcement as 17-year-old Dmitrios Pagourtzi—a bullied loner with a fascination for guns.</t>
  </si>
  <si>
    <t>The gunman shot at Trump hotel was a stripper and porn actor who loved Melania Trump https://t.co/3pmqLfJmHu</t>
  </si>
  <si>
    <t>DOJ Frets About Source Outing While Deliberately Outing Source https://t.co/nLRCWuBQPU</t>
  </si>
  <si>
    <t>If a woman wants an abortion, that is her choice, under current law, BUT DON'T ASK TAXPAYERS TO PAY FOR HER RECKLESS SEXUAL HABITS.</t>
  </si>
  <si>
    <t>Trump Admin Proposes Stripping Abortion Providers Of Title X Funds! End Taxpayer Funding of Abortions! https://t.co/j893bWgvhI</t>
  </si>
  <si>
    <t>One Year In, The Russia Investigations Keep Leading To The Investigators. #ArrestComey #ArrestMueller https://t.co/6AD1WOQZcr</t>
  </si>
  <si>
    <t>Media Hate Trump So Much, They're Willing To Defend MS-13 instead of admitting they reported #FakeNews about Trump. https://t.co/14k6LhYbJa</t>
  </si>
  <si>
    <t>EXCLUSIVE: A London Meeting Before The Election Aroused George Papadopoulos’s Suspicions https://t.co/xrfRxrkwVy via @dailycaller</t>
  </si>
  <si>
    <t>‘No Justification Whatsoever’: Jeff Sessions BLASTS Baltimore For Helping MS-13 https://t.co/QjUciqOsyD via @dailycaller</t>
  </si>
  <si>
    <t>Agent Halper’s encounters with Papadopoulos were not the only encounters that the professor had with the Trump campaign. #ArrestHalper</t>
  </si>
  <si>
    <t>In a 9/216, msg sent to Papadopoulos’s personal email acct, he offered the Trump aide $3k to write a policy paper on issues related to Turkey, Cyprus, Israel &amp;amp; the Leviathan natural gas field. Halper also offered to pay for Papadopoulos’s flight &amp;amp; a 3-night stay in London.</t>
  </si>
  <si>
    <t>According to a source with knowledge of the meeting, Halper asked Papadopoulos: “George, you know about hacking the emails from Russia, right?” Papadopoulos told Halper he didn’t know anything about emails or Russian hacking.</t>
  </si>
  <si>
    <t>Cambridge professor outed as FBI informant inside Trump campaign. #FBIscum https://t.co/XDpAvBipo2 via @nypost</t>
  </si>
  <si>
    <t>Outed agent who was spying on Trump started in early July 2016, undermining fired FBI Director James Comey’s previous claim that the bureau’s investigation into the Trump campaign began at the end of that month.</t>
  </si>
  <si>
    <t>Cambridge professor outed as FBI informant inside Trump campaign https://t.co/XDpAvBipo2 via @nypost</t>
  </si>
  <si>
    <t>UNBELIEVABLE NEWS -- China agrees to buy more US goods  to cut our trade deficit by $200 billion.  Did Obama lift a fucking finger to fix our lopsided trade deals?  Obama just wanted to party with Jay-Z &amp;amp; Beyonce! #ObamaFailedPresident</t>
  </si>
  <si>
    <t>RT @reubing: BREAKING: Donald Trump representatives have reached an agreement with China on trade which will cut our trade deficit with the…</t>
  </si>
  <si>
    <t>@TheView Please fire JOY BEHAR!  She spews such ignorance and hate, it's mind boggling!  She's why so many people, including may Democrats who are turned off to the liberal clap-trap hatefest of the Left.  Behar is why so many believe that #LiberalismIsAMentalDisorder</t>
  </si>
  <si>
    <t>Sen. Warren continues to spread lies.  In the USA, we do not elect a president by popular vote but by the states and their electors. #StupidLiberal #VoteDemsOUT https://t.co/Qj7lm1Tm87</t>
  </si>
  <si>
    <t>RT @ElderLansing: Spike Lee you’re an idiot and race baiting piece of trash. How dare you disrespect Potus Trump with such foul language! P…</t>
  </si>
  <si>
    <t>@johnlegend US policy had nothing to do with El Salvador murderous drug gangs.</t>
  </si>
  <si>
    <t>@johnlegend You are both ignorant and naive to think that you, John Legend, can rehabilitate MS-13 gang members by being nice to them.  It's what Obama so tragically thought and ended up creating ISIS!</t>
  </si>
  <si>
    <t>@johnlegend You are very sick if you think MS-13 gang members are anything but "animals."  Most animals don't do to other animals what MS-13 does to other human beings! Get a grip!</t>
  </si>
  <si>
    <t>Gotcha!--Deep State Foiled Trying To Sabotage Trump’s Foreign Policy https://t.co/OGw11le3zS</t>
  </si>
  <si>
    <t>The Mainstream Media Is so Rotten, They're Driving 'Never Trumpers' Like Glenn Beck to Vote for the President in 2020 https://t.co/kDJ43sEmBS</t>
  </si>
  <si>
    <t>Obama's FBI Spied On The Trump Campaign, So What Did He Know And When Did He Know It? https://t.co/9DVf9o9ywr</t>
  </si>
  <si>
    <t>TIME to put the crooks in jail — All of them! Now that we know Obama DOJ, FBI &amp;amp; CIA were spying on Trump with an informant inside his campaign it is time to clean house. If the govt is ever 2B trusted again they must start arresting &amp;amp; imprisoning the Deep State Obama criminals.</t>
  </si>
  <si>
    <t>MORE LIES ON TOP OF LIES By the Liberal Democrat Media…
You can NEVER trust these filthy liars. https://t.co/GYzTqjsc1W</t>
  </si>
  <si>
    <t>RT @The_Trump_Train: Extreme censorship is currently hitting our movement... Please do the following:
1. Share this tweet.
2. Reply to thi…</t>
  </si>
  <si>
    <t>Corrupt #FakeNews WaPo: If the FBI Was Spying on Trump - "It Was to Protect Him" https://t.co/oGGU47zO7l via @gatewaypundit</t>
  </si>
  <si>
    <t>DNC Lawsuit Reveals New Connections Between the DNC, Outside Contractor Crowdstrike and FISA Court Abuses https://t.co/QmLtm4kOV2 via @gatewaypundit</t>
  </si>
  <si>
    <t>MORE LIES EXPOSED: Deep State Informant Spied on Trump Campaign Before FBI Officially Began Its Investigation https://t.co/wt1HHhYEqO via @gatewaypundit</t>
  </si>
  <si>
    <t>ANOTHER MUELLER GAFFE: Lawyers Defending Russian Firm Tell Court Named Employees DON'T WORK FOR THEM - Mueller MADE IT UP https://t.co/ZXkTvDs3eN via @gatewaypundit</t>
  </si>
  <si>
    <t>RT @VioletteJane9: Michele Malkin on the beauty, individualism and accomplishment of Melania and the MSM dismissal/disregard of our FLOTUS.…</t>
  </si>
  <si>
    <t>RT @TwitchyTeam: LOL! Rudy Giuliani walked all over CNN's Chris Cuomo and LIBS ARE PISSED! https://t.co/7yNxVRLviU</t>
  </si>
  <si>
    <t>RT @DailyCaller: Jordan Peterson Can’t Be Put In A Political Box, And The Media CAN’T STAND IT https://t.co/XZhbsVDkW2 https://t.co/y7WAIYI…</t>
  </si>
  <si>
    <t>RT @SecPompeo: We support the #Iranian people who are demonstrating against an oppressive government.  3 deaths &amp;amp; internet interruption sho…</t>
  </si>
  <si>
    <t>#Scum https://t.co/njhD802j1d</t>
  </si>
  <si>
    <t>RT @TheRealJohnHCox: I’m proud to have the support of my President. #RepublicansRising #CAGov https://t.co/lWQuHEbmDv</t>
  </si>
  <si>
    <t>RT @TomFitton: .@RealDonaldTrump is the victim of the worst government political abuse scandal in American history. Scheduled to discuss th…</t>
  </si>
  <si>
    <t>RT @JoinTravisAllen: "CALIFORNIANS DESERVE A GREAT GOVERNOR" One who actually VOTED for President @realDonaldTrump - @JoinTravisAllen https…</t>
  </si>
  <si>
    <t>Exclusive: Majority of Jeff Denham's Constituents Oppose DACA Amnesty | Breitbart https://t.co/41EotA3Kav</t>
  </si>
  <si>
    <t>Oops! CNN's Ana Navarro Says Trump is Hitler Because He Called MS13 "Animals" - Then Somebody Found This Old Navarro Tweet.. NAVARRO IS SO IGNORANT. COMPARING ANYONE TO HITLER SHOWS LITTLE BRAIN ACTIVITY. https://t.co/QJozIkRJKZ via @gatewaypundit</t>
  </si>
  <si>
    <t>Unions Blew $1.3 Billion in Union Dues on Liberal Groups From 2010 to 2017 -- INSTEAD OF PAYING FOR PENSIONS! NO MORE TAX BAILOUTS FOR UNIONS LIKE OBAMA DID!!! https://t.co/znOwsRsMWv via @gatewaypundit</t>
  </si>
  <si>
    <t>TOM FITTON: New Emails Reveal John Podesta Helped His Brother Tony Podesta In His Lobbying Business While Working For Obama https://t.co/UjeHVud6F2 via @gatewaypundit</t>
  </si>
  <si>
    <t>BREAKING: Santa Fe High School Killer Wore ANTIFA and Columbine Hammer-and-Sickle Pin. ANOTHER LEFTIST SHOOTER!  https://t.co/nnP2uz4XbH via @gatewaypundit</t>
  </si>
  <si>
    <t>REPORT: Santa Fe High School Coaches Made Fun of Shooter Dimitrios Pagourtzis - Told Him He Smelled (VIDEO) https://t.co/nw8eIGWBO8 via @gatewaypundit</t>
  </si>
  <si>
    <t>WHAT?... Criminal Clapper: 'It's a Good Thing' Obama's FBI Was Spying on Trump's Campaign #ArrestClapper #Traitor https://t.co/HgCIKI0nAa via @gatewaypundit</t>
  </si>
  <si>
    <t>ANOTHER MUELLER GAFFE: Lawyers Defending Russian Firm Tell Court Named Employees DON'T WORK FOR THEM - Mueller MADE IT UP --&amp;gt; #MuellerLies #VoteDemsOUT https://t.co/ZXkTvDs3eN via @gatewaypundit</t>
  </si>
  <si>
    <t>RT @IWillRedPillU: This isn't hard! ARMED SECURITY IN EVERY SCHOOL! #2A #SanteFe
This isn't hard! ARMED POLICE IN EVERY SCHOOL! #2ndAmendme…</t>
  </si>
  <si>
    <t>RT @Conservative_VW: Being Democrat .... https://t.co/pNKSPfSwie</t>
  </si>
  <si>
    <t>Exclusive — Lou Barletta: ‘American People Have Run Out of Patience' with Lawmakers Pushing for Amnesty https://t.co/kp1s2W01zO</t>
  </si>
  <si>
    <t>JORDAN PETERSON --&amp;gt; said that in a free society, free choices lead to hierarchies of competence. He is not looking to “undermine mainstream &amp;amp; liberal efforts to promote equality” – he’s arguing that such efforts to promote equality of outcome ignore equality of rights.</t>
  </si>
  <si>
    <t>New York Times Runs a Comprehensive Hit Piece on Jordan Peterson. It's Dishonest, Malicious Crap. https://t.co/0RQLfVrELS</t>
  </si>
  <si>
    <t>CNN Says 22 School Shootings This Yr = A Lie. None of these events meet the definition of a school shooting: a multiple-murder attempt on a school campus directed at children.  https://t.co/2fRmEkTZxS</t>
  </si>
  <si>
    <t>CNN Says There Have Been 22 School Shootings This Year. That’s A Lie. https://t.co/2fRmEkTZxS</t>
  </si>
  <si>
    <t>Playboy Playmate took young son on fatal leap from NYC building https://t.co/kcCJzdpKZ2 via @nypmetro</t>
  </si>
  <si>
    <t>The capital of AMERICA’S SECOND GILDED AGE is LOS ANGELES --&amp;gt; where homes worth tens of millions of dollars look out over a city in which the Middle Class struggles to afford shelter, &amp;amp; the number of Homeless increases daily!  Ask Streisand &amp;amp; Cher what they're doing about it!</t>
  </si>
  <si>
    <t>Trump to Cut Planned Parenthood Funding, Administration Will Announce Friday -- THOSE WANTING AN ABORTION CAN PAY FOR IT THEMSELVES. It's not the responsibility of taxpayers!  https://t.co/EjMxS690Nq</t>
  </si>
  <si>
    <t>Americans Don’t See More Taxes As Solution to Homelessness as Seattle proposes a head tax! #SocialismDoesNotWork  https://t.co/EEeQzCX4y2</t>
  </si>
  <si>
    <t>OBAMA LEGACY--&amp;gt;will forever be about making healthcare unaffordable, widening the racial divide, cop-killing, unfettered illegal immigration,  below 2% econ growth, doing everything to appease our enemies including giving them boatloads of cash &amp;amp; doubling of our debt in 8 yrs!</t>
  </si>
  <si>
    <t>Americans Don’t See More Taxes As Solution to Homelessness - Rasmussen Reports® https://t.co/EEeQzCX4y2</t>
  </si>
  <si>
    <t>Americans Say Too Many Rely on Government Aid - Rasmussen Reports® https://t.co/cy0xENYuq2</t>
  </si>
  <si>
    <t>"Trump and the Republican Congress have succeeded in undoing Obama’s work to an extent I barely anticipated."  It's amazing what 17 months can do when you have a real leader in the WH! #MAGA</t>
  </si>
  <si>
    <t>The presidency of Donald Trump has been remarkably successful. In 17 months, he has effectively erased Barack Obama’s two-term legacy.  #Winning #MAGA</t>
  </si>
  <si>
    <t>RIVERSIDE COUNTY, CA --&amp;gt; Vote for JAN HARNIK for County Supervisor. The late John Benoit recommended her over Manuel Perez, whose misguided policies released violent criminals back onto our streets that raped, murdered and assaulted innocent ppl &amp;amp; children. #JanHarnik</t>
  </si>
  <si>
    <t>This month marks the 5th anniversary of the revelation that Pres Obama’s IRS targeted Conservative Groups for more than 2 yrs prior to the 2012 presidential election. Congress’s failure to address the problem leaves the U.S. democratic process vulnerable to further abuses.</t>
  </si>
  <si>
    <t>RT @jeepsuzih2: HAS Mueller GIVEN JAMES COMEY IMMUNITY SCARY THOUGHT: Has Robert Mueller Given James Comey Immunity? https://t.co/zkwt7XKLw…</t>
  </si>
  <si>
    <t>CAPITALISM has lifted more than 1 billion people out of poverty in the last 50-60 years.  Someone, please tell the pope.  He never lectures about Venezuela, North Korea, Iran etc.</t>
  </si>
  <si>
    <t>As a Catholic -- this pope is a disgrace.  I don't want to hear about politics from this man who surrounds himself with gilded robes &amp;amp; rings. He knows nothing of the world, only socialism. Why doesn't he help socialist Venezuela? This pope should resign!</t>
  </si>
  <si>
    <t>RT @realDonaldTrump: “Apparently the DOJ put a Spy in the Trump Campaign. This has never been done before and by any means necessary, they…</t>
  </si>
  <si>
    <t>RT @realDonaldTrump: Fake News Media had me calling Immigrants, or Illegal Immigrants, “Animals.” Wrong! They were begrudgingly forced to w…</t>
  </si>
  <si>
    <t>RT @realDonaldTrump: Why isn’t disgraced FBI official Andrew McCabe being investigated for the $700,000 Crooked Hillary Democrats in Virgin…</t>
  </si>
  <si>
    <t>RT @realDonaldTrump: Reports are there was indeed at least one FBI representative implanted, for political purposes, into my campaign for p…</t>
  </si>
  <si>
    <t>Animals don't even do to other animals what MS-13 does to other humans. They stabbed one man over 100 times so that his intestines were exposed &amp;amp; hanign out.  PELOSI &amp;amp; DEMS want to protect these "animals." https://t.co/AI7zoP9JNU</t>
  </si>
  <si>
    <t>OBAMA REGIME was spying on a political candidate.  Why? To ensure a Hillary Clinton victory. Time to expose &amp;amp; indict Obama &amp;amp; his henchman who foisted the biggest political scandal of all time! #PrisonforAllofThem</t>
  </si>
  <si>
    <t>Nancy Pelosi recently handed the Republican Party a huge gift.
She defends the animals aka the deadly MS-13 Gang!
#VoteDemsOUT</t>
  </si>
  <si>
    <t>TRAITOR John Brennan’s ‘Exceptionally Sensitive’ Issue.  https://t.co/1MSa2o1jLT</t>
  </si>
  <si>
    <t>#ArrestBrennan https://t.co/8Kx27w3SC1</t>
  </si>
  <si>
    <t>RT @John_KissMyBot: UNREAL !! Nancy Pelosi (Democrat House Minority Leader) DEFENDS The Brutal Gang Known As MS-13
(They Often Use A Mache…</t>
  </si>
  <si>
    <t>RT @BluEyeViking: .@BluEyeViking @realDonaldTrump @KamVTV @codeofvets @tamaraleighllc @JoshuaMacias @foxandfriends @PeteHegseth
Texas Tea P…</t>
  </si>
  <si>
    <t>WHY isn’t THE LEFT celebrating Gina Haspel, the first female CIA DIrector, the shattering of this glass ceiling -- b/c their platform of women’s progress is all BS!  Left only cheers on leftist women, not all women.  These are liars &amp;amp; charlatans! #VoteDemsOUT</t>
  </si>
  <si>
    <t>RT @realTylerZed: Gina Haspel confirmed as the CIA Director. She is the first woman ever to hold this position &amp;amp; is now one of the most pow…</t>
  </si>
  <si>
    <t>ROD ROSENSTEIN has never been elected to anything!  Time for transparency or be fired!
#VoteDemsOUT</t>
  </si>
  <si>
    <t>RT @w_terrence: People attacking me because I want BLM to help the Black Trump supporter that was attacked  https://t.co/8TCoSH7NTa</t>
  </si>
  <si>
    <t>RT @NRA: #IDontTrustPeopleThat want to ban all guns, repeal #2A, and/or infringe on the right of the people to keep and bear Arms. #NRA #De…</t>
  </si>
  <si>
    <t>RT @SteveKingIA: Holly Cow! Freedom Caucus is linking Amnesty Bill to Farm Bill! Do I have to start an Anti-Amnesty Caucus? @realDonaldTrum…</t>
  </si>
  <si>
    <t>President Trump was right from the beginning! Obama spied on Trump to help Hillary win the election.  #Cheaters #ArrestObama #ArrestBrennan #ArrestComey https://t.co/1EsfbHZhU6</t>
  </si>
  <si>
    <t>With the blessing of the White House, OBAMA ADMIN used intelligence agencies to target and spy on the Trump campaign. #ArrestObama #ArrestBrennan</t>
  </si>
  <si>
    <t>WITH OBAMA ADMIN spying on the Trump campaign during 2016 election, have Democrats learned nothing from Watergate???
#VoteDemsOUT</t>
  </si>
  <si>
    <t>RT @UnfilteredSE: "To be clear - the damage caused by the president's 'animals' remark was not to him, it was to the media." Watch @secupp,…</t>
  </si>
  <si>
    <t>11 Animalistic Crimes Committed Against Americans by MS-13 Gang. #Animals https://t.co/mA6tHsLD8G</t>
  </si>
  <si>
    <t>DEMOCRATS embracing full-blown extremism, think MS-13 gang members have a right to be in the U.S.
#VoteDemsOUT</t>
  </si>
  <si>
    <t>Left defends MS-13 gang.
#VoteDemsOUT</t>
  </si>
  <si>
    <t>Nobody expects much from Anna Navaro of @cnn.
MS-13 gang should be judged on its actions.  They're animals, plain and simple.</t>
  </si>
  <si>
    <t>UNIVISION news anchor Acevedo thinks Manson is an animal, but MS-13 gang members are not animal.  That says it all! Notice the Left is incapable of critical thinking. 
#VoteDemsOUT</t>
  </si>
  <si>
    <t>NOBODY is against "Legal Immigration."  
The sicko LEFT distorts the argument, wrongly arguing that if you are against Illegal Immigration then you are against all immigration.  That's a fallacy that the Lying Left keeps pushing.  Let's expose it!
#VoteDemsOUT</t>
  </si>
  <si>
    <t>#Animal! https://t.co/7IfnRCXxzT</t>
  </si>
  <si>
    <t>MS-13 gang member stabbed a man over 100 times.  
Is this gang member a person who is deserving of dignity?
Pelosi loves MS-13 gang members and wants to protect them.
#VoteDemsOUT</t>
  </si>
  <si>
    <t>RT @netwrkguy: @charlescwcooke @SenSchumer  https://t.co/5njZDZznP8</t>
  </si>
  <si>
    <t>#MAGA https://t.co/9p3nzTsQhz</t>
  </si>
  <si>
    <t>RT @kwilli1046: 94% of Americans Don't Trust the Media.  Retweet if you agree. https://t.co/StKJuxOR0u</t>
  </si>
  <si>
    <t>MS-13 gang members who traffic in guns, drugs and young girls, these people are animals. Nancy Pelosi defends this gang,  MS-13 have turned El Salvador into the most dangerous country in the world!</t>
  </si>
  <si>
    <t>Jeff Sessions ends Obama-era ‘de facto’ court amnesty for illegal immigrants - https://t.co/OfzHpc7olB - @washtimes</t>
  </si>
  <si>
    <t>Enough! White House says US choking on 10.7 million legal immigrants in addition to the 11+ million illegals.  https://t.co/GEiwic1TPC</t>
  </si>
  <si>
    <t>Arizona Border Ranchers Live in Fear as Illegal Immigration Crisis Worsens https://t.co/QsXJT0Vdp1 via @JudicialWatch</t>
  </si>
  <si>
    <t>#PutTraitorsInPrison --&amp;gt; Brennan, Clapper, Comey, Clinton, Rice, Lerner, McCabe, Strzok, Yates, Page etc.
#VoteDemsOUT https://t.co/c1CipDBKNd</t>
  </si>
  <si>
    <t>.@ElizabethGuern2 You exhaust me. https://t.co/ON8aS4vesC</t>
  </si>
  <si>
    <t>RT @p25735: @ElizabethGuern2 @jaketapper @TPUSA @RealCandaceO When did advocating for free thinking become a hateful agenda?</t>
  </si>
  <si>
    <t>RT @DiamondandSilk: Congratulations to Gina Haspel who was confirmed as CIA Director.  She's the first woman to head the CIA.   What a grea…</t>
  </si>
  <si>
    <t>RT @paulsperry_: Concord Management is arguing that Mueller and his army of attorneys charged Concord Management (and other Russian entitie…</t>
  </si>
  <si>
    <t>RT @paulsperry_: Defense attorneys also asserted that with Concord Catering, Mueller indicted a company that did not formally exist at the…</t>
  </si>
  <si>
    <t>RT @paulsperry_: But Comey's biggest lie of all was assuring Trump-- repeatedly--that he was not under investigation, when in fact he WAS u…</t>
  </si>
  <si>
    <t>RT @paulsperry_: Another onerous Obama regulation bites the dust -- HUD's Ben Carson icing Affirmatively Furthering Fair Housing -- prompti…</t>
  </si>
  <si>
    <t>RT @paulsperry_: BREAKING: NSA Director Rogers Puts Lie To Brennan's Dossier Story
https://t.co/yKUZ4GKkdL</t>
  </si>
  <si>
    <t>RT @FredFleitz: Great piece by @paulsperry_ on @JohnBrennan and the politicized Jan 2017 intel assessment on Russian meddling in the 2016 e…</t>
  </si>
  <si>
    <t>BRENNAN should be going to prison. https://t.co/EkFPYzvINp</t>
  </si>
  <si>
    <t>RT @paulsperry_: BREAKING: Comey lied to his memoir re Gen. Flynn:
(p. 253) "On Jan 24 (2017), I dispatched 2 agents to White House to int…</t>
  </si>
  <si>
    <t>RT @paulsperry_: Joe diGenova and Laura Ingraham discuss my RealClearInvestigations story -- fast-forward to 6:25 ... "In the long run, Mr.…</t>
  </si>
  <si>
    <t>RT @paulsperry_: BREAKING: IG Horowitz has found "reasonable grounds" for believing there has been a violation of federal criminal law in t…</t>
  </si>
  <si>
    <t>RT @paulsperry_: BREAKING: Comey and Yates had at least 5 members of Trump's team under secret federal surveillance during the 2016 campaig…</t>
  </si>
  <si>
    <t>RT @paulsperry_: BREAKING: Comey/Yates targeted Gen. Flynn in C.I. investigation a yr BEFORE he communicated w Russian ambassador in Dec 20…</t>
  </si>
  <si>
    <t>RT @paulsperry_: As the IG prepares to release his next report, Sally Yates is suddenly animated &amp;amp; agitated. She is tweet-storming against…</t>
  </si>
  <si>
    <t>RT @paulsperry_: Sally Yates keeps reappearing in the political espionage scandal. Now we know her aide Matthew Axelrod called FBI HQ to de…</t>
  </si>
  <si>
    <t>RT @paulsperry_: IG's independence key: According to the IG statute, IG Horowitz is required to report any criminal activity to AG (Session…</t>
  </si>
  <si>
    <t>RT @paulsperry_: Though the media portray Yates as a heroic whistleblower, who was a “career prosecutor” before Obama appointed her, she wa…</t>
  </si>
  <si>
    <t>RT @paulsperry_: The media elite are now forever part of the Deep State. They are complicit in the cover-up of political espionage by the i…</t>
  </si>
  <si>
    <t>RT @paulsperry_: #DeepStatePress https://t.co/e1mMKkf4gU</t>
  </si>
  <si>
    <t>RT @StephenMilIer: Democrats slandered law-abiding citizens as 'deplorables', but how dare Trump calls cold blooded murderers by their well…</t>
  </si>
  <si>
    <t>RT @FansOfPotus: Trump calls MS-13 gang members animals
Liberals call all immigrants MS-13 gang members
You tell me who is the racist</t>
  </si>
  <si>
    <t>RT @repoprimo: Hey @HillaryClinton isn’t there a place that wants you to speak?  Somewhere out of country?  Pack your stuff bcuz either way…</t>
  </si>
  <si>
    <t>Oh my god!  #InsanePelosi should be locked up for her delirious ramblings.  She is hurting her own party and the American people. https://t.co/om2uvQRPLv</t>
  </si>
  <si>
    <t>Tokyo Rose --&amp;gt; FBI threatened prosecutors and witnesses if they didn't lie to convict Tokyo Rose for treason.  She was innocent.  It wasn't till 10 yrs after her trial, witnesses spoke out about the FBI &amp;amp; it's tactics.</t>
  </si>
  <si>
    <t>Two Reasons Why Small Businesses Are Booming - Palm Beach Research Group https://t.co/qdblUdfSy0</t>
  </si>
  <si>
    <t>The anniversary of Karl Marx on May 5 came &amp;amp; went. This marginal thinker who became a curious voice of the disenchanted has haunted the globe with puerile economic analysis that a class of people has embraced as its own.   https://t.co/ayrEk3PHdk</t>
  </si>
  <si>
    <t>Krugman on Drugs https://t.co/MZV50Zrd4B</t>
  </si>
  <si>
    <t>KRUGMAN ON PRESCRIPTION DRUGS --&amp;gt; Wrong Again! There's no rational way to escape the reality that the federal govt does not negotiate prices. It dictates prices by abusing its large market position. Krugman’s preferred policy wd lead to shortages of badly needed medications.</t>
  </si>
  <si>
    <t>If 40,000 Hamas rioters were charging your border, what would you do? https://t.co/imriTe4q9G</t>
  </si>
  <si>
    <t>The Things Going On at the Gaza Border https://t.co/imriTe4q9G</t>
  </si>
  <si>
    <t>Even a progressive Democrats joke about the “Marxists” in the California Assembly, given their never-ending push to create government bureaucracies and deep hostility to the private sector. #VoteDemsOUT</t>
  </si>
  <si>
    <t>Why Not Celebrate the Gulags, Too? California gone nuts! #VoteDemsOUT https://t.co/2YKeH62YQB</t>
  </si>
  <si>
    <t>Democrat Tsunami Looking More Like Ripple.  #VoteDemsOUT https://t.co/Rmv13qviZa</t>
  </si>
  <si>
    <t>CONSERVATIVES now have several outlets for conservative news:
On cable --&amp;gt; Fox, OAN, Blaze TV, NewsmaxTV
Online --&amp;gt; Breitbart, Townhall, Drudge, Gateway Pundit, RedState, CRTV &amp;amp; others.</t>
  </si>
  <si>
    <t>Crazy climate activists forced Seattle City Council to dump Wells Fargo for lending to the Dakota Access Pipeline developers --&amp;gt; 2 yrs later, no bank will take Seattle's pension funds, so the city was forced to ask Wells Fargo to take them back!  HA!</t>
  </si>
  <si>
    <t>CDC report --&amp;gt;  More Guns = Less Crime.</t>
  </si>
  <si>
    <t>SHAME ON MEDIA who fail to report gun stories where a gun owner or police officer used a gun to save lives.  Where are these stories @cnn @msnbc @abc @NBCNews @CBSNews ???</t>
  </si>
  <si>
    <t>LEFTIST MEDIA is interested in gun stories, just not stories where guns save lives as happened at Dixon High School in Illinois. #GunsSaveLives #2A #VoteDemsOUT</t>
  </si>
  <si>
    <t>'Heroic' resource officer hailed for stopping armed teen at high school, saving lives - ABC News - https://t.co/ny3Ck3C1ZT via @ABC</t>
  </si>
  <si>
    <t>With 5,000 Children in Foster Care, Why Would the City of Philadelphia Shut Out Catholic Social Services? https://t.co/7VsctPX7uf</t>
  </si>
  <si>
    <t>Spinning a Crossfire Hurricane: The &amp;lt;i&amp;gt;Times&amp;lt;/i&amp;gt; on the FBI’s Trump Investigation https://t.co/KEdZEHMmrB</t>
  </si>
  <si>
    <t>Code Name Crossfire Hurricane: The Secret Origins of the Trump Investigation https://t.co/puEr7EhMKK</t>
  </si>
  <si>
    <t>@SuzanneLepage1 @bobv48 Gorgeous.</t>
  </si>
  <si>
    <t>GOOD ECONOMIC NEWS is bad for Democrats.  They need victims, chaos, tragedy to drum up voters.  Americans just want Trump to continue on his #MAGA agenda! #VoteDemsOUT</t>
  </si>
  <si>
    <t>LEFT has been told by many sources from inside media &amp;amp; DNC that talking about Russia &amp;amp; impeachment and stripper stories will not win Democrats any elections. #Losers #VoteDemsOUT</t>
  </si>
  <si>
    <t>#RedWave is coming!  
#VoteDemsOUT</t>
  </si>
  <si>
    <t>RT @Fla_Ret: Pelosi is severely mentally ill.  But she will guarantee a red wave win for us, so let the bitch rant and rave https://t.co/Dd…</t>
  </si>
  <si>
    <t>NANCY? Pelosi gibberish, bizarre laughing; stares off during brain freeze --&amp;gt; PELOSI IS GOING SENILE IN FRONT OF OUR EYES!  https://t.co/9K3KryNAFv via @american_mirror</t>
  </si>
  <si>
    <t>RT @TresDeplorable: No.They will Not get Hugs at the border. Liberals can keep siding by terrorists.MSM can keep lying . ISRAEL is brave an…</t>
  </si>
  <si>
    <t>RT @Stips620: Trump's Press Secretary Is One Of The Most Admired Women In America https://t.co/6HXCr1r0Io via @po_st</t>
  </si>
  <si>
    <t>RT @HananyaNaftali: Prime Minister Netanyahu: "Ready for a real shocker"? #Hamas #Gaza https://t.co/7TDTXlv72e</t>
  </si>
  <si>
    <t>IF HILLARY WERE PRESIDENT...
Would we have had record low unemployment &amp;amp; food stamp usage?
Would we have had a 4% growing economy?
Would we have had tax cuts so people can keep more of their own money? 
THE ANSWER TO ALL THESE QUESTIONS IS:  "HELL NO!"</t>
  </si>
  <si>
    <t>Clinton had deleted 30,000 emails that were housed on her private server even though she was being investigated for mishandling classified information. This could be viewed as destruction of evidence. She claimed the emails had to do with yoga.</t>
  </si>
  <si>
    <t>SURVEILLANCE OF TRUMP CAMPAIGN didn’t just include wiretaps, but also national security letters and at least one government informant to spy on the campaign. https://t.co/afAadYrPNP</t>
  </si>
  <si>
    <t>It is easy to understand how learning that the FBI was spying on one’s presidential campaign (Trump) might reinforce claims of election-rigging.
#VoteDemsOUT</t>
  </si>
  <si>
    <t>The NYT story says the FBI was worried that if it came out they were spying on Trump campaign it would “only reinforce his claims that the election was being rigged against him.”</t>
  </si>
  <si>
    <t>FBI Officials Admit They Spied On Trump Campaign --&amp;gt; #VoteDemsOUT
https://t.co/afAadYrPNP</t>
  </si>
  <si>
    <t>The New York Times published an article yesterday confirming the United States’ intelligence apparatus was used to spy on Donald Trump’s presidential campaign in 2016.</t>
  </si>
  <si>
    <t>10 Takeaways From NYT's Defense of FBI Spying on Trump Campaign.  #NYTTraitors https://t.co/CUa5aVJK2q</t>
  </si>
  <si>
    <t>Masters of the Universe: Leaked Video Shows Google's Vision of 'Total Data Collection' | Breitbart https://t.co/3OgpKupp82</t>
  </si>
  <si>
    <t>CBS shares plunge after judge says Redstone can challenge voting control plan https://t.co/PbXE5Wm8Xn</t>
  </si>
  <si>
    <t>Trump: Report that Obama FBI spied on campaign could be 'bigger than Watergate' https://t.co/VKildXIjkc</t>
  </si>
  <si>
    <t>"Facebook is currently censoring conservative content. We hope they will reverse their policy and honor all voices in the near future." -- Gateway Pundit  #VoteDemsOUT</t>
  </si>
  <si>
    <t>IT'S A SET-UP: Mueller's Team Tells Giuliani They Cannot Indict a Sitting President https://t.co/VIW9iWWzqf via @gatewaypundit</t>
  </si>
  <si>
    <t>DIRTY COP STEPS FORWARD - Admits Leaking Michael Cohen's Bank Records https://t.co/rqZRvCAAMP via @gatewaypundit</t>
  </si>
  <si>
    <t>Lawyers Defending Russian Firm Blast Mueller's Team For Using Russian Social Media Accounts THAT THEY NEVER TRANSLATED TO ENGLISH https://t.co/oIcTQ0xGMG via @gatewaypundit</t>
  </si>
  <si>
    <t>Joe DiGenova on Today's Deep State Admission of Spying on Trump: THIS IS MOST UNBELIEVABLE SCANDAL IN US HISTORY (Video) https://t.co/mgP74hxAQs via @gatewaypundit</t>
  </si>
  <si>
    <t>EXCLUSIVE=&amp;gt; Democrat Tim Canova on Wasserman Schultz: Corrupt Dems Cling to Office to Avoid Jail https://t.co/b3llC4VB4p via @gatewaypundit</t>
  </si>
  <si>
    <t>The success of every immigrant coming to the United States is that they learn the English language. --Pres. Theodore Roosevelt</t>
  </si>
  <si>
    <t>RT @SacBlackRifle: After long deliberations Sacramento Black Rifle in good faith can no longer support YETI we do wish the best for YETI bu…</t>
  </si>
  <si>
    <t>RT @SacBlackRifle: Today we will be interviewed from the NRA - National Rifle Association of America own  Dana Loesch about the Costco Cost…</t>
  </si>
  <si>
    <t>Report: Costco Rejects $500 Donation for Children&amp;amp;#8217;s Charity Because It Came from Gun Seller. COSTCO SHOULD STOP PLAYING POLITICS or people will boycott the retailer! https://t.co/Y1zBzjNVv9</t>
  </si>
  <si>
    <t>Israel Sends Humanitarian Aid to Gaza Strip, Hamas Turns It Away https://t.co/g9Ao8soitn</t>
  </si>
  <si>
    <t>Graduate Says She Received Death Threats After Posting Pro-Gun Graduation Pics. Those who threatened her shd be arrested. #2A https://t.co/owhOyKhCbo</t>
  </si>
  <si>
    <t>RT @jeffreycook1965: Chicago Neighbors Say They Were Lied To, File Federal Suit To Stop Obama Library https://t.co/Y8L18PRcJR</t>
  </si>
  <si>
    <t>RT @johnrobertsFox: Rudy Giuliani on the Mueller probe:  "The case is essentially over.  They're just in denial."</t>
  </si>
  <si>
    <t>RT @RealJamesWoods: Just you. https://t.co/zAMv24pIjG</t>
  </si>
  <si>
    <t>THE INTERNET worked better before NET NEUTRALITY.  Obama's push for net neutrality has stifled much needed innovation and investment.  The Internet shd have minimal oversight.</t>
  </si>
  <si>
    <t>RT @mcampbell196: @cnnbrk I use to watch CNN everyday. It’s sad the way they have stopped being an awesome news outlet to becoming a 2nd ra…</t>
  </si>
  <si>
    <t>RT @1Dittlinger: https://t.co/Ux7LDRNzkf</t>
  </si>
  <si>
    <t>RT @FAIRImmigration: 80 Percent Of Asylum Cases At SW Border Don’t Meet Criteria To Enter US, Homeland Sec. Says https://t.co/fGcBk26eZq vi…</t>
  </si>
  <si>
    <t>Don Lemon seems to be the racist.  @donlemon doesn't remember when Trump fought Palm Beach City Hall to allow blacks and hispanics access to his golf club  at Mar a Lago. Trump stood up for the rights of blacks and hispanics! https://t.co/GE4QGA7NyI</t>
  </si>
  <si>
    <t>Gateway Pundit - We report the truth - And leave the Russia-Collusion fairy tale to the Conspiracy media.
https://t.co/p6X4WDgh26</t>
  </si>
  <si>
    <t>The CORRUPT MUELLER PROBE is costing taxpayers millions.  Time to dismantle this ridiculous clown show of Comey, Brennan, Clapper &amp;amp; Mueller.  #VoteDemsOUT</t>
  </si>
  <si>
    <t>GOVT'S BOGUS RESEARCH have led to health guidelines (eat more grains) that are making Americans fatter and increasingly diabetic. GOVT made a big mistake with its dietary guidelines! Thank goodness I went gluten free 3 yrs ago.</t>
  </si>
  <si>
    <t>Hey @SenSanders  when will you return all the money you took from taxpayers for doing nothing for the last 3 decades? #VoteDemsOUT https://t.co/Bqv0ntKWwY</t>
  </si>
  <si>
    <t>@30Annabelle @JackPosobiec I am against the Left, Hamas, MS-13, North Korea, and Iran because they are against America and this president! #MAGA</t>
  </si>
  <si>
    <t>RT @30Annabelle: @JackPosobiec Expected from traitors</t>
  </si>
  <si>
    <t>RT @Dianestraley: Is 'shadow diplomat' John Kerry above the law? He must think so... https://t.co/LAn6vC0Iea</t>
  </si>
  <si>
    <t>OBAMA was a scaredy-cat president.  He was afraid to fix the economy. He was afraid to deal with China. He was afraid to tackle poverty, welfare and immigration.  He was too lazy to deal with the hard job of leadership, and getting things done.  Obama was a nobody.</t>
  </si>
  <si>
    <t>The argument by the left, of toxic masculinity, is a non-sequiter. It's a braindead argument by today's female Democrats and feminists.</t>
  </si>
  <si>
    <t>Democrat Kristen Gillibrand blames men for the 2008 Lehman Bros collapse.  That's a sexist, misogynist, stereotypical, and hate-filled assessment.  It's why we all need to get to the polls to #VoteDemsOUT.</t>
  </si>
  <si>
    <t>RT @RodStryker: Give a man a fish, &amp;amp; he eats for a day.
Give a man a welfare check, a free Obamaphone, food stamps, section 8 housing, a 1…</t>
  </si>
  <si>
    <t>RT @IngrahamAngle: Tune in right now for my exclusive interview with Rudy Giuliani! He has a message for Mueller and new details about his…</t>
  </si>
  <si>
    <t>RT @JoinTravisAllen: THANK YOU PRESIDENT TRUMP for standing with the CITIZENS of CA against the lawlessness of @JerryBrownGov and the CA De…</t>
  </si>
  <si>
    <t>RT @RealJack: Rudy Giuliani shredded the Mueller investigation today:
"The case is essentially over.  They're just in denial."
BOOM!</t>
  </si>
  <si>
    <t>RT @skeeduu: @MZHemingway @DavidAFrench So they set up the meeting promising dirt on Hillary. But could not produce said dirt. Veselnitskay…</t>
  </si>
  <si>
    <t>OBAMA was a passive president as he let China steal our technology and intellectual property; and turned a blind eye to Russia's interference in past and present elections. Obama was a total failure! #VoteDemsOUT</t>
  </si>
  <si>
    <t>If, as reports suggest that John Brennan converted to Islam, the Koran says that Muslims can lie to non-Muslims --&amp;gt; may explain the multiple lies Brennan spoke when questioned by Congressional Intel Committee &amp;amp; why it doesn't bother him to lie so easily &amp;amp; frequently.</t>
  </si>
  <si>
    <t>JOHN BRENNAN IS THE HOAXMASTER GENERAL &amp;amp; is a Muslim.  https://t.co/JvqWvOSKha</t>
  </si>
  <si>
    <t>JOHN BRENNAN told multiple lies about the Steele dossier to the Congressional intel committee.  Brennan has a history of lying about his aformer gency spying on Americans. Clapper, Comey &amp;amp; Brennan - the 3 lying muskateers! #PrisonTime</t>
  </si>
  <si>
    <t>RT @ThomasWictor: (1) Hamas is getting it from all sides.
https://t.co/5pN16Jedo2</t>
  </si>
  <si>
    <t>Correct! https://t.co/Bds3lmJs3d</t>
  </si>
  <si>
    <t>Yep!  MS-13 gang members are animals. https://t.co/lK6nPaNyMg</t>
  </si>
  <si>
    <t>Coward! https://t.co/qqtpoPQdS1</t>
  </si>
  <si>
    <t>TRUMP is correct!  Mexico is doing nothing to help the U.S. with respect to illegals crossing our borders, illegal drugs pouring in, MS-13 gang members committing crimes in the U.S.  I WILL NEVER EVER GO TO THAT BARBARIC COUNTRY EVER AGAIN! #BoycottMexico</t>
  </si>
  <si>
    <t>RT @GayRepublicSwag: I have a friend who voted for Hillary and literally cried when Trump won. Now she LOVES Trump and the other day voted…</t>
  </si>
  <si>
    <t>State Dept. Scrubs Hillary Clinton's Name From Fellowship | https://t.co/PKZvp8X8Ca https://t.co/VyyR4PmRmC via @Newsmax</t>
  </si>
  <si>
    <t>Let's all get together to #VoteDemsOUT.  They want to keep blacks, hispanics and women stuck in the past by telling them what to think and how to think. https://t.co/URUVcAYLni</t>
  </si>
  <si>
    <t>RT @vmwilliamson1: @kwilli1046 @SenJohnMcCain - Songbird of North Vietnam, buddy of ISIS leaders, Obama’s puppet and responsible for 134 de…</t>
  </si>
  <si>
    <t>Right on, @RealCandaceO !  Kick butt! https://t.co/6FCAUQ89cM</t>
  </si>
  <si>
    <t>RT @BlairSangeetC: Retweeted Vice President Mike Pence (@VP):
Another example of the brave work performed by law enforcement each and ever…</t>
  </si>
  <si>
    <t>.@JerryBrownGov @SenKamalaHarris @GavinNewsom @CoryBooker creating a  3rd world California where ILLEGALS take priority over American citizens.  Shame on these anti-Americans for failing to secure our borders! #DeportIllegals</t>
  </si>
  <si>
    <t>.@GavinNewsom YOU ARE SUCH A LIAR --&amp;gt; MS-13 gang members who enter the U.S. illegally and commit crimes are ANIMALS and should be deported immediately! Stop denigrating legal immigrants who waited in line to become Americans by following the law. #DeportIllegals https://t.co/H0E8bS8tEi</t>
  </si>
  <si>
    <t>France’s two richest people -- luxury titans Bernard Arnault and Francois Pinault -- added $22.3 billion to their fortunes this year.</t>
  </si>
  <si>
    <t>"Wylie added that Cambridge Analytica "used Russian researchers to gather its data, (and) openly shared information on 'rumor campaigns' and 'attitudinal inoculation'" with companies and executives linked to the Russian intelligence agency FSB."</t>
  </si>
  <si>
    <t>"Wylie told the panel that Russian-American researcher Aleksandr Kogan, who created an appln to harvest Facebook user profile data, was working at the same time on Russian-funded projects, including "behavioral research."</t>
  </si>
  <si>
    <t>Millennials are turned off sex, study suggests, with one in eight still virgins at 26.
https://t.co/Pg6ei4gcgy</t>
  </si>
  <si>
    <t>Break-up of California moves a step closer as billionaire gets enough signatures to trigger vote!  I LOVE THE IDEA OF BREAKING UP CALIFORNIA INTO 3 STATES!  End Sacramento Dictatorship. https://t.co/xduXF4GXq1 via @telegraphnews</t>
  </si>
  <si>
    <t>The mainstream media ALWAYS misrepresent the truth.  They lie, they push propaganda.  These are evil people who despise free speech and the First Amendment. https://t.co/pCeQuTEXRN</t>
  </si>
  <si>
    <t>The LEFT seeks to control those they disagree with.  That's also known as communism, authoritarianism, totalitarianism.  These are very evil people who are continuously violating your constitutional rights.  Maybe a lawsuit is in order? https://t.co/kHC7Q9j3Wl</t>
  </si>
  <si>
    <t>RT @maryanne_macrae: @Twitter/@TwitterSupport are you censoring conservative voices again or was this genuinely a hacker and are you about…</t>
  </si>
  <si>
    <t>RT @bigleaguepol: BREAKING – Ashton Whitty’s Twitter Account Hacked And Her Followers Deleted https://t.co/rp4aZEhLyB</t>
  </si>
  <si>
    <t>What they believe is irrelevant.  Facts are facts.  If liberals choose to be ignorant, that's their choice.  It's why liberal minds are so easily manipulated.  They are incapable of CRITICAL THINKING! https://t.co/c6e87xZTPJ</t>
  </si>
  <si>
    <t>COMEY should be in prison for what he has done, condoned by DOJ and Obama, all to protect Hillary Clinton.  I say throw them all in jail for meddling in a presidential election &amp;amp; throw away the key! #DrainTheSwamp https://t.co/3HbcnssBhO</t>
  </si>
  <si>
    <t>SOUTHERN CALIFORNIA ELECTION FORUM:
Thursday, 5/17/18
Group: Beach Cities Republicans
Location: Sizzler (Torrance)
2880 Sepulveda Blvd.
Torrance, CA 90505
Time: 7:00 pm</t>
  </si>
  <si>
    <t>Top EU official Tusk tells-off Trump over Iran nuclear deal.  TELL THE UN-ELECTED EU OFFICIAL TO GO POUND SAND!  https://t.co/w6GlSp9wgb</t>
  </si>
  <si>
    <t>If BLM'ers and SJW'ers don't like living in Capitalist America, why don't they move to another country? #MAGA</t>
  </si>
  <si>
    <t>Precisely. https://t.co/pvLdKTpHHg</t>
  </si>
  <si>
    <t>RT @PrisonPlanet: The Broward Coward is receiving an $8,702-a-month pension. The mind boggles.
https://t.co/izswdLGUI4</t>
  </si>
  <si>
    <t>RT @ashtonbirdie: Twitter managed to delete my 30,000 followers. At first I thought it was a glitch, but seeing that it’s only gotten to 3,…</t>
  </si>
  <si>
    <t>RT @PrisonPlanet: Here's the video YouTube censored for being "offensive".
Apparently, it's OK for them to show people being massacred (al…</t>
  </si>
  <si>
    <t>TELL @youtube @jack @twitter to stop censoring conservative content!  They are showing their totalitarian tendencies to control FREE SPEECH, in violation of the U.S. Constitution!</t>
  </si>
  <si>
    <t>'Draw Mohammed' Winner Bosch Fawstin Suspended on Twitter --&amp;gt; @JACK @TWITTER STOP THE CENSORSHIP?? WHERE'S FREE SPEECH GONE??? https://t.co/Ey4t7CZvwW</t>
  </si>
  <si>
    <t>Low Voter Turnout May Help California Republicans in June -CALIFORNIA REPUBLICANS ARE MOTIVATED!  https://t.co/HnpX0GVNkC</t>
  </si>
  <si>
    <t>YouTube Restricts Paul Joseph Watson Video on 'This Is America' --&amp;gt;@YOUTUBE NEEDS TO STOP CENSORING CONSERVATIVE CONTENT! 
  https://t.co/bHGCkY7Ecj</t>
  </si>
  <si>
    <t>Deputy Who REFUSED to Confront Parkland Shooter is now Collecting $8,700 Monthly Pension!  IS THIS RIGHT?   https://t.co/i49Ck8P4bY</t>
  </si>
  <si>
    <t>Dennis Prager Says the Fight for Free Speech Online Is 'the Big Battle' | Breitbart https://t.co/zzyThqonO0</t>
  </si>
  <si>
    <t>Democratic Control: Senate Passes Resolution to Restore Net Neutrality --&amp;gt; 
 TRUMP NEEDS TO VETO! https://t.co/zwVa06avMN</t>
  </si>
  <si>
    <t>James Comey Dodges Senate Russia Hearing as Contradictions Mount.  CUZ COMEY IS A LIAR &amp;amp; A TRAITOR, JUST LIKE LOIS LERNER!  https://t.co/anTbh2ZUrH</t>
  </si>
  <si>
    <t>Turkey urges Islamic world to unite against Israel, calls summit --AND WE SHOULD TELL ERDOGAN TO GO POUND SAND! #Israel</t>
  </si>
  <si>
    <t>Leader of opposition research firm behind infamous anti-Trump 'dossier' told Congress last year the FBI collected intelligence from inside the president's campaign before the 2016 election.
The agency at the time was run by James Comey. #ArrestComey 
https://t.co/EThQndLcq2</t>
  </si>
  <si>
    <t>RT @JoinTravisAllen: ****BREAKING**** New Bay Area Poll: @JoinTravisAllen in 2nd and only candidate other than @GavinNewsom to break double…</t>
  </si>
  <si>
    <t>'Dirty dossier' firm boss told Senate the FBI had a mole in Trumpworld --&amp;gt;&amp;gt; COMEY BELONGS IN PRISON!  #Traitor https://t.co/7T6LtxTJlJ</t>
  </si>
  <si>
    <t>Special counsel Robert Mueller's team has informed President Donald Trump's attorneys that they have concluded that they cannot indict a sitting president, according to the President's lawyer.</t>
  </si>
  <si>
    <t>Giuliani: Mueller's team told Trump's lawyers they can't indict a president @CNNPolitics https://t.co/tBUM5GMrQ9</t>
  </si>
  <si>
    <t>IN ILLINOIS --&amp;gt; would-be school shooter — a former student at DIXON HIGH SCHOOL — was stopped in his tracks by an ARMED school resource officer, who shot the perpetrator in the shoulder &amp;amp; likely saved countless lives. #NRA #2A #VoteDemsOUT</t>
  </si>
  <si>
    <t>Impeachment, immigration: Two topics to help the GOP hold the House! Time to #VoteDemsOUT  https://t.co/UjC47YMxeC</t>
  </si>
  <si>
    <t>RT @micman907: Impeachment, immigration: Two topics to help the GOP hold the House https://t.co/ZkQmx4x0Sf</t>
  </si>
  <si>
    <t>Charitable Trump. https://t.co/FhYmbom25u</t>
  </si>
  <si>
    <t>LEADING Causes of Death in US in 2016 (don't let the Left fool you). https://t.co/5Ut8JMjs1x</t>
  </si>
  <si>
    <t>RT @deanbc1: @PatHuntJr I've seen a lot of content on Twitter.  But this is the hardest hitting wake up call for voters under the age of 30…</t>
  </si>
  <si>
    <t>FAR LEFT are the new Nazis! They do everything Hitler's brownshirts did:
1) Hitler had "brown-shirts" just like "antifa" that went around beating up people with opposing views.
2) Hitler had rallies to drum up support to take away people's rights.</t>
  </si>
  <si>
    <t>HOW CAN ROSENSTEIN sign off on a FISA WARRANT that was based on fake intel on Trump, hire Mueller &amp;amp; prevent Congress from access to DOJ documents?  He shd not be a lawyer, or the Deputy of the FBI, b/c he clearly cannot recognize conflicts of interest! #FireRosenstein</t>
  </si>
  <si>
    <t>To eliminate or neutralize the DEEP STATE --&amp;gt; get rid of career bureaucrats at DOJ, FBI and other federal agencies. They are entrenched &amp;amp; think they are above the law.  They should be let go and their positions eliminated. NO ONE IS ABOVE THE LAW. #VoteDemsOUT</t>
  </si>
  <si>
    <t>AUDIO: Suspected Obama Spy in Trump Campaign Held Interview with BBC Radio 4 on May 17, 2017 -- The Launch of Mueller Special Counsel https://t.co/VQTsogVX3X via @gatewaypundit</t>
  </si>
  <si>
    <t>Is It OK to Question Hamas-Supporting Mother Who Brought 8-Month-Old Baby to Rally to Storm Israeli Border? These are TERRORISTS! https://t.co/BQeSVzpjep via @gatewaypundit</t>
  </si>
  <si>
    <t>These Senators Took Money from Iran Lobby Before Vote on Obama's Nuke Deal -- Iran Threatens to Out Bribed Officials https://t.co/CU4l3EaCfx via @gatewaypundit</t>
  </si>
  <si>
    <t>On One Year Anniversary: A List of 12 of the Most Egregious Crimes, Conflicts and Unconstitutional Acts Committed by Mueller Witch Hunt --&amp;gt; #VoteDemsOUT  https://t.co/hljzvqVpM3 via @gatewaypundit</t>
  </si>
  <si>
    <t>Thank You POTUS Trump! More Americans Today Positive About Direction of Country Than at Anytime During Obama's 8 Years!  #VoteDemsOUT  https://t.co/mnxV1LWCIK via @gatewaypundit</t>
  </si>
  <si>
    <t>Senate Releases Transcripts of Donald Trump Jr.'s Trump Tower Meeting -- Which Show He Was Telling the Truth https://t.co/uNomvofbYI via @gatewaypundit</t>
  </si>
  <si>
    <t>Michael Avenatti Files: Porn Star Attorney Avenatti Suspected of Defrauding Million Dollar Newport Beach Property Owner https://t.co/4lotMRN9lp via @gatewaypundit</t>
  </si>
  <si>
    <t>COMMON CORE a complete failure in California --&amp;gt; Left's plan to dumb down our children! #VoteDemsOUT https://t.co/N81APzY8wK</t>
  </si>
  <si>
    <t>California Kids' Math Achievement Took A Nosedive After COMMON CORE!  It's a failure &amp;amp; shd be abolished! #VoteDemsOUT https://t.co/x1yeGiRbbf</t>
  </si>
  <si>
    <t>Report coming out of Illinois --&amp;gt; a would-be school shooter — a former student at Dixon HS — was stopped in his tracks by an ARMED school resource officer, who shot the perpetrator in the shoulder &amp;amp; likely saved countless lives. #NRA #2A #VoteDemsOUT</t>
  </si>
  <si>
    <t>Take Note Broward County Sheriff's Ofc: This Is How It's Done https://t.co/6iZ9gQBQa0</t>
  </si>
  <si>
    <t>The Media-Left’s Warped, Hypocritical, Political Definition of ‘Monopoly’ --&amp;gt; #VoteDemsOUT https://t.co/O43dNmiWLh’s-warped-hypocritical-political-definition-‘monopoly’/</t>
  </si>
  <si>
    <t>Margot Kidder, Actress Who Found Movie Stardom in ‘Superman,’ Dies at 69 https://t.co/VD3cYXf3sM</t>
  </si>
  <si>
    <t>Senate Intel Commtte says Russians have been meddling in our elections for decades spreading propaganda about both candidates.</t>
  </si>
  <si>
    <t>In North Korea, all education is geared toward brainwashing citizens into worshipping the Kim families. It is illegal not to decorate one’s home with photos of Kim Jong-un, his father Kim Jong-il, and grandfather and “Eternal President” Kim Il-sung.</t>
  </si>
  <si>
    <t>It's why we need to #VoteDemsOUT https://t.co/klqKm3mZeu</t>
  </si>
  <si>
    <t>RT @IngrahamAngle: Every American should hope that @realdonaldtrump &amp;amp; his team succeed in its work to de-nuclearize the Korean Peninsula. B…</t>
  </si>
  <si>
    <t>https://t.co/j2NeBs7j1I</t>
  </si>
  <si>
    <t>N. Korea's state run media touting NK's human rights records &amp;amp; condemning US record, while ignoring the existence of North Korea's torturous labor camps, use of extreme methods of execution against enemies of the state, forced abortions &amp;amp; a total ban on religion in the country.</t>
  </si>
  <si>
    <t>Ratings Crisis: CNN Suffers Viewership Collapse of Nearly 30% GOOD RIDDANCE TO @CNN! https://t.co/mrHU461HAN</t>
  </si>
  <si>
    <t>Guatemalan Embassy Re-opens in Jerusalem: 'This Is the Land of Jesus' | Breitbart https://t.co/VKunj1k6xU</t>
  </si>
  <si>
    <t>Report: U.S. Knows Location of North Korea’s Secret Uranium Stash https://t.co/gR7KHgskqN</t>
  </si>
  <si>
    <t>Senate Set To Vote On Overturning FCC's Net Neutrality Repea! #RepealNetNeutrality #EncourageInnovation https://t.co/QxA3zChOTK</t>
  </si>
  <si>
    <t>FCC's proposal, called the Restoring Internet Freedom Order, would mark a shift in authority &amp;amp; emphasis. Instead of the FCC regulating how ISPs operate, the Federal Trade Commission would handle enforcement of net neutrality violations.</t>
  </si>
  <si>
    <t>FCC Chairman Ajit Pai says his plan to remove net neutrality rules is a way of bringing the Internet back to how it was in the 1990s.</t>
  </si>
  <si>
    <t>FCC's Pai: 'Heavy-Handed' Net Neutrality Rules Are Stifling The Internet! #EndNetNeutrality https://t.co/wl8ILQxhcX</t>
  </si>
  <si>
    <t>The Internet will be fine even without net neutrality rules! https://t.co/npPs39QPKT via @FortuneMagazine</t>
  </si>
  <si>
    <t>Net neutrality slows internet innovation.  And, it remains a bad idea to give the government more control over the internet. #EndNetNeutrality</t>
  </si>
  <si>
    <t>NET NEUTRALITY IS BAD FOR EVERYONE -- because the classification of ISPs as public utilities creates regulatory uncertainty, which stifles investment &amp;amp; innovation in the telecom industry. Innovation &amp;amp; investment stalled under Obama.</t>
  </si>
  <si>
    <t>NET NEUTRALITY prevented tech industry from innovating and investing in broadband infrastructure &amp;amp; expansion. Under Obama, it set back the industry by at least a decade.  And...large users like Amazon should be paying higher rates for broadband.  #EndNetNeutrality</t>
  </si>
  <si>
    <t>Four socialist-backed candidates win Pennsylvania legislative primaries --&amp;gt;  SOCIALISTS WANT TO RAISE YOUR TAXES &amp;amp; RUN YOUR LIFE! #VoteDemsOUT  https://t.co/SauQdUy0Gd</t>
  </si>
  <si>
    <t>SCOTT WAGNER wins primary for PA governor.  He has positioned himself as a garbage man set to clean up a corrupt state govt that stifles the local economy with too many regulations &amp;amp; taxes.
#VoteDemsOUT
https://t.co/KdVCEyYj29</t>
  </si>
  <si>
    <t>Woodson: Amazon's China Problem | Breitbart https://t.co/XJFGT0F40R</t>
  </si>
  <si>
    <t>Let's Not Forget when West Virginia governor left DNC to join Republican Party in 2017.  https://t.co/hIHzszAGfd</t>
  </si>
  <si>
    <t>This is one seat the Republicans could flip. https://t.co/PQUwjyghLH via @HuffPostPol</t>
  </si>
  <si>
    <t>RT @VVertuccio: Republicans flipping a SW Pennsylvania seat in Washington County, while Democrats flip a suburban Philly seat in Bucks carr…</t>
  </si>
  <si>
    <t>RT @PhilipEMSkinne1: @electionwatchus Pennsylvania is going to remember Trump keeps his promises</t>
  </si>
  <si>
    <t>RT @electionwatchus: FLIP ALERT: In Pennsylvania House District 48, Republican Tim O'Neal has flipped the seat for his party. This is the 1…</t>
  </si>
  <si>
    <t>RT @TheSecretsSafe: FLIP ALERT - Republicans Gain Seat - Tim O'Neal PA Dist 48 https://t.co/tsXT2ihKLu</t>
  </si>
  <si>
    <t>RT @w_terrence: I’m Excited! Few weeks away and I get to eat Chicken and Crack Jokes with my People in Arlington Texas. The 
Pro Trump Impe…</t>
  </si>
  <si>
    <t>RT @CmmnSnse1: These 27 Major American Cities are Abortion Free, With No Clinics Killing Babies in Abortions | https://t.co/ZD22VmuR4I http…</t>
  </si>
  <si>
    <t>RT @peplamb: @peplamb #Jesus #Saves 🙏🇺🇸❤️ 💖😇🙏 #RedeemerLives #OneNationUnderGOD https://t.co/6RxPRskPjR</t>
  </si>
  <si>
    <t>RT @DrRusty1776: In Texas we throw them little ones back in! 💋 https://t.co/0izqTg30vN</t>
  </si>
  <si>
    <t>RT @PhilMcCrackin44: 💥Attn: DEMOCRATS 
As you begin to think about the candidate you’re considering during the Fall Mid-Terms, pls keep th…</t>
  </si>
  <si>
    <t>LEFT blames Trump, Israel for Mideast violence.  Ha Ha Ha!  That's that biggest joke ever -- every American knows that it's Hamas starting all the violence. Who comes to a peaceful protest with a rifle on their back &amp;amp; a grenade in their pocket? HAMAS INSTIGATING THE VIOLENCE.</t>
  </si>
  <si>
    <t>MN Daycare Fraud has possible link to terrorism.  Are tax dollars being scammed and being sent to terrorist groups? 10 daycares in Minnesota under investigation. Many more to come. #StopTheFraud #EndWelfare</t>
  </si>
  <si>
    <t>Retracting the Retraction, Fusion’s Simpson Stands by Testimony that FBI Had Spy in Trump Campaign.  https://t.co/rFMBQtLBhu</t>
  </si>
  <si>
    <t>2 Brennan Colleagues are contradicting their boss.  They say the dossier was used to obtain a FISA warrant. Brennan lied, again.</t>
  </si>
  <si>
    <t>RT @RacySicilian: Liberals block freeways, burn cities, throw Molotov cocktails, loot, turn over cop cars and think their behavior is socia…</t>
  </si>
  <si>
    <t>Sally Yates is a partisan hack, and let it affect her work at the DOJ.  Some of her actions may be criminal.  #ProsecuteSallyYates</t>
  </si>
  <si>
    <t>Sally Yates accuses Flynn of violating Logan Act, but not John Kerry??? She's a hotdog lawyer who never should be working at the DOJ.</t>
  </si>
  <si>
    <t>FBI deliberately contrived the whole Russia collusion story as payback for Trump defeating Hillary.</t>
  </si>
  <si>
    <t>It's abundantly clear there is no evidence of Russia collusion. John Brennan created a fake investigation into Trump and fed a fake narrative with the Trump dossier etc. Brennan should be in prison for treason!</t>
  </si>
  <si>
    <t>BORDER SECURITY is essential to a country's sovereignty. 
#BuildTheWall #DeportIllegals</t>
  </si>
  <si>
    <t>RT @JohnWHuber: I'll just leave this here 🇺🇸
3/5/18: Retiring NSA Director Mike Rogers sends classified letter to HPSCI Chair @DevinNunes:…</t>
  </si>
  <si>
    <t>#VoteOmarNavarro and let's defeat "Crazy" Maxine Waters. https://t.co/ksafjD6YUn</t>
  </si>
  <si>
    <t>What's up with the censorship @Jack @Twitter?  Stop the #Censorship  Americans demand #FreeSpeech https://t.co/d3eBOIu5jc</t>
  </si>
  <si>
    <t>RT @winstonCovfefe: Two-thirds of 'child refugees' lied about their age and are over 18 https://t.co/0x5mRHJpfF via @MailOnline</t>
  </si>
  <si>
    <t>RT @StevePolitix: Bill O’Reilly was a big voice for conservatives and we are glad to have him back on the air.
Via @politixlive https://t.c…</t>
  </si>
  <si>
    <t>Latest Berkley U survey show half of Californians support illegal deportations &amp;amp; Muslim travel ban.</t>
  </si>
  <si>
    <t>Yay!  #VoterID will keep elections honest! https://t.co/0qCdG7BQ3Y</t>
  </si>
  <si>
    <t>Big Media Company Withholds FBI Investigative Bombshell For Months; Shielding Mueller, Hillary &amp;amp; FBI Brass from Publicity Disaster https://t.co/gu1DyuCT5o</t>
  </si>
  <si>
    <t>RT @Thomas1774Paine: BREAKING: Big Media Company Withholds FBI Investigative Bombshell For Months; Shielding Mueller, Hillary &amp;amp; FBI Brass f…</t>
  </si>
  <si>
    <t>Mueller is the Russian colluder!  #ArrestMueller https://t.co/wTGD4LIsmF</t>
  </si>
  <si>
    <t>RT @gaye_gallops: AVENATTI...WHOS PAYING YOU? DNC or outside political groups? And CRUCIALLY HOW MUCH ARE YOU BEING PAID?
♦️Your law firm p…</t>
  </si>
  <si>
    <t>RT @SecOfState70: Liberals are more upset about 52 Palestinian terrorists killed than 4 Americans killed in Benghazi.
Let that sink in.</t>
  </si>
  <si>
    <t>He blames them because he's a Muslim. You can't be Muslim and pro-Israel. https://t.co/zPZkJ4txKD</t>
  </si>
  <si>
    <t>RT @JDugudichi: Follow back all patriots
@JDugudichi
@nzo11
@bbute
@yoforti
@lizlamers
@aliwojo19
@flyby2474
@HollyNiotti
@bethtcoast
@Jayh…</t>
  </si>
  <si>
    <t>RT @frants81: Followed all! Thanks! 🇺🇸🇺🇸🇺🇸 https://t.co/Td2xv2VReF</t>
  </si>
  <si>
    <t>PALESTINIANS show up with bombs and rifles and grenades to GAZA?  Doesn't sound like they want peace.</t>
  </si>
  <si>
    <t>Hamas Violence is “The Great Return March” to Overtake Israel https://t.co/SA2ja0aphr</t>
  </si>
  <si>
    <t>THE COLLUSION STORY WAS INVENTED by James Comey and the Clinton camp to derail Trump presidency.  Now, they are in coverup mode!  PRISON for ALL of THEM!</t>
  </si>
  <si>
    <t>TWO colleagues of John Brennan contradict Brennan's statement about reliance of the dossier for the FISA warrant. Brennan outed yet again, as a LIAR! #LeftistLiars</t>
  </si>
  <si>
    <t>Thanks to Republican Tax Cuts, Obamacare is No Longer Constitutional https://t.co/OiBtX8lhSK</t>
  </si>
  <si>
    <t>Flop Sweat? Dems Now Openly Fretting About Rising Trump Approval, Sinking 2018 Prospects https://t.co/imzbiCxMaN</t>
  </si>
  <si>
    <t>Katie Pavlich - Chuck Schumer Breaks With the Resistance to Praise Trump on Jerusalem Embassy Move  https://t.co/yh3LHGJ1Rp</t>
  </si>
  <si>
    <t>Katie Pavlich - Watch: Gaza Man 'On Crutches' Miraculously Starts Running During Violent Riots  https://t.co/McQxWTXQvN</t>
  </si>
  <si>
    <t>RT @tbanks98926: @Tim_Canova @DWStweets Debbie needs to go down. Gives new appeal to the phrase "Debbie Downer"</t>
  </si>
  <si>
    <t>RT @Tim_Canova: We just won our lawsuit on summary judgment. Court ruled that Broward Supervisor of Elections illegally destroyed all paper…</t>
  </si>
  <si>
    <t>After Repeatedly Denying It, Twitter OFFICIALLY Admits to Shadowbanning Users https://t.co/3eme1TzXcv via @gatewaypundit</t>
  </si>
  <si>
    <t>Prosecutors Unable to Bring Charges Against Suspected WikiLeaks 'Vault 7' Source https://t.co/hTPXzlZHdR via @gatewaypundit</t>
  </si>
  <si>
    <t>THANK GOD: Pope Francis Hints At Retirement https://t.co/kxXypRZaXo via @gatewaypundit</t>
  </si>
  <si>
    <t>Senator Rand Paul Sends Letter to CIA Inquiring About Haspel's Involvement in Trump Campaign Surveillance https://t.co/lyPTlvoR34 via @gatewaypundit</t>
  </si>
  <si>
    <t>The Avenatti Files: Slimy Porn Star Attorney Michael Avenatti Suspected of Defrauding Million Dollar Newport Beach Property Owner https://t.co/4lotMRN9lp via @gatewaypundit</t>
  </si>
  <si>
    <t>Judicial Watch Lead Investigator: 'It's Time For Trump's Team to Fight Like Hell Because Mueller's Witch Hunt is a Slow-Motion Political Coup' (VIDEO) https://t.co/X4QRkGk43R via @gatewaypundit</t>
  </si>
  <si>
    <t>The Michael Avenatti Files: Porn Star Attorney Avenatti "Acted with Malice, Fraud and Oppression" - Paid No Payroll Taxes For Years!  https://t.co/zuhOoIaMtX via @gatewaypundit</t>
  </si>
  <si>
    <t>Sally Yates: Trump is ‘tearing down the legitimacy’ of Justice Dept. 
--&amp;gt; NOT, TRUMP IS EXPOSING THE CORRUPTION WITHIN THE DOJ!  ://truepundit.com/sally-yates-trump-is-tearing-down-the-legitimacy-of-justice-department/</t>
  </si>
  <si>
    <t>WOW!  Robert Mueller threatened the family of Gen. Michael Flynn, coercing him to plead guilty to perjury.  It's MUELLER THAT SHD BE GOING TO PRISON!  #DrainTheSwamp #VoteDemsOUT https://t.co/1ER6MHP4d8</t>
  </si>
  <si>
    <t>RT @RealCandaceO: You’re an anti-American mouthpiece that was given a platform by people that wish harm upon this country. 
Your time is co…</t>
  </si>
  <si>
    <t>RT @sewwutnow: A 71 yr old man waiting at 2 am to welcome home 3 American hostages, after being up over 20 hrs. May the Lord give @realDona…</t>
  </si>
  <si>
    <t>Which means OBAMA knew and supported the plan. #Traitor https://t.co/DDxYMBpxTJ</t>
  </si>
  <si>
    <t>RT @FranSism1g: Devin Nunes Calls for Immediate Arrest of John Kerry for Treason – They Found Everything
https://t.co/diSu4cIWP4</t>
  </si>
  <si>
    <t>Dems Defend Bloodthirsty Hamas Terrorists and Condemn Israel. Democrats &amp;amp; NY Times are anti-Israel and pro-terrorists.  Time to #VoteDemsOUT https://t.co/qhGn6ZT7Ob</t>
  </si>
  <si>
    <t>RT @JimKuther: More Details Emerge On Deep State Mole Secretly Spying on Trump Campaign https://t.co/UjACNGN2Zm via @truthfeednews</t>
  </si>
  <si>
    <t>BUZZFEED engaging in harassment. @FBI should be looking into the actions by Buzzfeed. https://t.co/1NcS0x4USJ</t>
  </si>
  <si>
    <t>RT @mcdili4usa: @therealcornett @JugularGrasp The fake media and the democrats with no platform spend money at a rapid pace trying to discr…</t>
  </si>
  <si>
    <t>RT @JustKate038: @therealcornett Candice Owens is a bright women, a breath of fresh air in rooms filled with smoke and mirrors, Black leade…</t>
  </si>
  <si>
    <t>@therealcornett PROVING again that LEFTIST MEDIA has no interest in reporting the truth or the news.  They have an agenda and are out to destroy anyone that gets in their way.  Today i'ts Candace Owens.  Shame on CNN &amp;amp; Buzzfeed.</t>
  </si>
  <si>
    <t>RT @therealcornett: 🚨BREAKING: According to sources CNN has hired two seperate Private Investigators to look into the background of Candace…</t>
  </si>
  <si>
    <t>RT @therealcornett: 🚨Update: Remember I told you CNN was investigating @RealCandaceO and looking for ways to Slander and discredit her. Wel…</t>
  </si>
  <si>
    <t>#VoteDemsOUT https://t.co/dO98yQMoXB</t>
  </si>
  <si>
    <t>Dennis Miller --&amp;gt; I can never concede that NANCY PELOSI is a bright woman who should be the speaker of the house. She is a cosmic joke!</t>
  </si>
  <si>
    <t>Flop Sweat? Dems Now Openly Fretting About Rising Trump Approval, Sinking 2018 Prospects. #VoteDemsOUT https://t.co/imzbiCxMaN</t>
  </si>
  <si>
    <t>SHAME on The New York Times for its blatant anti-Semitism!
NYT calls Hamas terrorists "protestors" --&amp;gt; Protestors don't show up at a protest with a rifle on their back and a grenade in their pocket!</t>
  </si>
  <si>
    <t>HAMAS shamelessly using women and children as shields as they cover their faces while hurling rockets and firebombs at Israel. Shame on terrorist Hamas!</t>
  </si>
  <si>
    <t>Feds question Malloch re Mueller probe. It's time to #ArrestMueller for overstepping his authority.  This is a travesty of justice against innocent Americans.  SHAME ON DEMOCRATS!  #VoteDemsOUT</t>
  </si>
  <si>
    <t>FBI detained &amp;amp; questioned former Trump campaign adviser, Ted Malloch at Logan airport.  Malloch was asked about Stone &amp;amp; Wikileaks and was served with subpoena to appear before Mueller. #DrainTheSwamp</t>
  </si>
  <si>
    <t>COMEY used a phony FISA warrant to spy on Trump campaign.
#IndictComey for Treason against America!
#VoteDemsOUT</t>
  </si>
  <si>
    <t>DEMS along with Obama, Brennan, Clapper, Mueller, McCabe &amp;amp; Rosenstein acted to spy on Trump campaign. These criminals need to be brought to justice!  #VoteDemsOUT #DismantleTheFBI</t>
  </si>
  <si>
    <t>MAybe we the people should demand the DOJ and FBI be dismantled completely and re-built from the ground up! #DismantleTheFBI #DismantleTheDOJ</t>
  </si>
  <si>
    <t>DOJ &amp;amp; FBI are increasingly defiant, refusing to disclose files and documents that implicate some within the agencies of spying on Trump campaign -- all ILLEGAL &amp;amp; TREASONOUS ACTIVITIES. #ArrestTheCriminals</t>
  </si>
  <si>
    <t>DOJ evoking crises while it refuses congressional oversight!  #DrainTheSwamp  DOJ reports to we the voters, and we demand they disclose and cooperate with congressional documentary demands!</t>
  </si>
  <si>
    <t>RT @LizCrokin: POTUS brought Officer Familia's relatives on stage to send a clear message to Hillary &amp;amp; her pedo-Satanist pals!
#Pizzagate…</t>
  </si>
  <si>
    <t>#ArrestJohnKerry https://t.co/Oj0k0OR9Pd</t>
  </si>
  <si>
    <t>RT @r_little_finger: Twitter prides themselves on being a “Liberal echo chamber”..
Not on our watch.....
Let’s do this right, 
RETWEET i…</t>
  </si>
  <si>
    <t>RT @RealCandaceO: Buzzfeed now verifying that it is “their job” to threaten to publish names of private young women who refuse to give quot…</t>
  </si>
  <si>
    <t>RT @charliekirk11: All leakers should be fired immediately from the White House 
It is an honor and privilege to serve President @realDona…</t>
  </si>
  <si>
    <t>RT @TomFitton: The VA is a mess -- it pursued retaliatory criminal charges against a 75 year old veteran. I'm happy to report our @Judicial…</t>
  </si>
  <si>
    <t>RT @DeplorableChoir: New Song! Trump is winning YUGE!! Can’t expect the fake news media to report it, so we’re here to enlighten the libera…</t>
  </si>
  <si>
    <t>RT @alteratyeshiva: Shame on the @NYDailyNews. https://t.co/npKahPdWP5</t>
  </si>
  <si>
    <t>NY Times is now the Anti-Semitic News!  All things anti-US and anti-Israel.  Time to cancel that subscription and delete any and all email sign-ups for their digital news. #BoycottNYTimes</t>
  </si>
  <si>
    <t>BETSY DEVOS --&amp;gt; "The point is for 30 yrs I have been working on behalf of families that have not had opportunity."
She benefited from the free market. Now she wants to bring those benefits to students who've been badly treated by government-run schools. #MAGA</t>
  </si>
  <si>
    <t>Taxpayers spend $634 billion a year on Dept of Education.  Betsy DeVos is proposing $9 billion in cuts to that budget to streamline the bureacracy and eliminate redundant programs.</t>
  </si>
  <si>
    <t>Dept of Education inherited by Betsy DeVos is a good example failed govt bureaucracy. K-12 schools are controlled &amp;amp; funded locally, but taxpayers are forced to ship educ money to D.C. where bureaucrats grab some, and then ship the rest back -- with strings attached.</t>
  </si>
  <si>
    <t>Taxpayers spend $634 billion a year on it. It's laughable that activists claim conservatives "cut" education spending. Funds per student tripled over the past several decades, while test scores stayed flat.</t>
  </si>
  <si>
    <t>No such thing as Free Education!  Somebody pays.</t>
  </si>
  <si>
    <t>RT @dkoehly: Conway: Heads will roll after latest White House leak https://t.co/DUjeb5xrIz</t>
  </si>
  <si>
    <t>The Bloody Rothschilds! 
#DrainTheSwamp #VoteDemsOUT #CrushTheLEFT https://t.co/9oZHAXsOra</t>
  </si>
  <si>
    <t>OMAR NAVARRO to beat "Crazy" MAXINE WATERS --&amp;gt;
https://t.co/LfovNn03zB</t>
  </si>
  <si>
    <t>RT @TheUnitedFree: Help Omar Navarro turn California's 43rd Congressional District RED, and retire Maxine Waters! 
Endorsed by Gen Flynn, J…</t>
  </si>
  <si>
    <t>Mueller claimed there were no signs of 9/11 occurring.  Yet, the final House-Senate Joint Intelligence Committee report concluded that 9/11 might have been prevented had the FBI been on alert.</t>
  </si>
  <si>
    <t>TIME mag quoted 1 former prosecutor: “The cynics are saying, let him [MUELLER] take over the FBI, it’ll be great theater &amp;amp; he’ll run it into the ground in 6 months.” The former prosecutor was wrong. It only took Mueller 1 week.</t>
  </si>
  <si>
    <t>Alan Dershowitz recalled on “The Cats Roundtable” podcast, Mueller is “the guy who kept 4 innocent people in prison for many years in order to protect the cover of Whitey Bulger as an FBI informer." MUELLER IS DEEP STATE SCUM!</t>
  </si>
  <si>
    <t>Story of Robert Swann Mueller III reads like a parody of privilege. Born to a wealthy DuPont executive, Mueller was sent off to St. Paul’s, the elite New Hampshire boarding school...
https://t.co/CRTzraE4yO</t>
  </si>
  <si>
    <t>As we enter the second year of Robert Mueller’s sprawling investigation, Hanlon’s Razor teaches us to ‘Never attribute to malice that which is adequately explained by stupidity.’</t>
  </si>
  <si>
    <t>His Record Proves Robert Mueller --&amp;gt; is The Clown Prince Of Law Enforcement! #VoteDemsOUT https://t.co/323ERuaaFU</t>
  </si>
  <si>
    <t>HILLARY and her Bitterness Tour! #VoteDemsOUT https://t.co/1RtBgSvP1B</t>
  </si>
  <si>
    <t>Media Spreading FAKE NEWS by Calling Palestinian Violence “Protest.” 
 CNN, MSNBC are #FakeNews #VoteDemsOUT https://t.co/FqhaaUHQwl</t>
  </si>
  <si>
    <t>MUELLER is in the habit of THREATENING PEOPLE!  He's the one who should be investigated &amp;amp; indicted for his crimes at the FBI against the American people!
#VoteDemsOUT #CrushTheLEFT #DrainTheSwamp https://t.co/1ER6MHP4d8</t>
  </si>
  <si>
    <t>RT @TheSpeaker2018: Who will be next?
Eyes wide open.
@occulturalism @intheMatrixxx @55true4u @LisaMei62 @ElemiFuentes @elenochle @FedupW…</t>
  </si>
  <si>
    <t>RT @LeahVukmir: It’s unacceptable that Sen. Baldwin will not say where she stands on Trump's pick for he CIA, Gina Haspel. She’s desperate…</t>
  </si>
  <si>
    <t>And more Dana Loesch!  We love Dana! https://t.co/IIqVucoicd</t>
  </si>
  <si>
    <t>RT @brithume: They certainly should —&amp;gt; https://t.co/4HKfOAIiBE</t>
  </si>
  <si>
    <t>Americans have a right to hear and see the truth. https://t.co/l82MeSbRAT</t>
  </si>
  <si>
    <t>BRAD PITT:  US has had guns since the beginning of its existence, &amp;amp; it has not been until recently, that frequent shootings have become an issue.
The majority of mass shooters hv had some kind of mental problem or were under the influence, so the weapons are not the issue.</t>
  </si>
  <si>
    <t>RT @PolitixGal: Antarctic Press was hit by a storm of comic book industry professionals colluding to try to force conservative-authored com…</t>
  </si>
  <si>
    <t>Candice Owen @RealCandaceO is an example of Critical Thinking, of not being bullied into the Liberal Mental Prison of Groupthink, Herd Mentality, Tribalism, Identity Politics, Censorship, Big Govt, High Taxes &amp;amp; Illegal Immigration. #VoteDemsOUT</t>
  </si>
  <si>
    <t>#ObamaLegacy --&amp;gt; is handing out medals to these 4 Democratic sexual perverts &amp;amp; predators. Time to #VoteDEMSout https://t.co/ZSQ6RlkQxL</t>
  </si>
  <si>
    <t>RT @REALtrumpbureau: @PressSec HEY @GovMikeHuckabee 
YOUR DAUGHTER IS THE #BESTPRESSSECRETARYEVER 
@PressSec 
WE LOVE SARAH !
🇺🇸🙏💕🙏🇺🇸
#SARA…</t>
  </si>
  <si>
    <t>Cong. Raul Ruiz (CA-36) voted w/ far left wing nut Nancy Pelosi 91% of the time; meaning they rarely disagreed on anything. Ruiz doesn't give a damn about Americans &amp;amp; caters to political elite, not to mention illegal immigrants. #Traitor #Vote4KimberlinBrown #Coachella</t>
  </si>
  <si>
    <t>In Missouri all post-secondary institutions of higher education are required to annually certify to the Missouri Dept. of Higher Education that they have NOT knowingly awarded financial aid to students who are unlawfully present in the US .</t>
  </si>
  <si>
    <t>In 2009, a measure was passed that ensures Missouri 's public institutions of higher education do NOT award financial aid to individuals who are illegally in the United States.</t>
  </si>
  <si>
    <t>In Missouri, illegal immigrants do NOT have access to taxpayer benefits such as food stamps or health care through Missouri Health NET.</t>
  </si>
  <si>
    <t>Missouri says it has no illegals. Why? In 2007, Missouri placed on the ballot a proposed constitutional amendment designating English as the official language of Missouri In November, 2008, nearly 90% voted in favor!</t>
  </si>
  <si>
    <t>Every voter I spoke to recently said they don't care about "Russiagate" or "Stormy Daniels."  IT'S THE ECONOMY, STUPID!
#VoteDemsOUT #CrushTheLEFT</t>
  </si>
  <si>
    <t>Several comic creators conspired in secret FB group to stalk Conservative comic creator at NY Comic Con &amp;amp; “goad him into throwing a punch,” hoping to get him arrested for assault &amp;amp; get him permanently banned from attending conventions. https://t.co/vtUaZeEwrl</t>
  </si>
  <si>
    <t>Conservative Comic Bk creator being threatened by LEFTISTS in the industry like Mark Waid!  https://t.co/3pn4V3Xn81</t>
  </si>
  <si>
    <t>Antarctic Press was hit by a storm of comic book industry professionals colluding to try to force conservative-authored competition out of the business. #VoteDemsOUT #CrushTheLEFT
 https://t.co/CYpf4PnpI2</t>
  </si>
  <si>
    <t>Mob Attempts To Strangle YouTuber's Breakout Success In Comics! Time to #VoteDemsOUT #CrushTheLEFT https://t.co/N4L7rrqQxj</t>
  </si>
  <si>
    <t>Comic book industry has been embattled over last several yrs w/ Marvel Comics sinking to new lows in sales. Marvel went to extreme measures in their bus 2 signal their political correctness, w/ every 1 of their books being penned by vocal anti-Trump &amp;amp; anti-conservative writers.</t>
  </si>
  <si>
    <t>May 19, 2018 - "San Francisco Seminar on the Future of Money" - Guest speaker is Patrick Byrne, founder of https://t.co/qzZbLvChwx.  Presented by the Mises Institute.  Free, but need to register! https://t.co/PQzJjqv8ai</t>
  </si>
  <si>
    <t>Even left-leaning Starbucks (CEO Schultz) also slammed the new tax and questioned Seatle's accountability. --&amp;gt; LEGISLATORS ONLY KNOW TAX &amp;amp; SPEND.  They need to reined in by VOTERS.  #VoteDemsOUT</t>
  </si>
  <si>
    <t>Amazon, Starbucks Blast Seattle City Council's approval of head tax compromise. Amazon pissed that Seattle is taxing jobs &amp;amp; wkg people instead of cutting wasteful spending! https://t.co/tmw478RIYt</t>
  </si>
  <si>
    <t>Proof that illegals are voting in U.S. elections.  Time for #VoterID is NOW!
#VoteDemsOUT https://t.co/PtrXLcYTV0</t>
  </si>
  <si>
    <t>Mexican National Stole Texan's Identity and Voted Three Times, Says AG https://t.co/O0VQ5vt6Ou</t>
  </si>
  <si>
    <t>War for Central Mexican Black Market Fuel Kills 16 in 12 Hours https://t.co/ovS8u8rqCG</t>
  </si>
  <si>
    <t>California's expected state and local tax bonanza from legalizing recreational marijuana sales is drastically under-performing it's forecast, due to a high tax burden. #VoteDemsOUT #LowerTaxes #RepealGasTax</t>
  </si>
  <si>
    <t>High Taxes Killing California Recreational Marijuana Tax Collection | Breitbart https://t.co/Nhgcb6svtE</t>
  </si>
  <si>
    <t>Low Voter Turnout May Help California Republicans in June | Breitbart https://t.co/rebUB3Es33</t>
  </si>
  <si>
    <t>WH Spox: 'Hamas Bears the Responsibility' for Gaza Violence - 'This Is a Propaganda Attempt' | Breitbart https://t.co/ngn4uqgfmp</t>
  </si>
  <si>
    <t>North Korean Defector Warns: Regime's Top Priority Is Becoming a Nuclear Power https://t.co/4rkptumDr5</t>
  </si>
  <si>
    <t>Eurovision Winner Netta In Tel Aviv Concert Celebrates 'A Great Win for This Country' https://t.co/E6za9NLezC</t>
  </si>
  <si>
    <t>Report: WaPo Missed the Real China Story on Sex-Selective Abortions https://t.co/D6nB6rv4cg</t>
  </si>
  <si>
    <t>Israeli Ambassador Awards President Trump Medal at 70th Anniversary of Independence Celebration | Breitbart https://t.co/piGtk0j2RO</t>
  </si>
  <si>
    <t>Exclusive — Ted Cruz: Israel Is ‘Undoubtedly’ a Model for Securing Our Borders https://t.co/Hcf672RuxV</t>
  </si>
  <si>
    <t>Melania Trump Hospitalized for Benign Kidney Condition https://t.co/F6HOxIwBzL</t>
  </si>
  <si>
    <t>Reports Indicate the FBI Had a Source Spying on the Trump Campaign https://t.co/W1agRZVsU2</t>
  </si>
  <si>
    <t>Look at What's Going to Happen to Sweden's Fabled Welfare State --&amp;gt; Running out of money as predicted! Socialism fails!
https://t.co/LAdTgTPfLz</t>
  </si>
  <si>
    <t>RT @MAGANinaJo: 💣Dirty💣 Avenatti has ties to a major Clinton donor and a professor linked to the Russian Dossier.  This man is no accident;…</t>
  </si>
  <si>
    <t>Poll finds minimal interest in royal wedding among Britons.  MY SENTIMENTS EXACTLY --&amp;gt; WHO CARES?  https://t.co/HfJ6gfgSVx via @YahooNews</t>
  </si>
  <si>
    <t>New York Daily News slammed for mocking 'deplorable' Ivanka Trump as 'Daddy's Little Ghoul' https://t.co/W1JgwTpGUa #FoxNews</t>
  </si>
  <si>
    <t>Bill O’Reilly in talks to return to cable news https://t.co/m5PIq6aFRD via @pagesix</t>
  </si>
  <si>
    <t>Sean Hannity: ‘We Lost Three Quarters of Fox Primetime and We’re Still Killing It’ in the Ratings https://t.co/6AtRLAmq9u via @mediaite</t>
  </si>
  <si>
    <t>Federal lawsuit accuses Obama center organizers of pulling an 'institutional bait and switch' https://t.co/LuxG1JsP88</t>
  </si>
  <si>
    <t>NOT ONE Democrat showed up for the unveiling of the new Embassy in Jerusalem, not even Jewish Sen. Chuck Schumer.  Disgusting Left. They are appalling!</t>
  </si>
  <si>
    <t>RT @IngrahamAngle: BREAKING TONIGHT: We talk to John Solomon for part two of a huge story he just broke on a possible conflict of interest…</t>
  </si>
  <si>
    <t>Joe Lieberman applauds Trump on embassy move!  https://t.co/0rrmH4TmaR</t>
  </si>
  <si>
    <t>VP Pence --&amp;gt; "We stand with Israel because we believe in right over wrong, in good over evil, and in liberty over tyranny." #MAGA #VoteDemsOUT</t>
  </si>
  <si>
    <t>Tammy Bruce -- Eric Schneiderman accusations show how he was shielded to protect the Democratic brand - https://t.co/js1RQ1PPYf</t>
  </si>
  <si>
    <t>Mark Meadows wants GAO audit of Robert Mueller probe - https://t.co/dTQMkJOWrH - @washtimes</t>
  </si>
  <si>
    <t>Senators credit Donald Trump with making history in Israel after embassy move - https://t.co/cUvoUnS2LA - @washtimes</t>
  </si>
  <si>
    <t>DONEEN BORELLI: tells fellow Black Conservatives to speak up and speak out, and not let the Left initimidate you.</t>
  </si>
  <si>
    <t>RT @SusanCTurlingt1: Maxine is trying to bring 41K Somalians to LA &amp;amp; house them in new condos underwritten by UnitedOne, her husband's bank…</t>
  </si>
  <si>
    <t>That's why we must #VoteDemsOUT this November! https://t.co/ZKBPQqIzDt</t>
  </si>
  <si>
    <t>RT @NRATV: "I think there's millions of me across the country, and I’m hoping that each one of those people will go out and tell these poli…</t>
  </si>
  <si>
    <t>@angryearthsteve @RealMAGASteve WHO is "SM?"</t>
  </si>
  <si>
    <t>RT @angryearthsteve: @RealMAGASteve I heard the person allegedly had the initials SM.</t>
  </si>
  <si>
    <t>RT @robtdfischl: @RealMAGASteve #FrameTrumpConspiracy Success depended on @realDonaldTrump corruption. Otherwise they all go to prison.</t>
  </si>
  <si>
    <t>RT @RealMAGASteve: ⚠️The Hunt For The FBI Mole Intensifies⚠️ Kim Strassel says she knows who the mole is but won't identify them. 
BREAKIN…</t>
  </si>
  <si>
    <t>RT @Queendode: Outrageous! https://t.co/XzUjSOUFit</t>
  </si>
  <si>
    <t>Eric Greitens case dropped - https://t.co/sZlnuPLa8c - @washtimes</t>
  </si>
  <si>
    <t>Obama allies spread Donald Trump, Russia collusion stories to undermine transition - https://t.co/fRo6xcdpua - @washtimes</t>
  </si>
  <si>
    <t>RT @WashTimes: Sarah Palin praises WikiLeak's Julian Assange; 'He's all about freedom' https://t.co/l9SnwJ5TnO</t>
  </si>
  <si>
    <t>Double good! https://t.co/sfcLeRnCUK</t>
  </si>
  <si>
    <t>RT @MEL2AUSA: “Democrats’ world shattered the day Hillary Clinton lost the 2016 election and they can’t cope with President Trump's success…</t>
  </si>
  <si>
    <t>MUELLER asked Russian Oligarch Oleg Deripaska to spend millions rescuing retired FBI Agent in Iran; this is the same oligarch that's involved in the Manafort case.  Conflict of Interest?  Undoubtedly!</t>
  </si>
  <si>
    <t>JOHN SOLOMON:  Mueller may have a conflict and it leads directly to a Russian Oligarch.  #2FacedMueller #VoteDemsOUT</t>
  </si>
  <si>
    <t>RT @Buckyworks: Faux POTUS BHO, whose imperial term changed the way Americans interact is now watching his much-celebrated &amp;amp; mythologized t…</t>
  </si>
  <si>
    <t>RT @Buckyworks: I feel like political correctness is ruining America. What used to be called common sense is now mocked by a biased and arr…</t>
  </si>
  <si>
    <t>Mueller may have a conflict — and it leads directly to a Russian oligarch https://t.co/eRnLtTfdiB</t>
  </si>
  <si>
    <t>You got that right!
#VoteDemsOUT https://t.co/SzGPllSh5I</t>
  </si>
  <si>
    <t>RT @Buckyworks: President Trump does not wake up each day wanting the MSM &amp;amp; global body politic to fawn over him &amp;amp; give him a Nobel Peace P…</t>
  </si>
  <si>
    <t>RT @Buckyworks: "Negotiating with Obama is like playing chess with a pigeon."
"The pigeon knocks over all the pieces, shits on the board an…</t>
  </si>
  <si>
    <t>ATLANTA Federal Reserve forecasting 4.1% economic growth in 2nd quarter!  WOW! Trump's economy is on fire! For peace and prosperity, voters need to #VoteDemsOUT</t>
  </si>
  <si>
    <t>ROD ROSENSTEIN begged Paul Ryan not to disclose the FISA abuse documents.  WHAT ARE THEY HIDING??? Rosenstein should resign!  Arrest these FBI criminals abusing their positions!</t>
  </si>
  <si>
    <t>Ethiopian Jews Gather in Jerusalem to Remember Their Fallen on the Trek to Israel | Breitbart https://t.co/yiZ0DUL67v</t>
  </si>
  <si>
    <t>U.S. Supreme Court Overturns Sports Gambling Ban.  This is YUGE!  https://t.co/3WiuHEPJ7r</t>
  </si>
  <si>
    <t>TRUMP FULFILLS YET ANOTHER CAMPAIGN PROMISE -- U.S. Opens Embassy in Jerusalem!</t>
  </si>
  <si>
    <t>Who is creepy porn lawyer Avenatti - used to run a coffee company &amp;amp; got sued for not paying for over $400,000 worth of coffee, plus his own lawfirm went bankrupt!  Creepy!</t>
  </si>
  <si>
    <t>RT @giambotta: @WiretappedL Yung abuela is gonna be OLD abuela if she's lucky...good lord hope she doesn't reproduce</t>
  </si>
  <si>
    <t>RT @ncwentz: @RealJamesWoods Isn’t Tweeter supposed to censor Yung Abuela for hateful speech?  Or was that Facebook?  I’m confused.</t>
  </si>
  <si>
    <t>@jack @twitter https://t.co/skBrkdxUDm</t>
  </si>
  <si>
    <t>RT @InfidelForever_: I can only think of one other place more appropriate than GTMO for Hillary Clinton, so for now, it will have to do.
#…</t>
  </si>
  <si>
    <t>Heather Nauert: "We had the opportunity to shake their hands (hostages released by N. Korea). We looked them straight in the eye and they said to us verbatim, 'God bless America. We are so proud to be Americans.'"</t>
  </si>
  <si>
    <t>Tomi Lahren on Jerusalem Embassy Dedication: Trump 'Delivered on His Promise' https://t.co/7aSc5HwBQg</t>
  </si>
  <si>
    <t>Former San Francisco Mayor Willie Brown Calls for End of Dems' Trump-Bashing: 'Might Need 12-Step Program' https://t.co/pl1UOsjl6X</t>
  </si>
  <si>
    <t>RT @JamesOKeefeIII: What exactly did Scott Foval mean when he said "we manipulated the vote with money and action"? Also, what did he mean…</t>
  </si>
  <si>
    <t>STUDY in Journal of Climate:  Impact of CO2 on climate exaggerated by at least 40%. #GlobalWarmingHoax</t>
  </si>
  <si>
    <t>Palestinians going ballistic (many died today) over Israel's moving their Embassy to Jerusalem today, only proves to the world how barbaric Palestine and the Islamist terrorists are!</t>
  </si>
  <si>
    <t>RT @Lake4963: Nunes, Gowdy accuse DOJ of launching anonymous attacks on congressional investigator via the @FoxNews App https://t.co/6h6HHO…</t>
  </si>
  <si>
    <t>Liberal profs are creating complacency and homogeneity of thought and ideas.  Diversity of Ideas, Dialogue, Thought, and Philosphy are no longer tolerated.  This is creeping communism, folks. Censorship is not 2B tolerated.</t>
  </si>
  <si>
    <t>Gerard Alexander, U of VA Professor said Elite Liberals aren't that intelligent - this can be seen in their condescending, arrogant tone towards those who hold opposing views.</t>
  </si>
  <si>
    <t>Facebook Suspends 200 Apps that May Have Misused User Data | Breitbart https://t.co/TsA6iV1uOB</t>
  </si>
  <si>
    <t>Google Betrays Anti-Breitbart Bias with 'Lying' Home Assistant Answer | Breitbart https://t.co/4JUFPqRd0e</t>
  </si>
  <si>
    <t>#ObamaLegacy --&amp;gt; is handing out medals to these 4 Democratic sexual perverts &amp;amp; predators. Joke's on us!  https://t.co/ZSQ6RlkQxL</t>
  </si>
  <si>
    <t>Limbaugh: Mueller's Investigation 'a Cover-up' of Obama DOJ, FBI Effort to Destroy Trump Presidency --&amp;gt; TIME TO ARREST ALL THE BASTARDS!  https://t.co/5oBXOrBddh</t>
  </si>
  <si>
    <t>"Andrew Sullivan can attempt to rewrite his own tribal &amp;amp; toxic history all he wants, but that he is a cruel, cold-blooded &amp;amp; hateful word-sadist is his true legacy. Sullivan’s sewer campaign &amp;amp; the political media that legitimized it — that was the Rubicon." https://t.co/YseuK7kSlA</t>
  </si>
  <si>
    <t>What made Andrew Sullivan's conspiracy of cruelty a breech, not only w/respect to political civility but in public trust of the MSM, is that despite his evidence-free attacks on Palin &amp;amp; Trig, he remained a member-in-good standing within the media establishment. #FakeNews</t>
  </si>
  <si>
    <t>Andrew Sullivan, leftist conspiracy nut wrote piece after piece beginning in 2008 presidential campaign &amp;amp; in a feverish act of breathtaking &amp;amp; carefully-plotted cruelty, Sullivan spent yrs spreading lies about Sarah Palin &amp;amp; her son Trig all in the hopes of undermining Palin</t>
  </si>
  <si>
    <t>THE LEFT --&amp;gt; because of identity politics, discussion became completely nonnegotiable, before we degenerated into tribal swarms of snark and loathing.  The Left Hates. The Left Doesn't Listen.</t>
  </si>
  <si>
    <t>Conspiracy Theorist Andrew Sullivan, Who Attacked Trig Palin, Calls for Civility https://t.co/mbd24wucGX via @BreitbartNews</t>
  </si>
  <si>
    <t>Exclusive: Oakland Mayor Libby Schaaf, Who Tipped Off Illegal Aliens to ICE Sweep, Faces Lawsuit -- ARREST THE LAWBREAKER!  https://t.co/zsvf3gMk1I</t>
  </si>
  <si>
    <t>RT @VP: And so today, let me assure you all… the United States of America will never allow Iran to obtain a nuclear weapon – that is our so…</t>
  </si>
  <si>
    <t>3 LIARS. https://t.co/dxx004QcfQ</t>
  </si>
  <si>
    <t>RT @RealKyleMorris: President Trump To Deliver Keynote At Gala Hosted By Anti-Abortion Group
https://t.co/YRoerPiuTt</t>
  </si>
  <si>
    <t>RT @StefanMolyneux: I can’t help but notice a profound difference between how Israel and the United States defend their respective borders.</t>
  </si>
  <si>
    <t>IF YOU HAVE SUGGESTIONS FOR THE PRESIDENT OR FEDERAL AGENCIES, Contact the White House here --&amp;gt; https://t.co/Z3RD6WCyUe</t>
  </si>
  <si>
    <t>GET WELL WISHES to the @FLOTUS for a speedy recovery!
❤️🧡💙💜</t>
  </si>
  <si>
    <t>RT @LadyRedStorm: May God Bless her &amp;amp; watch over our wonderful @FLOTUS as she heals! 
#GodBlessFLOTUS https://t.co/g6uBHaFlWk</t>
  </si>
  <si>
    <t>RT @LoriinUtah: Pompeo signals Trump seeking long-term agreement with North Korea's Kim, in summit. Trump will go into it with eyes wide op…</t>
  </si>
  <si>
    <t>RT @ZibaLady1: Dems are growing worried that the strong economy, and @POTUS's messaging about his #economic stewardship, will help #Republi…</t>
  </si>
  <si>
    <t>JOHN McCAIN's corruption of character dates back to the 80’s with the Keating 5 scandal that allowed his family to profit from the dealings of Charles Keating, while McCain was pressuring regulators to back off of him.</t>
  </si>
  <si>
    <t>RT @netanyahu: 🇮🇱🇺🇸 https://t.co/t7nbN53ISd</t>
  </si>
  <si>
    <t>RT @weeklystandard: Today in White House Watch: In the wake of America’s exit last week from the Iran nuclear deal, the agreement’s Europea…</t>
  </si>
  <si>
    <t>Not One Elected Dem Attends Jerusalem Embassy Ceremony -- BECAUSE DEMS ARE ANTI-AMERICAN, ANTI-ISRAEL ASSHOLES! https://t.co/r4JXDXGd0n via @dailycaller</t>
  </si>
  <si>
    <t>IT’S OFFICIAL: ‘Morning Joe’ Is Dead https://t.co/N97BIJ0cPo via @dailycaller</t>
  </si>
  <si>
    <t>Avenatti Accuses The Wrong Michael Cohens Of Making ‘Fraudulent’ Payments https://t.co/6eRQTNqmOw via @dailycaller</t>
  </si>
  <si>
    <t>Michael Avenatti Threatens To Sue Daily Caller News Foundation Reporters Personally For Digging Into His Past!  HaHaHa!  https://t.co/hJNL0ni4z9 via @dailycaller</t>
  </si>
  <si>
    <t>That One Time Al Franken Said He Doesn’t ‘Buy’ McCain Was A ‘War Hero’ https://t.co/eGuSTgId0b via @dailycaller</t>
  </si>
  <si>
    <t>With Avenatti In The Spotlight, His Own Questionable Past Emerges https://t.co/9o3Z3bKiJn via @dailycaller</t>
  </si>
  <si>
    <t>RT @RyanLizza: Here is the original article: https://t.co/fbjURxGkfG
It seems fair and well-reported to me. If there is something specific…</t>
  </si>
  <si>
    <t>RT @weeklystandard: “If publication of the DNC materials raises ethical issues, so too does the broader commonplace practice of publishing…</t>
  </si>
  <si>
    <t>RT @pamela_pmlpatt: @inittowinit007 @POTUS @realDonaldTrump @_America_First @PamB60 @LoriinUtah @TrumpTrainMRA4 @Sissy_USMC @lalaviealoha @…</t>
  </si>
  <si>
    <t>RT @President1Trump: #TRUEPATRIOT 🇺🇸 New York City man refuses judges order and continues to hang the American flag outside of his apartmen…</t>
  </si>
  <si>
    <t>OMAR NAVARRO is a DC outsider, has lived in CA-43 Inglewood, Hawthorne &amp;amp; Torrance. Omar's running against MAXINE WATERS b/c he wants to give the people of the 43rd an independent voice in Congress–not one beholden to special interests &amp;amp; career politicians. https://t.co/7IwO2MCS5X</t>
  </si>
  <si>
    <t>RT @TheTowerDotOrg: Today is a day of celebration -- the opening of the new U.S. embassy in Jerusalem. Jerusalem has been the capital of th…</t>
  </si>
  <si>
    <t>RT @RetProfessor: A victory of the Truth. This is so significant in light of the Palestinians’ onslaught, assisted by BDS, UN &amp;amp; the EU, on…</t>
  </si>
  <si>
    <t>#VoteOutMaxineWaters
Let's help @RealOmarNavarro beat Crazy Maxine Waters, who, BTW, belongs in an insane asylum.  Please donate to Omar's campaign.  He's getting support from all 50 states! #MAGA #VoteDemsOUT https://t.co/7IwO2MCS5X</t>
  </si>
  <si>
    <t>RT @downandloud: @RodStryker #MAGA 
get rid of these club members! https://t.co/NxY7sKWeHw</t>
  </si>
  <si>
    <t>VOTE for Omar Navarro in Maxine's District - CA-43.
#VoteDemsOUT  https://t.co/7IwO2MCS5X https://t.co/nmnB6AW0PU</t>
  </si>
  <si>
    <t>We all need to help @RealOmarNavarro to beat Crazy Maxine Waters, who belongs in an insane asylum.  Please donate to Omar's campaign.  He's getting support from all 50 states! #MAGA #VoteDemsOUT https://t.co/7IwO2MCS5X https://t.co/Dn4JPowJiJ</t>
  </si>
  <si>
    <t>I hate you @Costco for not honoring and defending our 2nd Amendment Rights.  You are what is wrong with America.  To hell with you!
#VoteDemsOUT https://t.co/OaRLjR0h0r</t>
  </si>
  <si>
    <t>ARREST all of these crooks! (I dream of a world without leftists and liberals!)
#VoteDemsOUT https://t.co/qzPU7s4FuP</t>
  </si>
  <si>
    <t>RT @birdman8272: Who is the worst liberal in Congress?
Please Vote and Retweet! 
You can only choose one.</t>
  </si>
  <si>
    <t>RT @realDonaldTrump: The so-called leaks coming out of the White House are a massive over  exaggeration put out by the Fake News Media in o…</t>
  </si>
  <si>
    <t>Once again, the farm bill is stuffed with food stamps --&amp;gt; TIME TO END FOOD STAMP PROGRAM!   https://t.co/ByatKWZ8Ia</t>
  </si>
  <si>
    <t>Mueller may have a conflict — and it leads directly to a Russian oligarch! #RussianCollusion by Mueller!  https://t.co/dewLP8xIo8</t>
  </si>
  <si>
    <t>How is this fair @KamalaHarris @SenFeinstein ??? https://t.co/3CwAQpPF2Q</t>
  </si>
  <si>
    <t>Zuckerberg needs to pay for his barbaric practices of CENSORSHIP &amp;amp; PRIVACY VIOLATIONS. https://t.co/NuLen1SqE8</t>
  </si>
  <si>
    <t>NOT A SINGLE DEMOCRAT!  Are they showing their true colors of being anti-Semitic? Ask Chuck Schumer... https://t.co/KyguAQco20</t>
  </si>
  <si>
    <t>RUMORS coming out of France that it's the worst Cannes Film Festival ever!  #GoodRiddance</t>
  </si>
  <si>
    <t>Schumer applauds Trump on moving US Embassy to Jerusalem! #MAGA https://t.co/ia2HlAyPTT</t>
  </si>
  <si>
    <t>Instead of taking his salary, PRESIDENT TRUMP donated all $400,000 to the Dept of the Interior where it will be used for construction &amp;amp; repair needs at military cemeteries!  It's so great to have a President who loves our brave military men &amp;amp; women so much! #MAGA #VoteDemsOUT</t>
  </si>
  <si>
    <t>There are 110 fewer employees on WH staff under Trump than under Obama at this pt in their presidencies; 19 fewer staffers are dedicated to The First Lady (FLOTUS). Currently, there are 5 staffers dedicated to Melania Trump vs. 24 staffers who served Michelle Obama (FY2009).</t>
  </si>
  <si>
    <t>When You Choose Life, You Create a Mother https://t.co/KFAgDAFPDy</t>
  </si>
  <si>
    <t>Tamron Hall and Al Roker, the hosts who previously had Megyn Kelly's time slot, made less than half of Kelly's salary with higher ratings.</t>
  </si>
  <si>
    <t>RT @ARedPillReport: .@DiamondandSilk: "We all know the real history about the Democratic Party. How they were the party of the KKK. How the…</t>
  </si>
  <si>
    <t>Hillary blames superficial voters for making her spend 600 ‘exhausting’ campaign hours doing hair, makeup. WTF?  https://t.co/coe1GzqmmI via @american_mirror</t>
  </si>
  <si>
    <t>McCAIN, like Benedict Arnold was also a war hero. Had Arnold died from his wounds, he'd hv gone down as a great general/hero talked about in schools today. But he lived &amp;amp; like McCain, b/c he felt he was slighted by DC, turned on his country &amp;amp; became biggest traitor in US history.</t>
  </si>
  <si>
    <t>Later McCAIN turned on Pres Bush, voting against both his tax cuts &amp;amp; joined Dems on what seemed to be all the domestic issues like healthcare, auto emission standards, gun control, climate change &amp;amp; open borders.
McCain is no conservative.</t>
  </si>
  <si>
    <t>JOHN McCAIN's corruption of character dates back to the 80’s with the Keating Five scandal that allowed his family to profit from the dealings of Charles Keating, while McCain was pressuring regulators to back off of him.</t>
  </si>
  <si>
    <t>McCAIN has done more to side with Democrats on policies against this country than any other Republican, and all to the detriment of the country.
https://t.co/1f6ZMIktLn</t>
  </si>
  <si>
    <t>JOHN McCAIN in his last days, has decided he no longer wants to be remembered for the war hero he was, but as a turncoat against his country. A ‘Demeny’ of the people. 
https://t.co/EwrYQdUsN1</t>
  </si>
  <si>
    <t>Trump Successes Only Denied by the Increasingly Irrational | https://t.co/PKZvp8X8Ca https://t.co/xh6Hq8FQZo via @Newsmax</t>
  </si>
  <si>
    <t>Trump Delivers 'Yuge' Victory for the Sick and Elderly | https://t.co/PKZvp8X8Ca https://t.co/bRqSiztbpY via @Newsmax</t>
  </si>
  <si>
    <t>TRUMP PLAN 2 LOWER DRUG PRICES moves some drugs from Medicare Part B to Part D &amp;amp; puts more power in hands of private sector actors who can negotiate directly w/pharmaceutical mfrs on drug prices, a proven model used for years to help keep drugs prices low 4 their clients.</t>
  </si>
  <si>
    <t>Trump Delivers 'Yuge' Victory for the Sick and Elderly --&amp;gt; Lower Drug Prices are Coming!  https://t.co/clIr9ij6uj</t>
  </si>
  <si>
    <t>Violence, Gangs Moving to Rural Areas, Closer to Customers --&amp;gt; ALL THE MORE REASON TO OWN A GUN &amp;amp; GET TRAINING.  https://t.co/7gFS4vinnX</t>
  </si>
  <si>
    <t>Mark Alexander: Democrat Hypocrisy for Just $25 — The Patriot Post https://t.co/BrEPxEPm9J</t>
  </si>
  <si>
    <t>Police find large weapons cache in Waikiki raid prompted by disturbing online posts https://t.co/zlhcvJ9hOW</t>
  </si>
  <si>
    <t>WikiLeaks Vault 7 Releases CIA Documents Showing How Agency Obscures Hacking Origins.
https://t.co/aau26qZSD9</t>
  </si>
  <si>
    <t>RT @michellebullet1: Wikileaks Vault 7 releases show that Trump should go after Crooks in the CIA https://t.co/KrDZxvGo42</t>
  </si>
  <si>
    <t>RT @varepall: Green Beret livestreams himself being waterboarded to support Gina Haspel's nomination as CIA director https://t.co/BeGIPYFQm…</t>
  </si>
  <si>
    <t>Let's take control of these anti-Americans, and #VoteDemsOUT of office! https://t.co/e0cDFrsA9z</t>
  </si>
  <si>
    <t>RT @rockynickydog: Developing: Brennan With Strzok And John Kerry Worked To Set Up Russian Espionage Traps For Minor Players In Trump Camp…</t>
  </si>
  <si>
    <t>@KamalaHarris cares more about the terrorists that caused this to happen.  Democrats are bent on taking our rights away: free speech, religion, gun rights. #VoteDemsOUT https://t.co/YpJofgAoPj</t>
  </si>
  <si>
    <t>I was done with SNL about 20 years ago.  Not funny, IMO. https://t.co/UxHTsTXHUz</t>
  </si>
  <si>
    <t>CA-36 COACHELLA VLY --&amp;gt; We have an oppty to take the district back by uniting behind Kimberlin Brown Pelzer – a philanthropist, small businesswoman employing over 100 Californians, actress, mother and wife. https://t.co/ZkWTkUFGZO</t>
  </si>
  <si>
    <t>RT @charliekirk11: You ever hear of Democrat privilege?
It means you can commit crimes without going to jail
Like Hillary selling our ura…</t>
  </si>
  <si>
    <t>Dick Morris:  #RedWave Coming, It's the Blood of the Democratic Party. #VoteDemsOUT https://t.co/JCWvmyCmrW</t>
  </si>
  <si>
    <t>WATCH: Woman Shoots Down Thug Within Seconds!   https://t.co/R7Zt1Oxwj5</t>
  </si>
  <si>
    <t>There's a Conservative Revolt Happening in California --&amp;gt; Dems Have Destroyed California. Poverty &amp;amp; Homelessness are Up, Education is Worst in Nation.  #VoteDemsOUT https://t.co/5Xz5h0ojNk</t>
  </si>
  <si>
    <t>BEWARE: Americans May Face International Gun Control. https://t.co/dslZe15uai</t>
  </si>
  <si>
    <t>RT @favoriteauntssi: Terrorist was ON A WATCH LIST
https://t.co/t8uR7b7IoZ</t>
  </si>
  <si>
    <t>And it’s rather weird that community organizer Vargas is willing to blame a culture of American patriarchalism for violence, rather than looking to the cultures in high-crime areas of all races—cultures that eschew education, fatherhood &amp;amp; promote chest-thumping masculinity.</t>
  </si>
  <si>
    <t>3rd, it’s lack of men in homes that’s leading to crime in particular areas — single motherhood is one of the leading indicators of criminality amongst young men.</t>
  </si>
  <si>
    <t>Leftist commmunity organizer blames "patriarchy" for violent crime &amp;amp; mass shootings. 1st - Violent crime rates have been in consistent decline for decades. 2nd - men constitute most violent criminals in every known society, no matter how feminist those societies.</t>
  </si>
  <si>
    <t>CNN Columnist: Violence Is On The Rise Because Of The Patriarchy. Here's Why That's Idiotic.  https://t.co/fVXK4gzP7U</t>
  </si>
  <si>
    <t>Yes, The U.S. Leads All Countries In Reducing Carbon Emissions via @forbes https://t.co/AIuT2eiSSd</t>
  </si>
  <si>
    <t>TRUMP &amp;amp; GOP cannot possibly be fascist b/c FASCISM &amp;amp; NAZISM are ideologies of the Left. There are startling parallels between 20th c. Fascism &amp;amp; Nazism and 21st c. Progressivism (Left, Democrats). #VoteDemsOUT</t>
  </si>
  <si>
    <t>RT @JoeFreedomLove: ‘Fox &amp;amp; Friends’ Host Calls France’s Terror Problem A ‘Slow-Motion 9/11’ https://t.co/rjh4kmm9Vl via @dailycaller</t>
  </si>
  <si>
    <t>He was asking for it! https://t.co/S3aWNUcv7a</t>
  </si>
  <si>
    <t>MSNBC is now advocating violence against women. OUTRAGE GROWS! MSNBC Advertisers Targeted After Unhinged Host Promotes Strangling Sarah Huckabee Sanders --- CALL TODAY! https://t.co/xJn2tqhe7E via @gatewaypundit</t>
  </si>
  <si>
    <t>OUTRAGE GROWS! MSNBC Advertisers Targeted After Unhinged Host Promotes Strangling Sarah Huckabee Sanders --- CALL TODAY! https://t.co/xJn2tqhe7E via @gatewaypundit</t>
  </si>
  <si>
    <t>SEKULOW: Deep State Admitted to Having 16 MORE PAGES of Clinton-Lynch Tarmac Meeting Docs That it Will be Forced to Turn Over by Month End https://t.co/9WJKnyg6E0 via @gatewaypundit</t>
  </si>
  <si>
    <t>Former Secret Service Agent: I Believe There Was MORE THAN ONE Deep State Source Inside Trump Campaign (VIDEO) https://t.co/4C074USDeY via @gatewaypundit</t>
  </si>
  <si>
    <t>WHAT A DISGRACE! Special Counsel Mueller Charged Russian Company Not in Existence at Time of Charge! https://t.co/4l8Q23cfn4 via @gatewaypundit</t>
  </si>
  <si>
    <t>'Melania' Jumps 720 Spots in Popularity Among Baby Girls' Names https://t.co/383DiSeIxU via @gatewaypundit</t>
  </si>
  <si>
    <t>JOHN KERRY Continues Shadow Diplomacy -- Pictured Leaving Meeting with Iranian Officials in Paris ...Update: NOT John's 1st Secret Mtg in Paris https://t.co/fa4Rt3FKjK via @gatewaypundit</t>
  </si>
  <si>
    <t>Former UK Counter Terrorism Detective Superintendent Takes to Twitter to Bully Mother of Julian Assange https://t.co/LfK90ZdXms via @gatewaypundit</t>
  </si>
  <si>
    <t>Mueller Investigates-Harasses US Citizens Who Legally Donated to Trump's Inauguration -- SHUT IT DOWN! https://t.co/69p6Zx0tPS via @gatewaypundit</t>
  </si>
  <si>
    <t>SARA CARTER: Identity of the Second FBI Agent Who Ambushed General Flynn Revealed 'He Knows What McCabe's Role Was in All of It' https://t.co/VFQvU9GtK0 via @gatewaypundit</t>
  </si>
  <si>
    <t>Victor Orban and Hungary Block EU Motion to Condemn Trump for Moving Embassy to Jerusalem https://t.co/x2Q9yCIYHl via @gatewaypundit</t>
  </si>
  <si>
    <t>ISIS Claims Responsibility For Deadly Paris 'Allahu Akbar!' Knife Attack https://t.co/ny4hQ0HkwK via @gatewaypundit</t>
  </si>
  <si>
    <t>Philadelphia Election Worker Pleads Guilty To Intimidating Voters Who Didn’t Want To Vote For Democrats https://t.co/xaia8wS0oK via @gatewaypundit</t>
  </si>
  <si>
    <t>Corrupt Obama Appointed Deep State Judge Amy Berman Jackson Should be Removed or Impeached for Actions Against Paul Manafort https://t.co/APjRKoGkXz via @gatewaypundit</t>
  </si>
  <si>
    <t>TRUMP #MAGA Kippahs Are Flying Off the Shelves in Jerusalem's Jewish Market Before US Embassy Grand Opening https://t.co/QA4VKFzb2p via @gatewaypundit</t>
  </si>
  <si>
    <t>Mueller's House of Cards Is Falling=&amp;gt; Michael Flynn's Brother Says New Information Was Hidden From Brother, Changes Everything https://t.co/W3KIxPex4l via @gatewaypundit</t>
  </si>
  <si>
    <t>Happy Mother's Day 2018 https://t.co/XMEq3m3kK1 via @gatewaypundit</t>
  </si>
  <si>
    <t>Rep Darrell Issa: FBI and DOJ are "Lying Through Their Teeth" to Congress and Lied to Spy on Trump (VIDEO) https://t.co/1CovcQHi61 via @gatewaypundit</t>
  </si>
  <si>
    <t>OH BOY! Iranian Regime Threatens to Release Names of Western Officials Who Took Bribes to Pass Nuke Deal https://t.co/PUqquPSteB via @gatewaypundit</t>
  </si>
  <si>
    <t>PHOTOS EMERGE of Iranian Officials Who Met Secretly With John Kerry in Paris on Saturday -- One Is Identified https://t.co/RatfDZeAhU via @gatewaypundit</t>
  </si>
  <si>
    <t>RT @gatewaypundit: BOOM----&amp;gt;  PHOTOS EMERGE of Iranian Officials Who Met Secretly With John Kerry in Paris on Saturday -- One Is Identified…</t>
  </si>
  <si>
    <t>NO FREEBIES FOR ILLEGALS. 
#VoteDemsOUT https://t.co/VsRzXEcbNL</t>
  </si>
  <si>
    <t>Watch wealthy move to another, lower-tax state.  People walk with their feet just like they're doing in California.  Over 1 million middle class people have left the state in the past decade.  CA ranks #1 in poverty &amp;amp; homelessness. https://t.co/BHmPgc5HRZ</t>
  </si>
  <si>
    <t>That's because LIBERALS ARE HATERS.  They hate America and those that love this country and the principles it was founded upon! #MAGA #VoteDemsOUT https://t.co/8IMbAtcmCC</t>
  </si>
  <si>
    <t>RT @SilverFoxOO7: TRUMP #MAGA Kippahs Are Flying Off the Shelves in Jerusalem's Jewish Market Before US Embassy Grand Opening https://t.co/…</t>
  </si>
  <si>
    <t>RT @RedNationRising: .@DarrellIssa: "I once sat in the Capitol with @EricHolder as he told me there were only 200-some documents and he wou…</t>
  </si>
  <si>
    <t>Lisa Page text to Peter Strzok (Sep. 02, 2016): 
“potus wants to know everything we’re doing.” 
potus = President of the United States—Barack H. Obama.</t>
  </si>
  <si>
    <t>FBI's Strzok &amp;amp; Page discussed then-AG Loretta Lynch knowing that Clinton would not face charges—before the FBI had interviewed Hillary Clinton &amp;amp; before her announcement that she would accept Director Comey’s prosecution decision. #Traitors</t>
  </si>
  <si>
    <t>In their text messages to each other, FBI agents Strzok and Page discussed serving to “protect the country from the menace” of Trump “enablers,” &amp;amp; the possibility of an “insurance policy” against the “risk” of a Trump presidency, prior to the 2016 election. #Traitors</t>
  </si>
  <si>
    <t>Strong evidence that Barack Obama interfered directly in the 2016 election, engaged in racketeering, committed treason and obstructed justice using the FBI. https://t.co/5CDw416KZt</t>
  </si>
  <si>
    <t>On Dec. 30, 2017, Ben Shields lays out succinctly the facts proving that Mark Zuckerberg did not invent Facebook, but Michael McKibben, founder of Leader Technologies, Inc. did.
https://t.co/3VRASfzb7x</t>
  </si>
  <si>
    <t>On 12/18/17 President Trump spoke on the Admin’s Natl Security Strategy. WH calls for cutting taxes &amp;amp; rolling back unnecessary regs, for trade based on principles of fairness &amp;amp; reciprocity &amp;amp; firm action against unfair trade practices &amp;amp; intellectual property theft.</t>
  </si>
  <si>
    <t>RT @SandraTXAS: Happy #MothersDay Melania Trump !!
Never has a First Lady been so persecuted by press, 
yet she carries on with grace and…</t>
  </si>
  <si>
    <t>PARIS KNIFE ATTACK --&amp;gt; Parents, friend of Chechnya-born Paris attacker questioned. We must stop the Progressive LEFT!  They are destroying the world with their radicalism!   https://t.co/wKkMuLR52X</t>
  </si>
  <si>
    <t>It's why I urge everyone to #VoteDemsOUT! https://t.co/VQOjBVy21c</t>
  </si>
  <si>
    <t>Progressives, aka the Left,  want progress towards greater centralized power under federal control.  Progs are happiest when they are running things and they despise "state's rights." #VoteDemsOUT</t>
  </si>
  <si>
    <t>The LEFT in America, aka Progressives, want a powerful centralized federal govt that implements leftist values and is controlled by the Left.
It's why we must #VoteDemsOUT</t>
  </si>
  <si>
    <t>"Normal Americans, law abiding citizens, don’t commit or condone violence with firearms. They are a tool, they’re not sentient. The problem is mental illness, please focus on the real issue, do something worthwhile &amp;amp; address mental illness." -JT</t>
  </si>
  <si>
    <t>PITT: Rather than pushing 4 more gun control, why don’t we focus on raising awareness &amp;amp; teach children to respect life &amp;amp; be honest about their mental health?  Criminals will always find a way, so disarming millions of law-abiding gun owners is not the solution to the problem.</t>
  </si>
  <si>
    <t>BRAD PITT: US has had guns since the beginning of its existence, &amp;amp; it has not been until recently, that frequent shootings have become an issue.
The majority of the shooters hv had some kind of medical problem or were under the influence, so the weapons are not the issue.</t>
  </si>
  <si>
    <t>RT @geoff_deweaver: Freedom Caucus Chairman Meadows Calls for Full Financial Audit of Mueller Probe https://t.co/OVwr8ecMyQ via @WestJourna…</t>
  </si>
  <si>
    <t>RT @RNRFlorida: #HappyMothersDay - to Mom, the Original Seat Belt. 
#MothersDay 
#MothersDayWeekend 
#RedNationRising 
#MAGA #CCOT https:/…</t>
  </si>
  <si>
    <t>Isn't it time for CNN to go bankrupt and end TV broadcasting?  Their ratings are in the gutter, and after spewing non-stop #FakeNews agenda of theirs to destroy Trump -- they can no longer be considered a credible news station.</t>
  </si>
  <si>
    <t>RT @AMike4761: CNN is on the brink of collapse, with its May ratings free-falling a staggering 20 percent, according to figures released th…</t>
  </si>
  <si>
    <t>RT @charliekirk11: Trump accomplished more this week than Obama did in 8 years 
3.9% unemployment 
Captured top 5 ISIS leaders 
North Ko…</t>
  </si>
  <si>
    <t>RT @freedom_moates: The San Bernardino County Sheriff's Department is under scrutiny for posting a photo of a Deputy praying before his shi…</t>
  </si>
  <si>
    <t>It is clear that the Deptof Justice, &amp;amp; specifically the FBI, even now have top brass making decisions that must be outed, removed, and if necessary—charged. https://t.co/Hdaa9Rgh2i</t>
  </si>
  <si>
    <t>It Is Time For John McCain to Retire https://t.co/Gias4QQXUW</t>
  </si>
  <si>
    <t>Why Did the FBI Spy on Trump and/or Lie to Congress?  #VoteDemsOUT  https://t.co/Hdaa9Rgh2i</t>
  </si>
  <si>
    <t>Another Conservative Revolt in California: The State of Jefferson. 
 #VoteDemsOUT  https://t.co/5Xz5h0ojNk</t>
  </si>
  <si>
    <t>Nancy Pelosi: We're Raising Taxes When We Win | Breitbart https://t.co/Yapd0ZgLjr</t>
  </si>
  <si>
    <t>Candace Owens Tells Planned Parenthood Murdering Black Babies Is Not ‘Healthcare’ https://t.co/G1nVrCJ861</t>
  </si>
  <si>
    <t>Kudlow: Trump Economic Victories Will Play 'Huge Role' in 2018 Races | Breitbart https://t.co/svEOGHpT4e</t>
  </si>
  <si>
    <t>SNL’s 'Weekend Update' Reluctantly Admits Trump Had a Good Week | Breitbart https://t.co/vpuTKs0oaT</t>
  </si>
  <si>
    <t>RUSH LIMBAUGH --&amp;gt; Mueller's Investigation is 'a Cover-up' of Obama DOJ, FBI Effort to Destroy Trump Presidency. #DrainTheSwamp #VoteDemsOUT  https://t.co/5oBXOrBddh</t>
  </si>
  <si>
    <t>DAVID BROOKS: while he has mixed views on whether withdrawing from the Iran deal was the right move, with Obama, the argument he made for it, which was that Iran would moderate &amp;amp; become a more familiar member of the company of nations, has turned out to be clearly False.</t>
  </si>
  <si>
    <t>David Brooks: 'We're in a Better Situation with North Korea' - Maybe Trump Understands Thugs Better Than People with Good SAT Scores.  https://t.co/eIMmElUf6h via @BreitbartNews</t>
  </si>
  <si>
    <t>Midterms 2018: Republicans sense signs that blue wave can be broken https://t.co/fJfteJiQ6H via @YahooNews</t>
  </si>
  <si>
    <t>Paul Ryan says Trump will be an asset for Republicans https://t.co/AfY0cuV5Pu via @YahooNews</t>
  </si>
  <si>
    <t>Ex-Senator who called for gun control gets 5 years in prison for weapons trafficking.   https://t.co/FVujRx6pnh</t>
  </si>
  <si>
    <t>RT @bbusa617: https://t.co/Zihf9qOJOi
FORMER 👉 "DEMOCRAT"👈 CALIFORNIA SENATOR &amp;amp; BIG GUN CONTROL ADVOCATE Gets 5 Years In Prison For Gun Ru…</t>
  </si>
  <si>
    <t>RT @realDonaldTrump: Happy Mother’s Day!!! https://t.co/zw71dnT7TJ</t>
  </si>
  <si>
    <t>RT @w_terrence: Happy Mother’s Day to the beautiful lady that adopted me. Not too many people adopt teenage boys especially if they already…</t>
  </si>
  <si>
    <t>RT @merc20171: @kelly_but  https://t.co/NKhkb5BNef</t>
  </si>
  <si>
    <t>RT @RealErinCruz: Yes... I am now a #NRALifeMember 🇺🇸 #MAGA</t>
  </si>
  <si>
    <t>RT @IvankaTrump: I am honored to join the delegation representing @POTUS, his Admin &amp;amp; the American people at this momentous ceremony commem…</t>
  </si>
  <si>
    <t>RT @FoxNews: .@charliekirk11: “A young person voting for a Democrat is like a chicken voting for Colonel Sanders.” https://t.co/dAwiuRKoUB</t>
  </si>
  <si>
    <t>RT @pollsofpolitics: In your Opinion what Grade does @realDonaldTrump deserve for job performance as @POTUS??
Vote and retweet to spread p…</t>
  </si>
  <si>
    <t>RT @RealCandaceO: Race is a business—don’t you ever forget that. People like Al Sharpton, Maxine Waters, and Jesse Jackson are the top exec…</t>
  </si>
  <si>
    <t>The Great Greitens Railroading https://t.co/Ds5hQlt2cV</t>
  </si>
  <si>
    <t>SOROS funding DA races across the country so they can bring fake charges against GOP candidates, to damage them politically even if they don't win.</t>
  </si>
  <si>
    <t>It's criminalization of politics, something Left's been doing for yrs. Launching bogus charges against Republicans Tom Delay, Ted Stevens, Rick Perry, Scott Walker, Joe Arpaio, Ken Paxton. Prosecutors weren't even int'd in winning so much as in damaging the accused politically</t>
  </si>
  <si>
    <t>Soros has been buying up district attorneys by the gross. Soros has meddled in DA races in San Diego, San Antonio, Houston, Philadelphia, Portsmouth, Va. and a host of other places. Why is he doing this?</t>
  </si>
  <si>
    <t>Newly elected St. Louis Circuit Atty Kimberly Gardner, who was active in Ferguson protests was heavily subsidized by George Soros. In fact, her campaign 4 circuit atty rec'd &amp;gt;$190k from Soros-funded grps.  Note that Soros funded the riots in Ferguson to the tune of $33 million.</t>
  </si>
  <si>
    <t>Eric Greitens was a Democrat. This must be understood if one is to make any sense out of what is happening in the Soros-funded coup in Missouri. 
https://t.co/dt6vghWflq</t>
  </si>
  <si>
    <t>The Asinine Coup --&amp;gt; #VoteDemsOUT https://t.co/J5X7bHomGi</t>
  </si>
  <si>
    <t>The Liberal Lust for 'Infinity Stones' https://t.co/gHksZDDlnY</t>
  </si>
  <si>
    <t>The DNC's Blame Shift  --&amp;gt;  #VoteDemsOUT https://t.co/KJiPB8UumX</t>
  </si>
  <si>
    <t>Senator Grassley appears to be preparing to bust the frame-up of General Flynn https://t.co/XaK0oLUWVP</t>
  </si>
  <si>
    <t>Kanye West and Candace Owens: The Russian troll farm's biggest nightmare https://t.co/AEO7QnYvbl</t>
  </si>
  <si>
    <t>Under the update, federal prisons will only use biological sex for the basis of facilities &amp;amp; bathroom assignments.  POLICY BASED ON SCIENCE, NOT FEELINGS. Makes sense.</t>
  </si>
  <si>
    <t>GRAPHIC -- Mexican Cartel Dismembers, Dumps Six Victims near Texas Border --&amp;gt; THIS IS WHY MEXICO IS LOSING ALL THEIR TOURISM DOLLARS!  https://t.co/1ZkySDdYws</t>
  </si>
  <si>
    <t>L.A. Times Endorses Antonio Villaraigosa for Governor ---&amp;gt; HaHaHa LEFTIST GAVIN NEWSOM can't even get the support of the LA Times!  TO SAVE CALIFORNIA from HIGHER GAS PRICES &amp;amp; HIGHER TAXES &amp;amp; MORE HOMELESS &amp;amp; MORE POVERTY --&amp;gt; #VoteDemsOUT https://t.co/TulOnJKL78</t>
  </si>
  <si>
    <t>Frank Gaffney: World's Christians Facing 'Bleak Future' Without U.S. Christians' Support https://t.co/5pVOCNi7Qm</t>
  </si>
  <si>
    <t>Under Trump Era, Islamic State Downgraded from 'Caliphate' to Shrinking Terror Pockets. #Winning #MAGA #VoteDemsOUT #ObamaErased https://t.co/cjIDvNPImp</t>
  </si>
  <si>
    <t>Is it me, or is Amal Clooney grotesquely over made up like a unibrow cartoon character??? https://t.co/SUiGA2QCPx</t>
  </si>
  <si>
    <t>RT @PolitixGal: 3 President before Trump all promised the same thing.  Only President Trump delivered on that promise!  #MAGA #VoteDemsOUT…</t>
  </si>
  <si>
    <t>Dem. Senator Donnelly says he'll vote to confirm Gina Haspell as new CIA Director. Hitching a ride on the Trump train right at election time. Another Democrat swamp critter trying to survive. #RedWave</t>
  </si>
  <si>
    <t>Democrat Sen. Donnelly Announces Support For CIA Nominee Haspel - https://t.co/QFxDb53C2E</t>
  </si>
  <si>
    <t>New U.S. Treasury Sanctions to Curb Iran’s Export of ‘Islamic Revolution’ - https://t.co/NDXCErcetc</t>
  </si>
  <si>
    <t>3 President before Trump all promised the same thing.  Only President Trump delivered on that promise!  #MAGA #VoteDemsOUT https://t.co/aOki1nXawK</t>
  </si>
  <si>
    <t>RT @John_KissMyBot: More Winning👉 President Trump announced Friday that his administration is taking “sweeping action” to lower the price o…</t>
  </si>
  <si>
    <t>RT @USAHotLips: 🤣🤣”And are we arraigning them as well?"
"We're not," Dubelier responded. "And the reason for that, Your Honor, is I think…</t>
  </si>
  <si>
    <t>RT @President1Trump: #BREAKING: Mystery solved of viral video showing an unspeakable act of child abuse! She was shown kicking an infant in…</t>
  </si>
  <si>
    <t>RT @PolitixGal: HAHA Obama &amp;amp; his anti-American policies have been erased!
Real leadership now lives in the White House.  #Trump2020
#VoteDe…</t>
  </si>
  <si>
    <t>RT @OANN: Pres. Trump Approves Financial Aid for Hawaii Over Volcanic Eruption - https://t.co/z753Vo0znA #OANN https://t.co/teNGmDGAM9</t>
  </si>
  <si>
    <t>RT @KlowdTelevision: Tune into Today and Sunday on @OANN for the truth on Syria with @JackPosobiec and @CarlaOrtizO at 11am/2pm PST and 2pm…</t>
  </si>
  <si>
    <t>RT @OANN: Former FBI Director Comey Refuses to Testify at Upcoming Senate Hearing - https://t.co/Xi4lKEeEP8 #OANN https://t.co/11lQ7imsWH</t>
  </si>
  <si>
    <t>Disgraced former FBI Director James Comey declines to participate in an upcoming closed-door Senate hearing on alleged Russian election meddling. https://t.co/ZRg33tVEyt</t>
  </si>
  <si>
    <t>Comey the Chicken --&amp;gt; refusing to tell us the truth!
#ArrestComeyforTreason https://t.co/TacAtRLHhH</t>
  </si>
  <si>
    <t>RT @OANN: Democrat Sen. Donnelly Announces Support For CIA Nominee Haspel - https://t.co/4TSJMktv64 #OANN https://t.co/Hra815j6xJ</t>
  </si>
  <si>
    <t>RT @OANN: If your news network has to tell you the difference between an apple &amp;amp; a banana, you need to switch networks. #OANN https://t.co/…</t>
  </si>
  <si>
    <t>OANN does a terrific job of reporting top news stories from around the globe.  No propaganda like on CNN, MSNBC etc. --&amp;gt; Just news!  Tune in!
One America News Network @OANN</t>
  </si>
  <si>
    <t>RT @realDonaldTrump: The highly anticipated meeting between Kim Jong Un and myself will take place in Singapore on June 12th. We will both…</t>
  </si>
  <si>
    <t>Another awesome #MAGA rally!  Love you Indiana!
#VoteDemsOUT https://t.co/Lzha5EPc0b</t>
  </si>
  <si>
    <t>RT @realDonaldTrump: Today, my Administration is launching the most sweeping action in history to lower the price of prescription drugs for…</t>
  </si>
  <si>
    <t>RT @realDonaldTrump: The American people deserve a healthcare system that takes care of them – not one that takes advantage of them. We wil…</t>
  </si>
  <si>
    <t>RT @realDonaldTrump: Big week next week when the American Embassy in Israel will be moved to Jerusalem. Congratulations to all!</t>
  </si>
  <si>
    <t>MSM does not care about news or facts, just fake news &amp;amp; propaganda.  They hate America and are doing everything to destroy our values, our democratic institutions, and never telling America the truth....about anything! They won't even tell us the truth about Obama. https://t.co/s52piXxqkh</t>
  </si>
  <si>
    <t>RT @realDonaldTrump: North Korea has announced that they will dismantle Nuclear Test Site this month, ahead of the big Summit Meeting on Ju…</t>
  </si>
  <si>
    <t>RT @realDonaldTrump: Iran’s Military Budget is up more than 40% since the Obama negotiated Nuclear Deal was reached...just another indicato…</t>
  </si>
  <si>
    <t>Then, fellow patriots, conservatives and concerned Americans --&amp;gt; we need to #VoteDemsOUT so that Congress can get to work! https://t.co/1ysG73QDub</t>
  </si>
  <si>
    <t>EXTORTION PLOT: Disgraced former NY Atty Gen Eric Schneiderman may have wanted to unseat President Trump from the WH to help keep his alleged sexual assault of women a secret, according to new shocking court documents.  https://t.co/4KtpBgsseJ</t>
  </si>
  <si>
    <t>RT @true_pundit: EXTORTION PLOT: Women Sexually Assaulted by Schneiderman Turned to Trump &amp;amp; Cohen in 2013; Then Schneiderman Targeted Trump…</t>
  </si>
  <si>
    <t>RT @paul_serran: #QAnon #TheStorm #GreatAwakening #WWG1WGA #IBOR #OIGReport 
(26) POTUS celebrates the judicial troubles that the "13 Angr…</t>
  </si>
  <si>
    <t>RT @1Romans58: For all those calling Trump stupid, or accuse him of being an idiot.
Trump is a Billionaire, who is married to a super mode…</t>
  </si>
  <si>
    <t>RT @davis1988will: The great @STEPHMHAMILL shows us how North Korea hostage releases was a HUGE win for President Trump and a loss for the…</t>
  </si>
  <si>
    <t>RT @starcrosswolf: If Papadopoulos is the spy in the Trump campaign, A LOT of people are go to jail, Mueller included. Papadopoulos, had be…</t>
  </si>
  <si>
    <t>HAHA Obama &amp;amp; his anti-American policies have been erased!
Real leadership now lives in the White House.  #Trump2020
#VoteDemsOUT https://t.co/iy0OvuInIA</t>
  </si>
  <si>
    <t>RT @GrizzleMeister: Extremely patriotic message delivered by Supreme Court Justice Clarence Thomas in a commencement speech at Christendom…</t>
  </si>
  <si>
    <t>RT @USNINews: Mattis: U.S. Left Nuclear Deal Due to Iranian Military Aggression, Missile Testing
https://t.co/uYdJbsK7GD https://t.co/5Qin…</t>
  </si>
  <si>
    <t>Tim Allen's 'Last Man Standing' Revived at Fox Year After ABC Canceled It!  #Winning #VoteDemsOUT https://t.co/DbwKqfwGQv</t>
  </si>
  <si>
    <t>Amal Clooney Rips Trump for Press Criticism: 'The Media Is Under Attack' -- WHENEVER MEDIA LIES, THEY SHOULD GET THEIR ASSES HANDED TO THEM!  https://t.co/SUiGA2QCPx</t>
  </si>
  <si>
    <t>Gaetz: 'Very Embarrassing' for Left, Media That Dennis Rodman Conducted More N Korea Diplomacy Than Obama | Breitbart https://t.co/y4gRwCTC3I via @BreitbartNews</t>
  </si>
  <si>
    <t>Dems Ponder How to Run Against Improving Economy...  WHICH MEANS THEY ADMIT THAT THE TRUMP TAX CUTS &amp;amp; streamlining of excessive strngling regulations is having an outstanding effect on our growing economy!  Only alternative is to #VoteDemsOUT</t>
  </si>
  <si>
    <t>With the summer spike in gasoline prices coming, CALIFORNIANS (especially workers, seniors &amp;amp; the poor) are getting screwed by DEMOCRATS once again!  Candace Olsen is right!  Time to leave the Democrat Plantation!  #VoteDemsOUT</t>
  </si>
  <si>
    <t>Kimmel in a recent interview admitted to one thing --&amp;gt; people are getting tired of Trump bashing jokes.  YES INDEED!
#VoteDemsOUT</t>
  </si>
  <si>
    <t>HILLARY CLINTON repeats lies about the Convention of States!
#ArrestHillary #VoteDemsOUT
https://t.co/1M7Ay2RVOx</t>
  </si>
  <si>
    <t>Hillary Clinton fearmongers about a Convention of States, Mark Levin takes her DOWN
https://t.co/Atd3QG9wQO</t>
  </si>
  <si>
    <t>Can LOW IQ dummies at @CNN @ABC @MSNBC really be that ignorant and not celebrate the release of 3 hostages from North Korea? They should be ashamed of themselves! https://t.co/yC7UHJJwoC …</t>
  </si>
  <si>
    <t>RT @SarahPalinUSA: Wow...just wow. https://t.co/IBPgJia7hX</t>
  </si>
  <si>
    <t>#OmarNavarro to defeat "Mad" Maxine Waters!
#VoteDemsOUT https://t.co/PpqvHWXdpN</t>
  </si>
  <si>
    <t>RT @RealCandaceO: LOVE this article. And thank you @TheOfficerTatum for not letting the cat out of the bag for what we have planned next.…</t>
  </si>
  <si>
    <t>RT @jeepsuzih2: We Love Our @FLOTUS 
Retweet if U Love OUR FOREVER FIRST LADY 😁🇺🇸❤🇺🇸 https://t.co/3wiQmpHGNU</t>
  </si>
  <si>
    <t>RT @SandraTXAS: #FakeNews CNN ABC MSNBC relentlessly criticize Trump for welcoming hostages from North Korea in televised ceremony.
Intere…</t>
  </si>
  <si>
    <t>Can the LOW IQ dummies at CNN ABC MSNBC really be that ignorant and not celebrate the release of 3 hostages from North Korea!  They should be ashamed of themselves! https://t.co/yC7UHJJwoC</t>
  </si>
  <si>
    <t>RT @GorgeousGordon5: @REALtrumpbureau @Twitter @AjitPaiFCC @realDonaldTrump @CivilRights 😎👇🏻 https://t.co/JYcoQc1mTP</t>
  </si>
  <si>
    <t>@jack https://t.co/D9JIZ5LDEA</t>
  </si>
  <si>
    <t>RT @GrizzleMeister: James Woods nails why the looney liberal whackos can’t stand Sarah Sanders &amp;amp; attempt to shame her at every opportunity.…</t>
  </si>
  <si>
    <t>RT @JackPosobiec: Scoop: I’m told multiple high-level Trump outside advisors have alerted the President to WH staffer Uttam Dhillon’s leak…</t>
  </si>
  <si>
    <t>RT @FaceTheNation: TODAY: must-watch interviews of @AmbJohnBolton and @TGowdySC 
Join us for @FaceTheNation this morning 📺 https://t.co/bT…</t>
  </si>
  <si>
    <t>RT @SandraTXAS: TREASON!!
John Kerry (and Obama and Hillary) running about the planet telling foreign leaders not to bother talking to the…</t>
  </si>
  <si>
    <t>THE JOB of the president is to be a cheerleader for America.  In that respect, Trump is doing an outstanding job!  Obama never did! It's why we can't repeat that mistake every again.  We must #VoteDemsOUT!</t>
  </si>
  <si>
    <t>RT @AnOpenSecret: Great journalism exposing Hollywood pedophiles by @GGarciaRoberts!  
These names are familiar to those who have watched…</t>
  </si>
  <si>
    <t>RT @girl4_trump: They say a picture is worth a thousand words... I’ll just leave this here. 
#ObamaWorstPresidentEver #ObamaHatesAmerica
#O…</t>
  </si>
  <si>
    <t>RT @charliekirk11: America needs to be far less like California and much more like Texas</t>
  </si>
  <si>
    <t>The Iran deal was oversold by both parties 4 political reasons, but it was symbolic of how Obama concerned himself more w/intl consensus than domestic compromise. We know this b/c BHO wd never hv won ratification 4 a deal remotely similar to the 1 he entered nor did he attempt to</t>
  </si>
  <si>
    <t>RT @IngrahamAngle: My friends in Jerusalem thanking @realDonaldTrump. https://t.co/bzjNyhbf2R</t>
  </si>
  <si>
    <t>"Obama’s appeasement of Iran was only one in a string of unilateral norm-busting projects that deserve to be dismantled."</t>
  </si>
  <si>
    <t>When Pres Trump announced that the U.S. would withdraw from the Iran deal, he could do so without much difficulty because the agmt hinged on presidential fiat rather than national consensus. 
https://t.co/YPkqynWujS</t>
  </si>
  <si>
    <t>Obama, whose imperial term in some ways paved the way for the Trump presidency, is now watching his much-celebrated and mythologized 2-term legacy be systematically demolished. This, in many ways, tells us that American governance still works.</t>
  </si>
  <si>
    <t>The Barack Obama Legacy Deserves To Be Destroyed -- Smash the rickety legacy of executive abuse! #VoteDemsOUT #NeverAgain  https://t.co/LT8df6uulZ</t>
  </si>
  <si>
    <t>Black Support For Trump Is Rising Into The Danger Zone For Democrats!  WOO HOO! #VoteDemsOUT https://t.co/CnUqkGlavO</t>
  </si>
  <si>
    <t>Ideas do have consequences &amp;amp; the ideas of Karl Marx are the deadliest the world has ever known. So why are we celebrating this enabler of mass murder as western leaders amplify China's Propaganda for Karl Marx's Birthday? https://t.co/zVqEYzPnmC</t>
  </si>
  <si>
    <t>Why Employers Ignore The Untapped Potential Of At-Home Moms https://t.co/S2gSSkEhXD</t>
  </si>
  <si>
    <t>I wore a burqa in Molenbeek. Here's what happened. https://t.co/X9PhWAUvIe</t>
  </si>
  <si>
    <t>Trump’s America First Agenda Wins Trade Dispute with United Arab Emirates, protecting 1.2 million airline jobs.  https://t.co/bH6mH3AIk8</t>
  </si>
  <si>
    <t>DHS Secretary Almost Quit, Says Paper Who Didn't Know Secretary of State Was Freeing Americans In North Korea https://t.co/95qE3B9pFo</t>
  </si>
  <si>
    <t>Denying Trump's Accomplishments Is Increasingly Irrational --&amp;gt; Michael Savage correctly ID's this behavior --&amp;gt; LIBERALISM IS A MENTAL DISORDER! #VoteDemsOUT https://t.co/9p6WZUmiXf</t>
  </si>
  <si>
    <t>The Tyranny of the Elites --&amp;gt; #VoteDemsOUT https://t.co/VGtUP2yKdk</t>
  </si>
  <si>
    <t>Miracles Abound: California City in Liberal Bastion Rejects Sanctuary State https://t.co/cRNDGNNBCm</t>
  </si>
  <si>
    <t>Mark Meadows: Time to Audit Mueller Investigation -- AND MAKE MUELLER PAY BACK EVERY CENT HE'S WASTED ON THIS BULLSHIT!    https://t.co/B6wfxTu3av</t>
  </si>
  <si>
    <t>Explaining Why Liberals Are So Desperate To Find Things to Be Offended About https://t.co/skBhdsau24</t>
  </si>
  <si>
    <t>Obama Has Been Erased! WOO HOO!  https://t.co/WJkMh8tBEM</t>
  </si>
  <si>
    <t>Obama classmate Wayne Allyn Root: "I predicted Trump would make Obama disappear. I predicted he'd erase Obama’s entire legacy. He’d make our long national Obama nightmare disappear. He’d make the misery of the Obamageddon economy go away. He’d erase Obama like he was never there.</t>
  </si>
  <si>
    <t>RT @Franklin_Graham: “But thanks be to God, who gives us the victory through our Lord Jesus Christ.” (1 Corinthians 15:57)</t>
  </si>
  <si>
    <t>RT @NatGeo: For the first time, National Geographic has compiled a digital archive of every map ever published in the magazine since the fi…</t>
  </si>
  <si>
    <t>RT @TheLastRefuge2: NAFTA Update – Important White House Meeting With Auto Manufacturers Backstops Freeland Meeting With Paul Ryan… https:/…</t>
  </si>
  <si>
    <t>RT @charliekirk11: The more a society drifts away from the truth, the more it will hate those that speak it</t>
  </si>
  <si>
    <t>RT @BillOReilly: Simply put, Americans now understand they are not getting honest information from TV news anymore.  Very shortly, they wil…</t>
  </si>
  <si>
    <t>Yep!  Time for Mueller and his team to reimburse the US taxpayer for the money they have wasted on a bullshit witchhunt. #VoteDemsOUT https://t.co/QXgz1vMzHj</t>
  </si>
  <si>
    <t>This week, President Trump has put Chuck Schumer into a box.
#VoteDemsOUT</t>
  </si>
  <si>
    <t>Even Democrat AUSTON GOOLSBEE admits that President Trump deserves credit for (1) the No. Korean release of hostages; and (2) capture of 5 top leaders of ISIS!  #MAGA #Winning</t>
  </si>
  <si>
    <t>Bay Area cost of living spikes in 2018 https://t.co/zBSdFVhRKq via @mercnews</t>
  </si>
  <si>
    <t>Apple made more profit in 3 months than Amazon has generated during its lifetime https://t.co/lvDKNLtAsF</t>
  </si>
  <si>
    <t>ARREST the treasonous criminal!  #DefeatDemocrats
#VoteDemsOUT https://t.co/Vqir9pD89C</t>
  </si>
  <si>
    <t>#DefeatMaxineWaters
#Vote4OmarNavarro
https://t.co/7IwO2MCS5X https://t.co/MEHrU817Qd</t>
  </si>
  <si>
    <t>RT @DonaldJTrumpJr: I have a strange suspicion that we’re not going to give these guys back. 
#winning https://t.co/SoyLcmwH9G</t>
  </si>
  <si>
    <t>RT @snakeboned: @GaetaSusan @tifflynng We call her “kamala peanut butter” in California, cause she spreads them so easily....</t>
  </si>
  <si>
    <t>RT @USANEWS007: BREAKING: CNN IS PORN. RATINGS GO KERPLUNK !!!!
Before viewers would choose Yogi Bear re-runs over watching CNN... Now vie…</t>
  </si>
  <si>
    <t>RT @mj04082004: @rhainman @JackPosobiec because the #DirtyDemocrsts will scream from the highest mountain top that he got involved in the i…</t>
  </si>
  <si>
    <t>Belgium Mayor Claims Catching Terrorists is Not Her Job --&amp;gt; "Not My Responsibility."  Europe is lost to Muslims!  Iran funneling millions into Europe to build mosques and sharia courts.</t>
  </si>
  <si>
    <t>Popularity of Israel's Netanyahu rises as Iran tension flares https://t.co/26NVTdtdEU via @YahooNews</t>
  </si>
  <si>
    <t>Trump and Iran: Time for Europe to Join the Resistance --&amp;gt; EUROPE CAN GO TO HELL FOR ALL I CARE!  https://t.co/nfOpT5rj5o</t>
  </si>
  <si>
    <t>RT @bcolbert68: UTAH:  NO TO RINO ROMNEY!  #Romney #MittRomney #RinoRomney #MAGA #MAGA2018</t>
  </si>
  <si>
    <t>Another poll: Democrats’ generic ballot lead now down to … one point.  HaHaHa!  #VoteDemsOUT  https://t.co/QxfnzmK8GN</t>
  </si>
  <si>
    <t>PRESIDENT TRUMP just earned the vote of every Korean in the United States!  #Winning</t>
  </si>
  <si>
    <t>OUCH: CNN's May Ratings Crash Is Something To Behold --&amp;gt; NO NEWS, JUST PIMPS &amp;amp; PORN STARS.  https://t.co/VIwHPzu4vd</t>
  </si>
  <si>
    <t>BRINK OF COLLAPSE: Obama's FBI Spied On Trump More Than Previously Thought, New Report Suggests  https://t.co/x2aOJo4ShL</t>
  </si>
  <si>
    <t>Former Obama Officials In NYT: European Countries Should Expel American Ambassadors, Sanction American Companies To Punish Trump Over Iran Deal --&amp;gt; OBAMA &amp;amp; HIS FMR OFFICIALS CAN GO POUND SAND!  https://t.co/cRui4epMfq</t>
  </si>
  <si>
    <t>The Left Idiotically Takes An 8-Year-Old Tweet Out Of Context To Slam The 'Intellectual Dark Web.' It's Utter Nonsense. https://t.co/jLTZpmfR6t</t>
  </si>
  <si>
    <t>Nolte -- Poll: Optimism in Direction of Country Hits 11-Year High Under Trump https://t.co/LzM94MH8wq via @BreitbartNews</t>
  </si>
  <si>
    <t>Limbaugh: Mueller's Investigation 'a Cover-up' of Obama DOJ, FBI Effort to Destroy Trump Presidency | Breitbart https://t.co/5oBXOrBddh</t>
  </si>
  <si>
    <t>Trump Supporters Tip Their Hats to Kanye - Rasmussen Reports® https://t.co/uoBzLpmQNe</t>
  </si>
  <si>
    <t>RT @gr8tjude: 💥MITCH UNDER FIRE: GOP Senators DEMAND McConnell Move on Trump’s Agenda ↘️
https://t.co/dazgFnFCmy</t>
  </si>
  <si>
    <t>Stormy a Democrat? No wonder she and her pimp are on MSNBC &amp;amp; CNN non-stop. https://t.co/fnMNog2LwP</t>
  </si>
  <si>
    <t>Big deal that some staffer made a snarky remark about McCain.  The press and the president's opponents &amp;amp; media hacks all do it on a daily basis.  MSM has no basis for acting "shocked." It leftist bullshit.</t>
  </si>
  <si>
    <t>*Sigh* No, Being A Christian Does Not Require You Meekly Submit To Leftist Tyranny https://t.co/TpKZKozHfp</t>
  </si>
  <si>
    <t>Obama. Erased. https://t.co/WJkMh8tBEM</t>
  </si>
  <si>
    <t>California State Teachers’ Retirement System to Remain Invested in 'Assault Weapon' Retailers https://t.co/TqkZ0fv4vf</t>
  </si>
  <si>
    <t>Nancy Pelosi: We're Raising Taxes When We Win | Breitbart 
#VoteDemsOUT
https://t.co/Yapd0ZgLjr</t>
  </si>
  <si>
    <t>Hollywood Stars Ashley Judd, Morgan Freeman Sign Letter Demanding Bank of America Revoke Loan to Remington Arms --&amp;gt;  JUDD &amp;amp; FREEMAN don't get to erase our rights because of their "feelings."  They can go pound sand!  https://t.co/7uIRue5SUL</t>
  </si>
  <si>
    <t>Nolte -- Poll: Optimism in Direction of Country Hits 11-Year High Under Trump https://t.co/LzM94MH8wq</t>
  </si>
  <si>
    <t>Family of 7 killed in what looks like Australia's worst mass shooting since it overhauled gun laws https://t.co/z11RCC9EIB via @businessinsider</t>
  </si>
  <si>
    <t>Mike Pompeo says North Korea will be 'brimming with prosperity' if it gets rid of nuclear weapons https://t.co/1itBCVQ0rd via @businessinsider</t>
  </si>
  <si>
    <t>The manufacturing industry suddenly has unfettered access to the White House under Trump, and it's making a killing https://t.co/bgVdBGrA2r via @businessinsider</t>
  </si>
  <si>
    <t>Leaked memo reveals Whole Foods is slowly moving its most important technology into Amazon's cloud https://t.co/pmx1QLGnij via @BIPrime</t>
  </si>
  <si>
    <t>'I don't get involved with pimps': Rudy Giuliani escalates battle with Stormy Daniels' lawyer https://t.co/778LnhsNbI via @businessinsider</t>
  </si>
  <si>
    <t>Sen. Ted Kennedy's immigration policies aren't even good for the immigrants who already are here. There is little opportunity in this nation today for millions of immigrants who must constantly compete with the next decade's millions upon millions of new foreign workers.</t>
  </si>
  <si>
    <t>Sen. Ted Kennedy's policies have driven scores of urban school districts backwards through over-crowding &amp;amp; thru overwhelming already precarious schools with masses of non-English-speaking students from impoverished homes. #ImmigrationReform #StopTheTakeover</t>
  </si>
  <si>
    <t>IMMIGRATION POLICIES need to favor the American worker, not the businesses looking to take advantage of cheap unskilled labor. Ted Kennedy destroyed America with his disastrous immigration policies.</t>
  </si>
  <si>
    <t>Sen. Ted Kennedy's disastrous immigration policies of the 1980s have undermined the fight against discrimination by making it easy for businesses to ignore poor American Black job applicants in favor of high-motivated immigrant workers.  WE NOW NEED TO REFORM IMMIGRATION!</t>
  </si>
  <si>
    <t>NumbersUSA's website is full of page after page of info showing that Sen. Ted Kennedy's immigration policies have in fact undermined the ability of the poor in the U.S. to find good-paying jobs and to get on the ladder of opportunity.
https://t.co/VYFnzWJTom</t>
  </si>
  <si>
    <t>Liberals championed Ted Kennedy's immigration reforms.  Looking back --&amp;gt; who thinks it was fair to drive all those American drywallers out of their jobs?  How about all the American meat packer workers who lost their jobs and incomes to Kennedy's army of immigrant workers?</t>
  </si>
  <si>
    <t>Sen. Ted Kennedy's immigration reform in the 80's &amp;amp; 90's increased immigration by 35%, introduced chain migration, changing immigration from favored nations like EU to poorer nations --&amp;gt; changing America's demographics forever!  #VoteDemsOUT</t>
  </si>
  <si>
    <t>Ha!  
#VoteMaxineOUT
#VoteDemsOUT https://t.co/5IKdUe6mhG</t>
  </si>
  <si>
    <t>In 1993, a woman read "The Art of The Deal" -- and she said to her husband --&amp;gt; "This man has got to be President of the United States!  We need him!"</t>
  </si>
  <si>
    <t>WH deputy press secy Hogan Gidley: “The president &amp;amp; his administration are pleased the House Judiciary Committee has voted to pass prison reform legislation. This is a bipartisan issue w/ bipartisan support b/c studies show this bill will reduce crime &amp;amp; save taxpayer dollars."</t>
  </si>
  <si>
    <t>RT @WiredSources: BREAKING: U.S. imposes sanctions on six individuals and three companies funnelling millions of dollars to Iran's Revoluti…</t>
  </si>
  <si>
    <t>RT @RealCandaceO: Excuse me, @JamilesLartey but when did I ever “defend neo-nazis”?
I suggest the @guardian lawyer up ASAP. I will make sui…</t>
  </si>
  <si>
    <t>RT @JoinTravisAllen: USED NEEDLES EVERYWHERE: @GavinNewsom's San Francisco has over 22,000 IV DRUG USERS on the streets and DIRTY NEEDLES l…</t>
  </si>
  <si>
    <t>RT @FoxNews: .@POTUS: "Under this administration, we are putting American patients first." https://t.co/biLMCbA58t</t>
  </si>
  <si>
    <t>#NastyMcCain https://t.co/52UhNMR9T8</t>
  </si>
  <si>
    <t>RT @DanielKnightPL: The fact that he told her that he did the right thing by picking her as a running mate and then turned around and told…</t>
  </si>
  <si>
    <t>RT @FoxNews: Happy Birthday WWII veteran Richard Overton! #ProudAmerican https://t.co/ezRZGnEKTQ</t>
  </si>
  <si>
    <t>Maxine Waters resents President Trump wanting to MAKE AMERICA GREAT AGAIN!  Who in their right mind would vote for such a lunatic??? Vote for Omar Navarro -- he actually lives in the district!  https://t.co/Pm2agG1gcP</t>
  </si>
  <si>
    <t>PRESIDENT TRUMP now working on reducing prescription drug prices which are affecting so many seniors and poor people! #MAGA #VoteDemsOUT</t>
  </si>
  <si>
    <t>Love it --&amp;gt; Michael Savage refers to SF as "San Fransicko."</t>
  </si>
  <si>
    <t>BENEDICT MCSHAME: A TURNCOAT THAT STANDS WITH THE DEMENY https://t.co/ZZzjBkFtut</t>
  </si>
  <si>
    <t>San Francisco’s many free syringes are littering its streets.  Liberalism on display!  #VoteDemsOUT https://t.co/o9AGbJnIGF</t>
  </si>
  <si>
    <t>LIBERALS promote book banning --&amp;gt; just like Communists &amp;amp; Dictators in Europe and Asia. https://t.co/xDPTvEjLns</t>
  </si>
  <si>
    <t>Michael Savage --&amp;gt; "Now with brain cancer and knowing he (John McCain) is near death, he says he is going to do whatever he wants, including putting the nation in danger by rejecting a qualified CIA nominee."</t>
  </si>
  <si>
    <t>McCAIN has done more to side w/ Dems on policies against this country than any other Republican &amp;amp; all to the detriment of the country. His corruption of character dates back to 80's / the Keating 5 scandal that allowed his family to profit from the dealings of Charles Keating.</t>
  </si>
  <si>
    <t>McCAIN's opposition to 1 of the most loyal &amp;amp; knowledgeable people nominated to head the CIA, someone who has wkd in the agency for 30 yrs, who was responsible for foiling terror plots after 9/11, will go down as 1 of his final acts of treason against his country.</t>
  </si>
  <si>
    <t>VIDEO: Hollywood actress attends anti-gun protest — with armed guards. #LeftistHypocrisy #VoteDemsOUT  https://t.co/ID9XIYR5gt via @american_mirror</t>
  </si>
  <si>
    <t>MAXINE MELTDOWN: Waters shouts ‘Damn this president!’ --&amp;gt; TIME TO GET RID OF SENILE MAXINE! 
 Vote for https://t.co/Zd3D1t87uf #VoteDemsOUT https://t.co/bgbprgy82G via @american_mirror</t>
  </si>
  <si>
    <t>Diamond and Silk at NRA: No more ‘slave mentality,’ ‘walk off that Democratic plantation’ -- #VoteDemsOUT https://t.co/ECS2gMGVBy via @american_mirror</t>
  </si>
  <si>
    <t>RT @Hells_Wrath_: @Acosta That's what we elected him to do Jim. https://t.co/8soRTKywMP</t>
  </si>
  <si>
    <t>WOKE: Americans applaud CNN Jim Acosta’s list of ‘policies dumped by Trump’  #MAGA #VoteDemsOUT https://t.co/vOSVUCdvYL via @american_mirror</t>
  </si>
  <si>
    <t>CONFUSION: Pelosi says tax cut was ‘uh milli-, uh billi-, uh a trillion and a half dollars‘ -- SENILE PELOSI NEEDS TO RETIRE FROM POLITICS!   https://t.co/7vintL92Dl via @american_mirror</t>
  </si>
  <si>
    <t>Maxine Waters explodes on House floor: I resent ‘making America great again’! https://t.co/oSqKxxF1N6 via @american_mirror</t>
  </si>
  <si>
    <t>Conservatives Should Make Major Reforms to Farm Bill That Props Up Rich Farmers.
https://t.co/iqzbSl3AOy</t>
  </si>
  <si>
    <t>Sen. James Inhofe: What Trump Is Doing ‘Is Nothing Short of a Miracle’
https://t.co/w9PwmRviwP</t>
  </si>
  <si>
    <t>RT @thebradfordfile: Dear Robert Mueller:
Your case against the 13 Russians is getting interesting. Concord Management called your bluff--…</t>
  </si>
  <si>
    <t>RT @RealBoomBoomPow: 🔴Texas - Let’s Keep Texas Red 
🔵Vote For Ted 
🔴He’s a #FreeTHINKER 
🔵On cross-examination he’s a Stinker 
🔴Cruz figh…</t>
  </si>
  <si>
    <t>RT @YarnellSheila: 🔥WE WOULD LIKE AN ANSWER!🔥 #Trudeau #Justice #SecretIllegalCrownCourt #Humanrights #Law @JustinTrudeau @denisebatters @C…</t>
  </si>
  <si>
    <t>RT @RealJamesWoods: With an administration fighting for the right causes and policies. https://t.co/2oTDPbxV5O</t>
  </si>
  <si>
    <t>RT @PhilMcCrackin44: Question for you, Homewrecker Harris:
Is having an affair with a married man for one’s own political gain perfidious…</t>
  </si>
  <si>
    <t>CORRECT -- Kamala Harris has no morals.  How dare she even question someone else's morals?! She flaunted herself as Willie Brown's mistress in front of his wife at his 60th birthday!  That's how disgusting of a woman Harris is! #LowLife https://t.co/nH0feNjmQN</t>
  </si>
  <si>
    <t>Feds Collect Record Taxes Through April; Still Run $385.4B Deficit
https://t.co/e0s2JUGoJs</t>
  </si>
  <si>
    <t>RT @carldemaio: ...Scripps Ranch, Tierrasanta, Navajo, Mission Valley, Pacific Beach, Point Loma, La Jolla, Allied Gardens, Rolando, SDSU a…</t>
  </si>
  <si>
    <t>RT @carldemaio: WOW - @sdut Really bad reporting here and you owe Cox a front-page retraction. He wasn't talking FILNER but FELLNER (of our…</t>
  </si>
  <si>
    <t>RT @TheRealJohnHCox: Democrats launch ad attacks against Republican John Cox: https://t.co/q78BNn6LX3 #GOP #TakeBackCalifornia</t>
  </si>
  <si>
    <t>RT @TheRealJohnHCox: CA’s proposed solar requirement is terrible-I called out the #solarindustry &amp;amp; their racket this a.m on @FoxBusiness ht…</t>
  </si>
  <si>
    <t>RT @TheRealJohnHCox: I look forward to greeting him in the Governor’s office in 2020 and reporting, “The Golden State is back, and open for…</t>
  </si>
  <si>
    <t>Not to forget that NANCY PELOSI promised to raise your taxes, destroy jobs and open the borders allowing a flood of illegal immigration. Is this what anyone wants?  #VoteDemsOUT https://t.co/PpteG1g5PJ</t>
  </si>
  <si>
    <t>RT @ArizonaKayte: .@SaraCarterDC 
Sara...
DO not stop.   You are a true journalist.  Very rare that people like you exist in these times.…</t>
  </si>
  <si>
    <t>Isn't it interesting that Feinstein &amp;amp; McCain both voted to confirm JOHN BRENNAN who advocated for waterboarding, but refuse to vote for GiNA HASPEL simply because Trump nominated her. #Hypocrisy</t>
  </si>
  <si>
    <t>RT @DiamondandSilk: Instead of Facebook deeming @DiamondandSilk unsafe to the community and putting algorithms in place to silence conserva…</t>
  </si>
  <si>
    <t>RT @JudicialWatch: ICYMI: JW uncovered bombshell docs showing that the Obama Admin sent U.S. taxpayer funds overseas to an org backed by bi…</t>
  </si>
  <si>
    <t>#ObamaLegacy --&amp;gt; Obama handed out medals to these 4 Democratic sexual perverts &amp;amp; predators. https://t.co/ZSQ6RlkQxL</t>
  </si>
  <si>
    <t>RT @SpoxDHS: @CatoInstitute .@DHSgov has made extraordinary strides since 9/11 on security and is constantly assessing the threat landscape…</t>
  </si>
  <si>
    <t>RT @SpoxDHS: .@NYGovCuomo's disregard for the rule of law is a slap in the face to the hardworking men and women of ICE whose mission it is…</t>
  </si>
  <si>
    <t>.@NYTIMES LIES, and lies often.  Can't believe anything you read in the NYT anymore.  It's lies, plagiarism, fake news!
#VoteDemsOUT https://t.co/Jw0vCYA3yc</t>
  </si>
  <si>
    <t>Joe Lieberman: ‘Took Guts for President Trump to Do What He Did’ with Iran Deal https://t.co/EshBc5BFdG</t>
  </si>
  <si>
    <t>Trump Calls Out Democrat for Wearing 'I Do Not Believe in Borders' T-Shirt.  I WONDER WHAT WOULD HAPPEN IF HE CROSSED THE NORTH KOREAN BORDER?  https://t.co/hjaVRW1dWJ</t>
  </si>
  <si>
    <t>RT @PoliticallyRYT: Harvey Weinstein's wife Georgina Chapman says she 'never' suspected
Article By Lexy 
Chapman said she had been "so nai…</t>
  </si>
  <si>
    <t>RT @LizCrokin: @chelseahandler Why did you have an intimate dinner with two serial child rapists -- convicted pedo Jeff Epstein &amp;amp; incest si…</t>
  </si>
  <si>
    <t>RT @LarrySchweikart: This sill be one for the ages. https://t.co/Gs15YJK1mQ</t>
  </si>
  <si>
    <t>#Winning https://t.co/7xd7brEVir</t>
  </si>
  <si>
    <t>RT @JacobAWohl: Trump's withdrawal from Iran deal sets up best relations with Israel in a decade
https://t.co/gfPBixbRLZ</t>
  </si>
  <si>
    <t>If US is going to defend it's values of faith, family, character, we need people in Congress who are willing to fight for those values!
#VoteDemsOUT</t>
  </si>
  <si>
    <t>GOVT needs more successful business men and women, not more lawyers.  Lawyer-politicians are what's ruined our country.
#VoteDemsOUT</t>
  </si>
  <si>
    <t>The hypocrits are in full view, aren't they?  
#VoteDemsOUT https://t.co/nj1Gdt0iWY</t>
  </si>
  <si>
    <t>RT @larryelder: The moment the @CNN news staff learned of the release of the American hostages held in North Korea--and that they'll HAVE t…</t>
  </si>
  <si>
    <t>VOTING starts in CA today with mail-in ballots.  C'mon California --&amp;gt; Time to vote out some Democrats and make California Golden Again! End Sanctuary State Status!
#VoteDemsOUT</t>
  </si>
  <si>
    <t>RT @PolitixGal: If DEMS win the House in November, you can kiss your tax cuts goodbye, kiss your jobs goodbye, and expect a flood of illega…</t>
  </si>
  <si>
    <t>If DEMS win the House in November, you can kiss your tax cuts goodbye, kiss your jobs goodbye, and expect a flood of illegals coming into our country. #VoteDemsOUT</t>
  </si>
  <si>
    <t>FAKE APOLOGY by another liberal!  Ho-hum!  #GoodRiddance https://t.co/gyRIX9RtRZ</t>
  </si>
  <si>
    <t>Obama paid $1.8 billion in cash for hostages.
Trump paid ZERO for the release of hostages from N. Korea.
#VoteDemsOUT</t>
  </si>
  <si>
    <t>US unemployment is at it's lowest level since the turn of the century.
Black unemployment is at it's lowest level in US history!
Hispanic unemployment is at the lowest level in US history!</t>
  </si>
  <si>
    <t>3.3 million new jobs since the 2016 election!  
Today, we have the most jobs available in the history of our country!
#Winning #MAGA
#VoteDemsOUT</t>
  </si>
  <si>
    <t>TRUMP is bringing prosperity and peace back in style!  🇺🇸
America is being respected again around the world!
Are you listening, low IQ @morningmika ???
#VoteDemsOUT</t>
  </si>
  <si>
    <t>NANCY PELOSI promises to repeal the Trump Tax Cuts if she gets back into power as Speaker of the House!  Will Americans want to go back to the Obama Dark Ages of Big Govt, Bureaucracy &amp;amp; Poverty? I don't think so!
#VoteDemsOUT</t>
  </si>
  <si>
    <t>RT @RealCandaceO: So what’s the strategy for 2020 @TheDemocrats?
Because if my inbox is any indication,   you won’t be cracking the whip in…</t>
  </si>
  <si>
    <t>RT @RAM0667: Hilarious coming from a man who paid our enemies (even in less 24 Hrs from leaving office), said no terror attacks on US soil…</t>
  </si>
  <si>
    <t>RT @BennyFishall: @cirstenw @twillnurse All of this nonsense is part of the giant quilt of Globalism. Variety is a threat. Uniformity is ea…</t>
  </si>
  <si>
    <t>THOMAS SOWELL - probably the most influential intellectual having emerged from the Black community.  I urge everyone to read any of his books. My personal favorite --&amp;gt; Vision of the Anointed!
https://t.co/1Dnc4d9N05</t>
  </si>
  <si>
    <t>RT @RodStryker: “What’s so dangerous about a black woman promoting independence of thought in the black community?”
 - @RealCandaceO👌
#Red…</t>
  </si>
  <si>
    <t>RT @Leotony56: I really don't like using profanity when I tweet unless there is no other way to really express my true sentiment..  but ..…</t>
  </si>
  <si>
    <t>RT @RedNationRising: America wants
John Brennan arrested
James Clapper arrested
James Comey arrested
Loretta Lynch arrested
Susan Rice arr…</t>
  </si>
  <si>
    <t>RT @JudicialWatch: ICYMI: JW discovered bombshell records showing that the Obama Admin sent U.S. taxpayer funds overseas to an org backed b…</t>
  </si>
  <si>
    <t>RT @GrowthEnergy: Midwest communities are counting on @realDonaldTrump to lift outdated government regulations and boost the rural economy.…</t>
  </si>
  <si>
    <t>RT @DiamondandSilk: If Michael Avenatti have nothing to hide, then let the American people know how he obtained @MichaelCohen212 private ba…</t>
  </si>
  <si>
    <t>RT @charliekirk11: By executive order the President should demand the release of a list of every member of Congress who ever used taxpayer…</t>
  </si>
  <si>
    <t>RT @RealJamesWoods: Ironically 3:00 AM was the time the calls were coming in for Hillary Clinton to respond to the real time ongoing attack…</t>
  </si>
  <si>
    <t>RT @LouDobbs: Joe Lieberman stands up for @POTUS and his unprecedented success: ‘Took Guts for @realDonaldTrump to Do What He Did’ with Ira…</t>
  </si>
  <si>
    <t>Emails show FBI advised Comey to meet with Mueller Before Testimony. More abuse of power by both these men, in their attempt to "get" Trump! #VoteDemsOUT</t>
  </si>
  <si>
    <t>Mika Brezinski has got to have the lowest IQ on all cable TV. She spews hatred, not facts. She &amp;amp; Joe are the biggest clowns on TV that few people watch. Those 2 haters deserve each other.</t>
  </si>
  <si>
    <t>CNN &amp;amp; MSNBC believe in diversity -- their staffs are filled with plagiarists and sexual predators. 
#VoteDemsOUT</t>
  </si>
  <si>
    <t>Kennedy on Fox Bus got it right.  The media is addicted to Trump!  Imagine if the #FakeNews left wing media started touting his accomplishments -- tax cuts, hostage release, booming economy, border security, trimming excessive regulations, draining the swamp!</t>
  </si>
  <si>
    <t>Trump doesn't travel the world trashing America like Obama did.  He uplifts America, stands up for America!  What a terrific president we have!
#VoteDemsOUT</t>
  </si>
  <si>
    <t>I don't watch stupid CBS NBC ABC CNN MSNBC or read NYT or WAPO since these outlets push #FakeNews.  They never talk about Trump's achievements, policy issues, economic growth 3.3%, border security etc.</t>
  </si>
  <si>
    <t>TRUMP on FIRE in Elkhart, Indiana!  Wow!  I love this president!
#MAGA #VoteDemsOUT</t>
  </si>
  <si>
    <t>THE PROGRESSIVE LEFT worships at the altar of Karl Marx Socialism/Communism who seek to destroy the United States. One way the Communist Manifesto says to destroy the U.S. is to destroy the “family unit” by promoting other sexual lifestyles, gender confusion and massive welfare.</t>
  </si>
  <si>
    <t>RT @hale_razor: 44: frees American hostage, releases 5 terrorists
45: frees American hostages, captures 5 terrorists</t>
  </si>
  <si>
    <t>RT @JoinTravisAllen: ***WATCH PART 1 OF THE FINAL GOVERNOR'S DEBATE*** Watch as @JoinTravisAllen CRUSHES @GavinNewsom and the competition i…</t>
  </si>
  <si>
    <t>RT @BettinaVLA: Disgraceful----&amp;gt; @BarackObama protected Hezbollah drug ring to save Iran nukes deal https://t.co/AKAwR7avIm via @nypost</t>
  </si>
  <si>
    <t>Mika Brezinski's father, Zbigniew Brezinski, was Natl Sec Advisor to the worst foreign policy prez in US history, Jimmy Carter. Talk about BAD ADVICE!</t>
  </si>
  <si>
    <t>RT @StephenMilIer: Trump releases hostages while Hillary releases books...</t>
  </si>
  <si>
    <t>MSNBC --&amp;gt; the low IQ station where you have to stupid to be a host there, and even dumber to be a guest.  And the guests, sometimes, don't even keep their hands to themselves!   --Mark Levin</t>
  </si>
  <si>
    <t>@websquaw @Morning_Joe @morningmika No the president's sanity is only being questioned by low IQ people like yourself.  Saudi Arabia, Bahrain, Israel are cheering Trump's decision!</t>
  </si>
  <si>
    <t>RT @DjLots3: There many strong black Conservatives that I respect &amp;amp; admire &amp;amp; you take abuse like no other. Let's change that!!
https://t.c…</t>
  </si>
  <si>
    <t>RT @1Romans58: With all the attention @kanyewest has received recently, I would like to bring these fine Americans to your attention.
They…</t>
  </si>
  <si>
    <t>RT @DineshDSouza: Since Rosie seems to have broken the law 5 times in 5 jurisdictions there are 5 US attorneys who can indict her for a cam…</t>
  </si>
  <si>
    <t>RT @TrumpTrainMRA4: 🚨🚨🚨Wikileaks Huge Exposure🚨🚨🚨
These Are The Six RhinoPublican’s That
Crooked HilLIARy StumbleLina Clinton
🚩BRIBED🚩 To “…</t>
  </si>
  <si>
    <t>RT @TomFitton: COLLUSION: Emails Show FBI Advised Comey to Consult with Mueller’s Office Prior to June 2017 Anti-@RealDonaldTrump Russia Te…</t>
  </si>
  <si>
    <t>TALK ABOUT COLLUSION!  Comey colluded with Mueller re Russia investigation! #ArrestComey https://t.co/tsY3VeuX8M</t>
  </si>
  <si>
    <t>RT @charliekirk11: Obama sent terrorists back to the battlefield 
Trump brings American prisoners home</t>
  </si>
  <si>
    <t>RT @realDonaldTrump: Senator Cryin’ Chuck Schumer fought hard against the Bad Iran Deal, even going at it with President Obama, &amp;amp; then Vote…</t>
  </si>
  <si>
    <t>RT @Belle4DJT: Obama will forever be known as the President whose records are sealed, background unverified, no Legacy to speak of &amp;amp; the On…</t>
  </si>
  <si>
    <t>MIKA B @morningmika -- you are dead wrong.  Our Middle East allies aren't upset with us at all for leaving the Iran nuke deal!  In fact, Saudi Arabia, Bahrain, Israel are cheering Trump's decision! No wonder people say Mika is low IQ and dumb as a post! #VoteDemsOut #ObamaFailed</t>
  </si>
  <si>
    <t>TRUMP doesn't travel around the world trashing America, like Obama did.  #VoteDemsOUT #RedWave2018</t>
  </si>
  <si>
    <t>HAVE YOU NOTICED --&amp;gt; The mainstream leftist media never do anything to support America or our veterans?  
#VoteDemsOUT #RedWave2018</t>
  </si>
  <si>
    <t>Obama White House Official Guilty of Voyeurism (PERVERT) Got Many Rapid Promotions, Pay Hikes from Obama!  Where's MSM? Crickets. #VoteDemsOUT https://t.co/DuBix3CCid</t>
  </si>
  <si>
    <t>AMAZON employees on welfare.  How many?  Anyone know where to find the stats?</t>
  </si>
  <si>
    <t>If CNN stops reporting on Trump bullshit, they will be closing their doors down.  GoodRiddance!
#VoteDemsOUT</t>
  </si>
  <si>
    <t>Judge Napolitano: Political Class “Must Have Known About” Schneiderman Sex Abuse --&amp;gt; Democratic AG faces “a lot of jail time.”  https://t.co/twYRKlqfBa</t>
  </si>
  <si>
    <t>“Refugees” Demand Name-Brand Goods, House in Vienna https://t.co/9HF0Ddqpuw via @realalexjones</t>
  </si>
  <si>
    <t>Trump says he’ll rebuild border wall in California despite Gov. Brown - https://t.co/VLhcyiDWfs - @washtimes</t>
  </si>
  <si>
    <t>RT @realDonaldTrump: Five Most Wanted leaders of ISIS just captured!</t>
  </si>
  <si>
    <t>RT @StevieRenee3: @RepAdamSchiff Someday, our great grandchild will know the fairy tale "Mueller &amp;amp; The Great Russia Caper" as well as we kn…</t>
  </si>
  <si>
    <t>@kjgillenwater @Encinitas You are dead wrong!  We all want clean air and water and energy independence. Scott Pruitt is streamlining regulations, getting rid of waste and redundancy within the wasteful EPA agency, run by govt employees who were not elected and are unaccountable to the citizens of the US.</t>
  </si>
  <si>
    <t>Harris is a hothead, a homewrecker, an adulteress who slept her way up the political ladder. #VoteDemsOUT #RedWaveRising2018 https://t.co/T1oTbR2rk8</t>
  </si>
  <si>
    <t>RT @Gopic: "Hashimi described Eithawi as a direct aide to #Baghdadi, responsible for  fund transfers to #ISIS bank accounts in different co…</t>
  </si>
  <si>
    <t>I read a medical report on OTTO WARMBIER that said he had brain tissue missing from areas of his brain, his lower teeth were re-arranged, and that his hands and legs were deformed, while howling gutteral groans.  Let that image sink in. https://t.co/CaN8utc62o</t>
  </si>
  <si>
    <t>DENNIS MILLER --&amp;gt; “Believe me, I’m socially as liberal as they come but I’d like to keep half my money and I don’t trust radical Islamists as far as I can throw them,” Miller says of why he “moved on from the liberal side on certain things.”</t>
  </si>
  <si>
    <t>EXCLUSIVE -- Mexican Cartel Silences Border City Media over Fuel Theft Operations https://t.co/575LRe6B7x</t>
  </si>
  <si>
    <t>Santa Clarita Becomes Latest City to Oppose California's Sanctuary Law | Breitbart https://t.co/2N8v3pc5gF via @BreitbartNews</t>
  </si>
  <si>
    <t>RT @jenmac70: No wonder Pompeo is all over Iran.
He knows..
#qanon
#draintheswamp
#TrustThePlan 
#trustKansas https://t.co/4prBdwrnpj</t>
  </si>
  <si>
    <t>#MyPresident @KamalaHarris 
#VoteDemsOUT https://t.co/LTmKvEooTE</t>
  </si>
  <si>
    <t>RT @thebradfordfile: President Trump welcomes freed hostages from North Korea at Joint Base Andrews.
THANK YOU @realDonaldTrump https://t.…</t>
  </si>
  <si>
    <t>RT @winercircle465: @RitchieJodi Murphy is a Soros puppet..</t>
  </si>
  <si>
    <t>TRAITOR to Americans!
#VoteDemsOUT #RedWave2018 https://t.co/OTM5ITZIPd</t>
  </si>
  <si>
    <t>RT @ColumbiaBugle: Reporter: How does it feel to be home?
One of the freed North Korean prisoners: "It's like a dream and we are very, ver…</t>
  </si>
  <si>
    <t>RT @statesperson: THE WINNING JUST DOESN'T STOP: Five Top Leaders Of ISIS Captured By U.S.-Iraqi Coalition https://t.co/JZrEm1w5aJ</t>
  </si>
  <si>
    <t>RT @FoxNews: Amidst the celebration of the return of three Americans from North Korea, @VP Mike Pence had kind words for the family of Otto…</t>
  </si>
  <si>
    <t>.@KamalaHarris has no morals.  She is a hothead, a homewrecker, an unabashed adulterous who flaunted her affair with SF mayor Willie Brown right in front of his wife!  Harris has no morals. #VoteDemsOUT https://t.co/Y7o76Df97G</t>
  </si>
  <si>
    <t>RT @ShowboatBob: #BobsTrumpTrain
@ShowboatBob
@jln9301
@aeronautic1
@lucylurichards
@hrt6017
@RakarJohn3
@AmericaDecide
@SundbergJay
@SSCon…</t>
  </si>
  <si>
    <t>RT @RealBoomBoomPow: Seriously the #Democrats 👇
🔴Rigged Primaries
🔴Gave Hillary the debate ?’s
🔴Dead &amp;amp; illegal people vote
👉🏻Then bogged T…</t>
  </si>
  <si>
    <t>HOMEWRECKER, adulterer @KamalaHarris doesn't give a crap about CA's crumbling infrastructure.  Gov Jerry Brown only cares about handouts to illegals. To hell with CA legal residents &amp;amp; citizens! #VoteDemsOUT #RedWaveRising</t>
  </si>
  <si>
    <t>The Barack Obama Legacy Deserves To Be Destroyed https://t.co/jVPIRmECht</t>
  </si>
  <si>
    <t>Al Gore and Bill Nye FAIL at doing a simple CO2 experiment
Replicating Al Gore’s Climate 101 video experiment shows that his “high school physics” could never work as advertised. https://t.co/mTUzYjAVjx</t>
  </si>
  <si>
    <t>If JEFF BEZOS wants to improve American health, he could permanently double the National Cancer Institute’s budget. Or he could triple the National Institutes of Health spending on mental health, alcohol and drug addiction. Bezos' $130 billion could do the world a lot of good.</t>
  </si>
  <si>
    <t>A blockchain to destroy climate change alarmist fake news, Part 2 https://t.co/WyaX5tIYpb via @wattsupwiththat</t>
  </si>
  <si>
    <t>RT @GreenMtnPatriot: British Columbia’s carbon tax fails to reduce CO2 emissions.
Blackstone-&amp;gt; https://t.co/Z1QpE5AFTs #vtpoli</t>
  </si>
  <si>
    <t>Candice Owen @RealCandaceO is a perfect example of critical thinking, of not being bullied into the Liberal Mental Prison of Groupthink, Herd Mentality, Censorship, Big Govt, High Taxes, Unfettered Immigration.
#VoteDemsOUT</t>
  </si>
  <si>
    <t>VOTERS getting more and more turned off to the nastiness and condescension of Democrats.  I say we #VoteDemsOUT! https://t.co/64hS3p9K7i</t>
  </si>
  <si>
    <t>If JEFF BEZOS prefers to improve global health, he would barely break a sweat providing $1.50 eyeglasses to a nearsighted Indian schoolgirl, a farsighted Nigerian truck driver &amp;amp; a billion others. Or he could buy a $2 mosquito net for everyone in Africa who needs one. Just sayin!</t>
  </si>
  <si>
    <t>If JEFF BEZOS wanted to nourish the high-tech sector that enabled his fortune, he could endow 8 M.I.T.-size universities around the world and still have billions left over. https://t.co/jsBkmdAwy3</t>
  </si>
  <si>
    <t>Bezos can spend &amp;gt;$6 bil/yr indefinitely. Instead of wasting it on space travel, a few obvious ways this money could help ppl on Planet Earth--&amp;gt;If he wants to strengthen US future scientific prowess, finance intensive math tutoring for about 2 million high school students every yr</t>
  </si>
  <si>
    <t>"Voters want results on issues they care about. Democrats are obsessed with things that have no impact on voters’ daily lives. Their obsession with impeachment and all things Russia perfectly illustrates how out of touch their party is." https://t.co/x4KFbfRIz1</t>
  </si>
  <si>
    <t>"Other than talking about Russia, raising taxes and impeaching the president, Democrats are incapable of producing one positive idea to help people’s lives."  --Corry Bliss 
#VoteDemsOUT #RedWave</t>
  </si>
  <si>
    <t>RT @RealJamesWoods: “Other than talking about Russia, raising taxes and impeaching the president, Democrats are incapable of producing one…</t>
  </si>
  <si>
    <t>RT @RealCandaceO: One email, one phone call, and I am now putting together a legal fund to go after publications that think they can smear…</t>
  </si>
  <si>
    <t>Disney Stripped 'A Wrinkle in Time' of Christianity and Lost $100 Million https://t.co/zOYcrqEgWQ</t>
  </si>
  <si>
    <t>Donald Trump Suggests Taking Away Credentials from 'Fake News' Media at the White House - A Great Idea!  https://t.co/JPWtIxjN0X</t>
  </si>
  <si>
    <t>Study: Trump's Polls Improve Despite 90% Negative Media Coverage - Because so few voters actually watch #FakeNews CNN, MSNBC, CBS, NBC or ABC.  https://t.co/SBb8jE1EJ0</t>
  </si>
  <si>
    <t>Gina Haspel to Sen. Martin Heinrich: 'My Parents Raised Me Right. I Know the Difference Between Right and Wrong' | Breitbart https://t.co/l2t9U1WIfx via @BreitbartNews</t>
  </si>
  <si>
    <t>Three Prisoners Released from North Korea: ‘God Bless America, the Greatest Nation in the World’ | Breitbart https://t.co/bxA2AcmT4f</t>
  </si>
  <si>
    <t>President Trump Welcomes Americans Home from North Korea.  God Bless America!  https://t.co/KChOfF8kaR</t>
  </si>
  <si>
    <t>RT @PolitixGal: DHS Secretary To Democratic Senator: Fighting Illegal Immigration Is Not A 'Philosophy,' It's The Law https://t.co/tCZw1TGw…</t>
  </si>
  <si>
    <t>RT @PolitixGal: Hostages back on US soil!  President Trump was there at 3 AM to greet them as they came off the plane!  What a president we…</t>
  </si>
  <si>
    <t>Democrats See the Blue Wave Slipping Away https://t.co/VDGO87vntH</t>
  </si>
  <si>
    <t>You've got to be kidding!?!  Chucky has caught the Pelosi disease -- total Trump derangement syndrome!  Shame on these hate-filled Democrats.  We don't need them anymore.  They only hate. #VoteDemsOUT https://t.co/QrajoxAZFw</t>
  </si>
  <si>
    <t>Hostages back on US soil!  President Trump was there at 3 AM to greet them as they came off the plane!  What a president we have!  Hostages said thank God for America, the greatest country in the world! #MAGA https://t.co/UUV03eWZaJ</t>
  </si>
  <si>
    <t>DHS Secretary To Democratic Senator: Fighting Illegal Immigration Is Not A 'Philosophy,' It's The Law https://t.co/tCZw1TGwpc</t>
  </si>
  <si>
    <t>American Hostages En Route Home Doesn't Stop CNN Interview With Stormy's Lawyer https://t.co/W5hW0vpCpr</t>
  </si>
  <si>
    <t>WATCH: Trump Just Shredded The Iran Deal. Here Are 5 Reasons He Was Absolutely Right To Do So. https://t.co/3q2EgitjA0</t>
  </si>
  <si>
    <t>What a thrilling moment --&amp;gt; as President Trump, VP Pence and spouses meet the 3 hostages just released from North Korea at 3 AM at Andrews AFB!  I AM SO PROUD OF THIS PRESIDENT! 🇺🇸 #MAGA #KAG #Trump2020</t>
  </si>
  <si>
    <t>RT @HeatherNauert: Pompeo Promises to Return ‘Swagger’ to the State Department, via @nytimes 🇺🇸🇺🇸👍🏻👍🏻 https://t.co/qL0fie41tC</t>
  </si>
  <si>
    <t>RT @HeatherNauert: A great week for America w  @SecPompeo leading @StateDept Proud to be on this team! 🇺🇸🇺🇸🇺🇸🇺🇸 https://t.co/OFkTHDftUq</t>
  </si>
  <si>
    <t>RT @Michael_Heaver: New polling from YouGov: less than half of those in France &amp;amp; Sweden would definetly vote to remain in EU. 
And the Fre…</t>
  </si>
  <si>
    <t>"Guest workers are more of a threat to our national security than Iran is. Leave aside the tens of thousands of Americans killed every year by Mexican heroin, illegal alien drunk drivers and straight-up murderers, whom the government refuses to count."  --Ann Coulter</t>
  </si>
  <si>
    <t>Ann Coulter --&amp;gt; "What actually is in America’s national security interest is preventing crazy foreigners from coming here."</t>
  </si>
  <si>
    <t>RT @Electric41E: .@BarackObama President Trump was able to secure the release of 3 American citizens without releasing terrorist or sending…</t>
  </si>
  <si>
    <t>Ann Coulter: Old Muhammad Had a Farm, Jihad, Jihad ... Oh! https://t.co/dnT3v7XRL6</t>
  </si>
  <si>
    <t>Three Prisoners Released from North Korea: ‘God Bless America, the Greatest Nation in the World’ | Breitbart https://t.co/nFXvXWc0BU</t>
  </si>
  <si>
    <t>Gavin Newsom isinsane if he thinks CA is great because it's a sanctuary state.  OMG!  I can't vote soon enough!
#VoteDemsOUT</t>
  </si>
  <si>
    <t>RT @w_terrence: Get them some Milk, The Iranian Lawmakers are throwing a temper tantrum. And wonder why we ended the deal. https://t.co/Ag9…</t>
  </si>
  <si>
    <t>Freed Americans from North Korea had this to say:
THANK GOD FOR AMERICA -- THE GREATEST NATION ON EARTH!
Amen! #MAGA #VoteDemsOUT</t>
  </si>
  <si>
    <t>Promises Kept:
Tax Cut
Job Growth
Border Security
Got US Out of Disastrous TPP
Got US Out of Disastrous Paris Accord
Got US Out of Disastrous Iran Nuke Deal
#MAGA</t>
  </si>
  <si>
    <t>Rabbi Shmuley: The Moral Foreign Policy of Donald J. Trump | Breitbart https://t.co/YIhgl689dE</t>
  </si>
  <si>
    <t>Poll Confirms Republican Travis Allen Won California Gubernatorial Debate | Breitbart https://t.co/gSMXHaxgns</t>
  </si>
  <si>
    <t>Masters of the Universe: Tech Companies to Attend White House AI Discussion | Breitbart https://t.co/yfLPZTppsk</t>
  </si>
  <si>
    <t>GOP Sen Gardner: Trump 'Maximum-Pressure Doctrine' Set Table for Success with North Korea | Breitbart https://t.co/ERsP0p9FhH</t>
  </si>
  <si>
    <t>Equifax Reveals Passport Details, Driver's Licenses Stolen in 2017 Data Breach | Breitbart https://t.co/7xpH6xqyfy</t>
  </si>
  <si>
    <t>Housing Developer Warns: Tenants with Firearms Will Be Evicted.  ISN'T THIS IS VIOLATION OF THE 2ND AMENDMENT? AMERICAN CITIZENS HAVE THE RIGHT TO BEAR ARMS.  https://t.co/d0fQIsJ0WF</t>
  </si>
  <si>
    <t>Syrian, Bangladeshi Migrants Arrested After Illegally Crossing Texas Border https://t.co/rM3p0nLnnV</t>
  </si>
  <si>
    <t>Gavin Newsom: Being ‘Asylum State’ Is What Makes CA ‘Great’ --&amp;gt;  WHAT INSANE ASYLUM DID GAVIN NEWSOM CRAWL OUT OF??? #LiberalismIsAMentalDisorder #VoteDemsOUT https://t.co/CAUnYEyJmz</t>
  </si>
  <si>
    <t>'Caravan Migrants' Arrested After Illegally Crossing Texas Border, Say Feds https://t.co/Ltzlr67uX1</t>
  </si>
  <si>
    <t>Bellevue atty David Nold complaint contends that while Avenatti (Stormy's atty) ran the company, he fleeced nearly $6 million in federal &amp;amp; state tax withholdings — money meant to be held in trust for payment of quarterly taxes — from the paychecks of Tully’s employees.</t>
  </si>
  <si>
    <t>"In a complaint submitted to the CA State Bar &amp;amp; cc’d to the U.S. Attorney’s Office in Seattle — Bellevue atty David Nold asserts Avenatti carried out an illegal “pump &amp;amp; dump” scheme through his Washington state-registered Tully’s ownership firm, Global Baristas US, LLC.</t>
  </si>
  <si>
    <t>Before Stormy Daniels, her attorney faced allegations of dubious business dealings at Tully’s https://t.co/fislpxQWei via @seattletimes</t>
  </si>
  <si>
    <t>#VoteDemsOUT https://t.co/jjiAoZ4vqu</t>
  </si>
  <si>
    <t>RT @RealMAGASteve: BREAKING: DOJ Agrees to Give Chairman Nunes Access to the Secret Rosenstein Memo Detailing Mueller's Scope.
Nunes &amp;amp; Gow…</t>
  </si>
  <si>
    <t>RT @DailyCaller: ‘Roseanne’ Defeats Competition In Coveted Demo Once Again https://t.co/nsSEr8j6NH https://t.co/jqL7acgIHf</t>
  </si>
  <si>
    <t>BRE PAYTON of The Federalist says getting out of Iran deal is better than being in the deal b/c now we can talk about their nuclear ambitions.  It opens the door for Iranian people to choose their leaders.</t>
  </si>
  <si>
    <t>RT @jeromegravesbm1: This is exactly what Dr. Martin Luther King, Jr. would have thought about Barack Hussein Obama. https://t.co/3qFLRRkw1c</t>
  </si>
  <si>
    <t>RT @Chris_1791: CNN Poll: ‘Blue Wave’ Virtually Disappears as Democrat Generic Congressional Ballot Advantage Dwindles to 3 Points https://…</t>
  </si>
  <si>
    <t>Kamala Harris is a hot-headed homewrecker.  She's an adulteress who flaunted her affair in front of Willie Brown's wife on his birthday!  What a sick bitch! https://t.co/ZYE8qGucYj</t>
  </si>
  <si>
    <t>RT @ACatholicKnight: GET RID OF MCMASTER AND DEENA POWELL AND 3 SIDEKICKS LEAKS STOP. https://t.co/YFu1SzTfT5</t>
  </si>
  <si>
    <t>RT @1776Stonewall: you know The Federal judge who called Mueller out for his out of control witch hunt and demanded unredacted files? Huge…</t>
  </si>
  <si>
    <t>RT @hale_razor: So it is possible to free 3 American hostages from N Korea without having to release 5 high-ranking terrorists.</t>
  </si>
  <si>
    <t>RT @realDonaldTrump: Gina Haspel did a spectacular job today. There is nobody even close to run the CIA!</t>
  </si>
  <si>
    <t>RT @RyanAFournier: For 8 years, if I disagreed with the President I was a racist. Now, if I agree with the President I’m a racist.</t>
  </si>
  <si>
    <t>RT @TomFitton: DOJ Considering Releasing Newly Unredacted Portions of Rosenstein Memo to @JudicialWatch - Here's the Redacted Version https…</t>
  </si>
  <si>
    <t>RT @JackPosobiec: Trump is actually making America great again before our very eyes</t>
  </si>
  <si>
    <t>RT @DiamondandSilk: Just so you know, we will always have our Presidents back. 
"Don't Get It Twisted!"
(Official White House Photo by She…</t>
  </si>
  <si>
    <t>I despise AMAZON for appeasing anti-semites, but censoring Christian groups.  AMAZON is anti-American.  We should all delete our prime accounts &amp;amp; tell them to go pound sand!  #LiberalismIsAMentalDisorder #VoteDemsOUT https://t.co/rs7oJzP2Lr</t>
  </si>
  <si>
    <t>RT @MSMCali: #ICYMI
#InCaseYouWerentAware
"I AM THE LAW"
#EricSchneiderman went so far as to ask to change state law in order to prosecute…</t>
  </si>
  <si>
    <t>RT @dbongino: Democrats loved the Logan Act, until John Kerry was accused by followers of the case of violating it. Now they’re silent. Str…</t>
  </si>
  <si>
    <t>SCREW YOU McCain! https://t.co/afN54AaAMt</t>
  </si>
  <si>
    <t>RT @PhxKen: OBAMA TURNED THE FBI INTO THE KGB! https://t.co/ryPf9Dwuqv</t>
  </si>
  <si>
    <t>All told the govt collected $515 billion and spent $297 billion, for a total monthly surplus of $218 billion. That swamped the previous monthly record of $190 billion, set in 2001. TAX CUTS WORK! #MAGA</t>
  </si>
  <si>
    <t>RT @sxdoc: April was best month in history for U․S. budget, according to CBO; Trump TAX CUTS YIELDS $216B SURPLUS—BIGGEST EVER #MAGA https:…</t>
  </si>
  <si>
    <t>Klein: Obama Accuses Trump of ‘Flouting’ Agreements, but Ex-Prez Did Just That by Betraying Israel https://t.co/Ns3hCT8gtt</t>
  </si>
  <si>
    <t>Nancy Pelosi Predicts a Win for Democrats in NoV --&amp;gt; EXCEPT THAT DEMOCRATS HAVE NOTHING, NADA, ZERO TO OFFER AMERICANS! #VoteDemsOUT https://t.co/torhWjQFI4</t>
  </si>
  <si>
    <t>Facebook Circles the Wagons and Shuffles Executives Following User Privacy Scandal.  SCREW FACEBOOK for violating our privacy! LEFTISTS DETEST FREEDOM! https://t.co/MrT9sCxzKN</t>
  </si>
  <si>
    <t>Pollak: In Leaving Iran Deal, Trump Ends Obama's Legacy of Appeasement --&amp;gt;  NO MORE APOLOGY TOUR!   https://t.co/C1DPV7kV51</t>
  </si>
  <si>
    <t>RT @realDonaldTrump: Gina Haspel, my highly respected nominee to lead the CIA, is being praised for the fact that she has been, and alway w…</t>
  </si>
  <si>
    <t>RT @WhiteHouse: "At the heart of the Iran deal was a giant fiction: that a murderous regime desired only a peaceful nuclear energy program.…</t>
  </si>
  <si>
    <t>RT @WhiteHouse: "Finally, I want to deliver a message to the long-suffering people of Iran. The people of America stand with you." https://…</t>
  </si>
  <si>
    <t>RT @realDonaldTrump: The Iran Deal is defective at its core. If we do nothing, we know what will happen. In just a short time, the world’s…</t>
  </si>
  <si>
    <t>RT @realDonaldTrump: The Republican Party had a great night. Tremendous voter energy and excitement, and all candidates are those who have…</t>
  </si>
  <si>
    <t>RT @realDonaldTrump: Candace Owens of Turning Point USA is having a big impact on politics in our Country. She represents an ever expanding…</t>
  </si>
  <si>
    <t>RT @realDonaldTrump: Congratulations to Mike Dewine on his big win in the Great State of Ohio. He will be a great Governor with a heavy foc…</t>
  </si>
  <si>
    <t>#MyPresident  Thank you Mr. President for doing such a great job for Americans! https://t.co/GOc79Boo8Y</t>
  </si>
  <si>
    <t>RT @realDonaldTrump: Secretary Pompeo and his “guests” will be landing at Andrews Air Force Base at 2:00 A.M. in the morning. I will be the…</t>
  </si>
  <si>
    <t>RT @realDonaldTrump: The Failing New York Times criticized Secretary of State Pompeo for being AWOL (missing), when in fact he was flying t…</t>
  </si>
  <si>
    <t>RT @realDonaldTrump: Looking forward to greeting the Hostages (no longer) at 2:00 A.M.</t>
  </si>
  <si>
    <t>Scum attracts more scum. https://t.co/GxJcZ8I2Na</t>
  </si>
  <si>
    <t>RT @JohnWHuber: DR STEFAN HALPER
• Cambridge Fellow
• Set up "Cambridge Intelligence Forum" with SIR RICHARD DEARLOVE (quit due to "Russia…</t>
  </si>
  <si>
    <t>RT @tcarrels: They gave it to raises for the administrator and the teachers https://t.co/imLTgtxezy</t>
  </si>
  <si>
    <t>RT @2mtbottles: @BytorNSnowdog @Lrihendry @realDonaldTrump  https://t.co/KrojVxH9wK</t>
  </si>
  <si>
    <t>Oprah's &amp;amp; Disney's A Wrinkle in Time was a collosal economic flop!
Screw you @oprah!</t>
  </si>
  <si>
    <t>Disney Stripped 'A Wrinkle in Time' of Christianity and Lost $100 Million - Screw Oprah &amp;amp; her hatred of Christianity!  https://t.co/zOYcrqEgWQ</t>
  </si>
  <si>
    <t>Avenatti Accuses The Wrong Michael Cohens Of Making ‘Fraudulent’ Payments --&amp;gt; HaHaHa!  https://t.co/6eRQTNqmOw</t>
  </si>
  <si>
    <t>Democrat Joe Manchin will vote to confirm Gina Haspel https://t.co/kC0Hb6cDFD</t>
  </si>
  <si>
    <t>US deportations to Mexico rise to start year!  Halleluia! #MAGA https://t.co/rY0XDNCT8h</t>
  </si>
  <si>
    <t>Matt Lauer admitted to 'sexual activity' with intern says NBC report --&amp;gt; #LiberalScum https://t.co/c5nTXbZ2VI</t>
  </si>
  <si>
    <t>People cruelly mock Sarah Jessica Parker, 53, for looking too 'old'  --&amp;gt; SHE LOOKS AWFUL, OLD &amp;amp; HAGGARD!  https://t.co/abtoJsp3cd</t>
  </si>
  <si>
    <t>Trump: Should I 'take away credentials' from White House TV reporters? https://t.co/4AhFG6Alc8</t>
  </si>
  <si>
    <t>Comedians like Samantha Bee are not funny.  She has an agenda.  She used her agenda to crack jokes.  It failed.  She failed.  #HaHaHa  That's funny! #LiberalHysterics #LiberalismIsAMentalDisorder https://t.co/xv1e66omtp</t>
  </si>
  <si>
    <t>The Day the Iran Deal Died https://t.co/zMWKOkPyzk</t>
  </si>
  <si>
    <t>JOHN BRENNAN was head of CIA (approved by Dems) when Waterboarding was still being used.  It was NOT Gina Haspel's decision to make. #DrainTheSwamp</t>
  </si>
  <si>
    <t>RT @Lady_Vi_2U: This woman is the kind of Patriot we need!  She has more Balls and Knowledge than half of the Idiots interviewing her!  Had…</t>
  </si>
  <si>
    <t>RT @ThomasSowell: "The least productive people are usually the ones who are most in favor of holding meetings."</t>
  </si>
  <si>
    <t>"President Trump has withdrawn the U.S. from the shoddy &amp;amp; utterly laughable nuclear agreement with Iran. The world is ending. Iran won’t trust us anymore, and who said they ever did. This is a state-sponsor of terrorism. Who cares how they feel?"</t>
  </si>
  <si>
    <t>RT @ChuckNASCAR: America doesn't need #NetNeutrality, America needs a #InternetBillOfRights!!! 🇺🇸@POTUS @TedCruz https://t.co/lzFbsOta93</t>
  </si>
  <si>
    <t>BOOM: Trump Tax Cuts Lead To Largest Ever Monthly Budget Surplus! #Winning #VoteDemsOUT  https://t.co/Moe8IJFwo8</t>
  </si>
  <si>
    <t>BOOM: Trump Tax Cuts Lead To Largest Ever Monthly Budget Surplus! #Winning #VoteDemsOUT  https://t.co/Moe8IJnVwA</t>
  </si>
  <si>
    <t>GUESS what happened soon after Uranium One sale was approved?
$145 mil dollars in “donations” made their way to Clinton Fndtn from entities directly connected to the Uranium One deal.
Guess who was still at the IRS working the Charitable Division?
None other than, Lois  Lerner.</t>
  </si>
  <si>
    <t>URANIUM ONE - more info:
Guess who was handling that case within the Justice Dept out of the US Attorney’s Office in Maryland?
No other than, Rod Rosenstein.
#RussiaCollusion #DrainTheSwamp
#VoteDemsOUT</t>
  </si>
  <si>
    <t>Prior to Uranium One sales approval, Bill Clinton goes to Moscow, gets pd $500K for a 1 hr speech, meets w/Putin at his home for a few hours.
Guess who was the FBI Director during this timeframe?
Yep, Robert Mueller.
He even delivered a Uranium Sample to Moscow in 2009.</t>
  </si>
  <si>
    <t>Guess who ran the Tax Divi inside the Dept of Injustice from 2001 to 2005? None other than Asst Atty General of the US, Rod Rosenstein.
Guess who was Dir of FBI during this time? I know, it’s a miracle, just a coincidence, an anomaly in statistics &amp;amp; chances --&amp;gt;Robert Mueller.</t>
  </si>
  <si>
    <t>Re Clinton Investigation (contd) --&amp;gt; Guess who took over this investigation in 2002 --&amp;gt; James Comey.
Guess who was transferred in to the IRS to run the Tax Exemption Branch of the IRS? Your friend and mine, Lois “Be on The Look Out” (BOLO) Lerner. 
#DrainTheSwamp #VoteDemsOUT</t>
  </si>
  <si>
    <t>2001 to 2005 -- there was an ongoing investigation into the Clinton Foundation. A Grand Jury had been empaneled. Governments from around the world had donated to the “Charity.” Yet, from 2001 to 2003 none of those “Donations” to the Clinton Fndtn were declared.</t>
  </si>
  <si>
    <t>FOR A MORE PROSPEROUS America, we need to --&amp;gt; #VoteDemsOUT
#RedWave</t>
  </si>
  <si>
    <t>Eric Schneiderman Pursued Harvey Weinstein over Misconduct Claims While Allegedly Abusing Women -- A Example of Pot calling the Kettle black! #VoteDemsOUT https://t.co/0i5qN81NE5</t>
  </si>
  <si>
    <t>Samantha Bee Backtracks Eric Schneiderman Worship After Abuse Allegations Go Public. HaHaHa Bee worships Sexual Abusers! Dems always getting it wrong! #MAGA #VoteDemsOUT https://t.co/zRWwjoVFds</t>
  </si>
  <si>
    <t>Candice Owen @RealCandaceO is a prime example of Critical Thinking, of not being bullied into the Liberal Mental Prison of Groupthink, Herd Mentality, Censorship, Big Govt, High Taxes &amp;amp; Unfettered Illegal Immigration.</t>
  </si>
  <si>
    <t>RT @FoxNews: New York Times slams AWOL Pompeo, then learns he was rescuing Americans https://t.co/wO7ZF6bLVH</t>
  </si>
  <si>
    <t>Report: BuzzFeed Targeted Readers with Sponsored Anti-Trump Political Ads Without Proper Disclosure | Breitbart https://t.co/eSSMdV4r6u</t>
  </si>
  <si>
    <t>RT @mitchellvii: CAN WE NOW FOREVER END THE IDIOCY OF "HOW WE CAN PAY FOR THESE TAX CUTS?" - CBO says April was best month in history for U…</t>
  </si>
  <si>
    <t>RT @mitchellvii: The CBO said the Trump tax cuts would add $2 trillion to the deficit over next 10 years.
Yesterday, the CBO was SHOCKED t…</t>
  </si>
  <si>
    <t>RT @mitchellvii: PROOF:
Cut tax rates, raise taxes.  You tax a bigger pie at a lower rate = higher overall revenues.
It has ALWAYS worked…</t>
  </si>
  <si>
    <t>@cnn Please report on the record monthly surplus - better than expected TAX REVENUES!  #MAGA https://t.co/47W1DiJaRJ</t>
  </si>
  <si>
    <t>RT @TaxReformExpert: Lower tax rates actually work https://t.co/5euAlIOzaP</t>
  </si>
  <si>
    <t>RT @mitchellvii: Trump knew when he stared the Mullahs down in Syria that they'd do nothing if he ended Obama's disastrous deal with them a…</t>
  </si>
  <si>
    <t>RT @Calipublican: Knew little about @realDonaldTrump 's pick for head of CIA. After watching confirmation hearings and seeing her verbal bi…</t>
  </si>
  <si>
    <t>KANYE says we have Freedom of Speech but no Freedom of Thought. The Democrat Thought Police want to suppress Freedom of Thought. Dems need to corral all Blacks to not think &amp;amp; vote only for Dems.  Kanye says --&amp;gt; "THINK FOR YOURSELF." #VoteDemsOUT</t>
  </si>
  <si>
    <t>Trump Tweet Predicted Schneiderman Demise 4.5 Years Ago | Breitbart https://t.co/gTQRVnyM9z</t>
  </si>
  <si>
    <t>Donald Trump Announces Freedom for American Citizens Detained in North Korea | Breitbart https://t.co/1g0uNx6eAE</t>
  </si>
  <si>
    <t>Mob Of Teens Allegedly Responsible For Water Tower Brawl Saturday Night https://t.co/2SgQhSVwMM</t>
  </si>
  <si>
    <t>More and more CALIFORNIANS are seeing the benefits of TRUMP TAX CATS - more jobs, more take home pay.  What they don't like are Dem Gov Brown's policies of Sanctuary State, Gas Tax, crumbling infrastructure. #VoteDemsOUT #RedWave</t>
  </si>
  <si>
    <t>Schumer was against the Iran nuke deal, now wants to stay in it because he dislikes the president??? How shallow is that?  What about the security of the US and Iran's nuclear ambitions? Schumer goes which ever way the wind blows instead of protecting Americans. #VoteDemsOUT</t>
  </si>
  <si>
    <t>So, so true!  Dems try to steal elections.  In L.A. alone, 140% of eligible voters voted in 2016 election, meaning that illegals and non-citizens/residents of CA also voted in 2016. https://t.co/W31LnW44hu</t>
  </si>
  <si>
    <t>RT @TomFitton: The outrageous criminal charges against Mr. Rosebrock have since been shown to lack factual or legal basis.@RealDonaldTrump…</t>
  </si>
  <si>
    <t>RT @TomFitton: It wasn't torture. https://t.co/UAZzCDHjZZ</t>
  </si>
  <si>
    <t>RT @replouiegohmert: Thanks to John Hines at @OANN for covering my #MuellerReport. Watch the segment here: https://t.co/eUYY4L91Lr</t>
  </si>
  <si>
    <t>RT @kanyewest: free thinking is a super power</t>
  </si>
  <si>
    <t>RT @TomFitton: Schneiderman "was pushing to change state law so that his office could prosecute @RealDonaldTrump’s aides even if the presid…</t>
  </si>
  <si>
    <t>RT @TomFitton: .@JudicialWatch sued for docs on Obama's corrupt cash Iran Deal.  Treasury is blacking out all the docs wants 2 more years t…</t>
  </si>
  <si>
    <t>RT @TomFitton: Mueller rejects @RealDonaldTrump request to answer questions in writing. More evidence of lack of good faith by Mueller get-…</t>
  </si>
  <si>
    <t>RT @TomFitton: After two years of cover-ups, the DOJ/FBI finally admits it has text messages and other newly "found" records on Clinton-Lyn…</t>
  </si>
  <si>
    <t>RT @TomFitton: .@RealDonaldTrump's brave scuttling of Obama's corrupt Iran deal is a historic blow to the Deep State and Swamp.  And make n…</t>
  </si>
  <si>
    <t>RT @TomFitton: Mueller’s operation is not above the law and @JudicialWatch is in court to provide basic oversight. The American people have…</t>
  </si>
  <si>
    <t>RT @pspoole: Just a reminder that @HillaryClinton PERSONALLY ended the US visa ban on Tariq Ramadan https://t.co/BD8lFrCCSi</t>
  </si>
  <si>
    <t>RT @AndrewCMcCarthy: Trump Dumps Iran Deal - Hallelujah! My @NRO column: https://t.co/lFZ8pJWpet</t>
  </si>
  <si>
    <t>RT @TomFitton: After outrageous stonewalling (described below), @JudicialWatch may finally get more of Rosenstein's infamous "scope" memo f…</t>
  </si>
  <si>
    <t>RT @TomFitton: Deep State leaks to Washington Post in play to avoid accountability through congressional oversight. @RealDonaldTrump should…</t>
  </si>
  <si>
    <t>RT @TomFitton: "I've never seen so much secrecy around an Independent Counsel or a Special Counsel operation like this...and I've been doin…</t>
  </si>
  <si>
    <t>RT @LouDobbs: #StopStonewalling- @RepMarkMeadows: We will not stand by &amp;amp; we will continue to put pressure on DOJ leadership. We’ll get a co…</t>
  </si>
  <si>
    <t>DHS to push for criminal charges against all border jumpers - https://t.co/ViKBvDjeid - @washtimes</t>
  </si>
  <si>
    <t>Lowest-rated show on Fox News outperforms highest-rated show on CNN - https://t.co/d84pNCXvzL - @washtimes</t>
  </si>
  <si>
    <t>In addition to claiming Brennan aiding a Kremlin plot to deepen America’s partisan divide, former CIA Officer Daniel Hoffman says the former CIA director has actually jeopardized natl security by publicly insinuating Russian Pres Putin may be blackmailing Trump.</t>
  </si>
  <si>
    <t>RT @PoliticalShort: Brennan crossed a serious line with his blackmail speculation against POTUS. He actually jeopardized natl security by p…</t>
  </si>
  <si>
    <t>What a sick jerk he is.  He's Muslim, right? https://t.co/gBnLB18j6g</t>
  </si>
  <si>
    <t>RT @KNP2BP: It’s #MuellerTime folks
He gambled no one would show up regarding his #FakeNews indictments 
&amp;amp; LOST!
Meaning it’s time to PU…</t>
  </si>
  <si>
    <t>RT @starcrosswolf: O’Donnell admits to donating to candidates who vocally oppose President Trump’s agenda, but says she assumed that if she…</t>
  </si>
  <si>
    <t>RT @ScottPresler: Thank you to EVERY single Republican in Ohio who voted today. 
Republicans, as it stands right now, turned out 150,000 m…</t>
  </si>
  <si>
    <t>Absolutely nothing! https://t.co/RPQhXGO7aR</t>
  </si>
  <si>
    <t>It's called classical liberalism, a belief in free markets and individual liberty. https://t.co/1fudYLue5u</t>
  </si>
  <si>
    <t>RT @CaliConsrvative: The feral anti-Trump crowd can safely be ignored. These people will automatically take the opposite position that Trum…</t>
  </si>
  <si>
    <t>#VoteDemsOUT https://t.co/TxeViBWQnx</t>
  </si>
  <si>
    <t>RT @rpballance: https://t.co/QRNKBYpMyf</t>
  </si>
  <si>
    <t>RT @MonteCristo4u: https://t.co/BSA71Vw6IT</t>
  </si>
  <si>
    <t>RT @SebGorka: And it’s glorious to watch. 
@Nigel_Farage https://t.co/1iaoHAM7dQ</t>
  </si>
  <si>
    <t>RT @RedWaveHQ: A curated gathering site for #Trump Fans. Like minds, Like followers #F4F
Tips to find common sense followers on Twitter.…</t>
  </si>
  <si>
    <t>RT @SavannahBelle01: Joe Biden said this about Trump pulling out of the #IranDeal: "All it will likely accomplish is to put Iran back on th…</t>
  </si>
  <si>
    <t>RT @zumadawg: @RealJamesWoods This guy gets it. Most relevant paragraph this guy has probably ever written. https://t.co/shWZUyfhb6</t>
  </si>
  <si>
    <t>RT @SaraCarterDC: Sara Carter: IG Report On McCabe Is "Just The Tip Of The Iceberg"  https://t.co/XXtmcKlkkl</t>
  </si>
  <si>
    <t>RT @realDonaldTrump: The United States does not need John Kerry’s possibly illegal Shadow Diplomacy on the very badly negotiated Iran Deal.…</t>
  </si>
  <si>
    <t>RT @John_KissMyBot: Obama isn’t Happy That Trump Cancelled His ‘Flawed’ Iran Deal. 
Canceling The Iran Deal Was One Of The MANY REASONS Th…</t>
  </si>
  <si>
    <t>RT @ScottPresler: Tonight was also a great night for Trump:
✔️Trump endorsed @JimRenacci &amp;amp; he won
✔️Trump asked voters to vote for Morris…</t>
  </si>
  <si>
    <t>CA's Dem candidate for Gov is Gavin Newsom.  GOP candidate Travis Allen had this to say about Newsom --&amp;gt; 😎 “You want to talk about character, let’s talk about #GavinNewsom’s relationship with his best friends wife.”
#TravisAllenForCAGovernor 
#MAGA #Trump</t>
  </si>
  <si>
    <t>RT @DavidAFrench: They shouldn’t. U.S. presidents aren’t supposed to make lasting deals on their own. That’s contrary to our constitutional…</t>
  </si>
  <si>
    <t>RT @LVNancy: Liberalism is alive &amp;amp; disgusting #California 🤢
Travis Allen was brutal😎 “You want to talk about character, let’s talk about #…</t>
  </si>
  <si>
    <t>RT @inittowinit007: https://t.co/sAR2vfBUJE</t>
  </si>
  <si>
    <t>RT @RealBoomBoomPow: Obama owes the world an apology for the #IranDeal #IranianNuclearDeal 
How quick y’all forget they loaded planes of c…</t>
  </si>
  <si>
    <t>This is great news!  More people arming themselves against criminals and crazies!  It's what the #2A is for. https://t.co/6rbDqGodLc</t>
  </si>
  <si>
    <t>RT @repoprimo: IT'S OVER FOR MUELLER AS FEDERAL JUDGE GIVES HIM THE GREATEST SHOCK YET https://t.co/ZUKWLBLAzs</t>
  </si>
  <si>
    <t>RT @num_birdie: 👊👊👊
💥💥💥
TREASON!!
FBI #HillarysServer Investigation CONCLUDES 
"We all realise the harm done when crimes go unpunished b…</t>
  </si>
  <si>
    <t>RT @mitchellvii: Retweet is you're not tired of winning yet! https://t.co/McKSdqFlq7</t>
  </si>
  <si>
    <t>RT @SebGorka: Just how deep and wide is the Swamp?
Here you go:
https://t.co/7CqOSFy8UY</t>
  </si>
  <si>
    <t>Democrats are damn liars!  They say one thing, do another.  Phonies, liars, anti-Americans.  I've had enough of these haters.  #VoteDemsOUT https://t.co/dOwBpzM83E</t>
  </si>
  <si>
    <t>RT @LastWave2014: FBI statistics show some 85,000 murders from 9/11 to the end of 2006 Are committed by Illegal Aliens In The USA..That Mea…</t>
  </si>
  <si>
    <t>Correct --&amp;gt; murders are up due to Dem's failure to enforce our immigration laws and keep our southern border secure.  Time to #VoteDemsOUT https://t.co/ZGkacAEq9y</t>
  </si>
  <si>
    <t>RT @PressSec: Opioids, social media use and mental and physical well-being are all major issues our children face. Go visit https://t.co/pp…</t>
  </si>
  <si>
    <t>RT @John_KissMyBot: More Trump Winning 👉For The ‘FIRST TIME EVER’ America Has Enough Jobs For Everyone 
Don’t Expect #FakeNews Like CNN, N…</t>
  </si>
  <si>
    <t>If that's the case, why would Obama get into a nuclear deal with Iran to slow down their nuclear ambitions?  Was that all for show?  Your logic escapes me. https://t.co/1BjwORjpJu</t>
  </si>
  <si>
    <t>RT @ConservativePTZ: Meet Donald. https://t.co/dDynIVq9e8</t>
  </si>
  <si>
    <t>RT @OrwellNGoode: 1) free speech is for everyone
2) anybody who isn’t a progressive is a white supremacist by some standards https://t.co/4…</t>
  </si>
  <si>
    <t>RT @mikandynothem: Obama and Dems crying 😭 as a result of Trump pulling out of Iran deal; saying it will lead to war?
Um, weren't they just…</t>
  </si>
  <si>
    <t>RT @USATrump45: RETWEET if you're happy President Trump pulled out of the Iran Deal!
#MAGA 🇺🇸 https://t.co/2RAAkSnNu9</t>
  </si>
  <si>
    <t>@SamanthaJPower You couldn't be more wrong!</t>
  </si>
  <si>
    <t>Samantha Power, like Obama, are legends in their own mind.
#VoteDemsOUT #ObamaFailedPresident https://t.co/bIb6kmbzB9</t>
  </si>
  <si>
    <t>@SamanthaJPower You are dead wrong!  Middle East is cheering Trump's decision --&amp;gt; Saudi Arabia, Israel, UAE, Bahrain etc.  Obama allowed &amp;amp; gave money to Iran to pursue its nuclear ambitions. https://t.co/DST1b2dqoN</t>
  </si>
  <si>
    <t>Obama did everything he could to destroy the US at home and abroad.  World leaders found his shallow, narcissistic and incompetent, a blowhard. A legend in your own mind.  The fact is Obama was a failed president. https://t.co/bIb6kmbzB9</t>
  </si>
  <si>
    <t>@brhodes @SamanthaJPower Wrong.  Obama is a nobody.</t>
  </si>
  <si>
    <t>Correct --&amp;gt; Obama was the anti-American president.  GOOD RIDDANCE! https://t.co/p8OpfQfNmK</t>
  </si>
  <si>
    <t>@brhodes Obama has no legacy.  His was a legacy of anti-Americanism and destruction and division and racism and poverty.  No legacy to find. #FailedPresident</t>
  </si>
  <si>
    <t>Even Sen. Chuck Schumer said the Iran Nuke Deal was seriously flawed and too dangerous for America.</t>
  </si>
  <si>
    <t>RT @RepHagan: Thank you to the 25,000 people who voted and believed in me. I will never stop fighting for my family, friends, and this grea…</t>
  </si>
  <si>
    <t>RT @JackPosobiec: "He's getting rid of everything Obama did!" https://t.co/YBYflQ8dQv</t>
  </si>
  <si>
    <t>Hooray!  #Winning NOTHING Obama did was in the best interest of Americans.  Obama appeased our enemies, gave them money, weapons, technology.  Obama was a traitor to America. https://t.co/hhFECzPkes</t>
  </si>
  <si>
    <t>RT @amber_athey: Latest from me and @SaysSimonson: 
The rift between Ronan Farrow and NBC/MSNBC appears to be alive and well. 
Not only d…</t>
  </si>
  <si>
    <t>RT @pnjaban: I joined @lauraingraham: Democrats threw Eric Schneiderman under the bus faster than you could say "pussy hat" -- after eight…</t>
  </si>
  <si>
    <t>RT @pnjaban: Could the next AG of NY be as psycho anti-Trump as Schneiderman, filing an orgy of vicious and personal lawsuits against @real…</t>
  </si>
  <si>
    <t>RT @Desis4Freedom: Packed room @CAGOP convention on Saturday. Republican leadership like @shawnsteel1 and @pnjaban were very supportive. We…</t>
  </si>
  <si>
    <t>RT @FoxNews: U.S. Ambassador to the @UN @NikkiHaley responds after @POTUS vows to withdraw from Iran nuclear agreement https://t.co/vMKt4gj…</t>
  </si>
  <si>
    <t>RT @pnjaban: Lock him up -- https://t.co/6ZxtYHKEzA</t>
  </si>
  <si>
    <t>RT @pnjaban: Our clients in the Google employment lawsuit have set up a crowdfunding site to pay the expenses of the lawsuit. You can contr…</t>
  </si>
  <si>
    <t>LEFT looks away when their men are sexual perverts, rapists &amp;amp; predators, as long as they worship abortion.  #HypocritLeft #Schneiderman</t>
  </si>
  <si>
    <t>RT @JoinTravisAllen: ****@JoinTravisAllen WINS #CAGovDebate!!! **** Poll from NBC Bay area shows Travis Allen just won the debate https://t…</t>
  </si>
  <si>
    <t>RT @PJMedia_com: "I am a 30-year businessman who went to Washington because the federal government took my car dealership away from me."
#…</t>
  </si>
  <si>
    <t>RT @PJMedia_com: "Congressional offices must refuse all meetings with these Islamist organizations and operatives pending a full investigat…</t>
  </si>
  <si>
    <t>RT @PJMedia_com: Trump-Endorsed Ohio Senate Candidate Jim Renacci Blows Out Opponents  https://t.co/rNztjMv0AC https://t.co/cyj9nSsY8M</t>
  </si>
  <si>
    <t>Dems hate the fact that Kanye and Candace are changing MINDS &amp;amp; HEARTS! #ThinkForYourself https://t.co/NWvTbJoI5h</t>
  </si>
  <si>
    <t>RT @PJMedia_com: All @GavinNewsom does on social media is take shots at @realDonaldTrump to distract from California's failures, said @Join…</t>
  </si>
  <si>
    <t>Washington DC needs more business acumen.  The town turned into the swamp b/c it's overrun with lawyers.  Let's get more BUSINESS PEOPLE elected, who know how to run organizations efficiently &amp;amp; effectively! #VoteDemsOUT</t>
  </si>
  <si>
    <t>Full Frontal with Samantha Bee featured a segment effusively praising former New York Attorney General and alleged abuser Eric Schneiderman last fall and is now hastily walking it back. HaHaHa! #VoteDemsOUT</t>
  </si>
  <si>
    <t>Samantha Bee Backtracks Eric Schneiderman Worship After Abuse Allegations Go Public --&amp;gt; HAHAHA HER HERO IS A PERVERT!   https://t.co/tRNA64p7Qf</t>
  </si>
  <si>
    <t>TODAY is World War II's V-E day. Do any of our kids learn about this day in their history classes? I would abolish all public education.  It no longer teachers our kids.</t>
  </si>
  <si>
    <t>Sen. Cotton: American Companies Should Not Give In to Chinese Bullying https://t.co/785qY4cfVQ</t>
  </si>
  <si>
    <t>Report: BuzzFeed Targeted Readers with Sponsored Anti-Trump Political Ads Without Proper Disclosure. BUZZFEED IS LEFTIST PROPAGANDA.  https://t.co/lc7b5CyHwd</t>
  </si>
  <si>
    <t>RT @Mmarty1230: Nancy Pelosi Refuses to Call on Tony Cardenas to Resign After Child Molestation Claim | Breitbart https://t.co/a0UQdXya87 T…</t>
  </si>
  <si>
    <t>Only Leftist Media put porn stars on TV. #ScumLeft</t>
  </si>
  <si>
    <t>JOE PISCOPO blasts Stormy Daniels on SNL joins alums critical of Left-leaning comedy show - no longer funny.</t>
  </si>
  <si>
    <t>Ohio's Christina Hagan: GOP 'Should Be Delivering' on 'America First' Agenda, American 'People Just Want Us to Lead' https://t.co/9Xk1Qal54C via @BreitbartNews</t>
  </si>
  <si>
    <t>NRA Dallas Convention Sets All-Time Attendance Record https://t.co/0soOwNOeuP</t>
  </si>
  <si>
    <t>New York Attorney General Eric Schneiderman Resigns over Women Abuse Claims. #LiberalHypocrisy https://t.co/jcvMBIgFtp</t>
  </si>
  <si>
    <t>Alleged Abuse Victim Urged to Keep Quiet to Protect 'Democrat' Schneiderman.  HaHaHa!   #VoteDemsOUT https://t.co/QT2T98aTS5</t>
  </si>
  <si>
    <t>Schneiderman Accuser: He Slapped Me, Spit on Me, Called Me His 'Brown Slave' https://t.co/XzJ51n1FNo</t>
  </si>
  <si>
    <t>***Live Updates*** MAGA Candidates Center Stage in WV, IN, OH, NC Primaries | Breitbart https://t.co/Czfhczk6wp</t>
  </si>
  <si>
    <t>Rihanna, Sarah Jessica Parker, and other leftist hags engage in cultural appropriation.  The shameless hypocritical Left on full display!  It's why so many despise them! #VoteDemsOUT</t>
  </si>
  <si>
    <t>Sarah Jessica Parker looks so old &amp;amp; haggard in her "Catholic" costume at the Met Gala.</t>
  </si>
  <si>
    <t>RT @RealJamesWoods: No surprise. https://t.co/iQgpFhEst7</t>
  </si>
  <si>
    <t>ISRAEL's Ambassador to the US applauds President Trump's decision today to get out of the Iran deal.</t>
  </si>
  <si>
    <t>Chances for war with Iran are greater BECAUSE of the Iran deal.  Obama gave them hundreds of millions of tax dollars to do so! Thank God we have a President that puts America first! #CourageousDecision</t>
  </si>
  <si>
    <t>Obama's Iran deal enabled Iran to continue getting nuclear weapons. Today, that ended!  THANK YOU PRESIDENT TRUMP!</t>
  </si>
  <si>
    <t>RT @hrkbenowen: Here’s how many Americans are now saying Mueller’s investigation is ‘politically driven’ https://t.co/zOFlzI4Alg</t>
  </si>
  <si>
    <t>Even Chuck Schumer and Sen. Menendez thought the Iran Deal was flawed and doesn't accomplish what they said it did.</t>
  </si>
  <si>
    <t>SQUARE NEAR U.S. EMBASSY IN JERUSALEM TO BE NAMED FOR TRUMP. https://t.co/2gYtCP7HJb</t>
  </si>
  <si>
    <t>RT @Lrihendry: Obama and the Democrats gave Iran a pallet full of cash to build nukes, Trump ends their nuclear ambitions! 
WHO’S YO DADDY!</t>
  </si>
  <si>
    <t>LOVE THIS PRESIDENT!
#VoteDemsOUT https://t.co/TccGpxWpHz</t>
  </si>
  <si>
    <t>RT @DineshDSouza: Rosie broke the law, and she broke the law FIVE times. https://t.co/W1GIqE7epf</t>
  </si>
  <si>
    <t>RT @CHIZMAGA: Trump's pick Jim Renacci wins the GOP Senate Primary in Ohio!
Let's get to the polls in November and oust Sherrod Brown!</t>
  </si>
  <si>
    <t>RT @AnnCoulter: For some people it’s puppies.  For others, a sunrise.  For me, proof that God lives is … SCHNEIDERMAN!</t>
  </si>
  <si>
    <t>RT @LifeSite: Pro-abortion New York attorney general resigns after assault allegations https://t.co/vWdXz4zGG1</t>
  </si>
  <si>
    <t>Where's his Twitter Account.  It's no longer available??? @NewYorkStateAG https://t.co/iyDcUJcLfs</t>
  </si>
  <si>
    <t>RT @marklevinshow: Heeeeere’s Johnny! https://t.co/DpLIwwbvXE</t>
  </si>
  <si>
    <t>RT @_Makada_: President Trump withdraws the US from the Iran Deal. Another promise kept, another Obama disaster erased.</t>
  </si>
  <si>
    <t>@_Makada_ Thank you President Trump @realDonaldTrump !</t>
  </si>
  <si>
    <t>AMAZING how quickly CUMO threw Schneiderman under the bus!  Ha!  #DrainTheSwamp #VoteDemsOUT</t>
  </si>
  <si>
    <t>Time to #VoteDemsOUT! https://t.co/E6F2rKfw4G</t>
  </si>
  <si>
    <t>The fact that Schneiderman resigned within 3 hours, is telling that Democrats knew that he was hiding in plain site and was a serial woman abuser. The hypocrisy of the Left is mind-blowing!</t>
  </si>
  <si>
    <t>Shame on Planned Parenthood for taking tax dollars to end the life of millions of unborn. https://t.co/nDYZLJroWV</t>
  </si>
  <si>
    <t>RT @DailyCaller: Trump Predicted The Fall Of New York AG In 2013: ‘Wait And See’ https://t.co/mdQCpW9Xsi https://t.co/Gf6BzV8F1O</t>
  </si>
  <si>
    <t>@KellyannePolls Isn't that funny that Schneiderman's account has now been deleted!  Ha!</t>
  </si>
  <si>
    <t>RT @The_UnSilent_: @KellyannePolls Gotcha.
Gotcha.
Gotcha.
Gotcha.
Gotcha.
Gotcha.
Gotcha.
Gotcha.
Gotcha.
Gotcha.
Gotcha.
Gotcha.
@realDon…</t>
  </si>
  <si>
    <t>RT @KellyannePolls: Congratulations @FLOTUS for tackling the emotional, social and physical well-being of children. #BeBest https://t.co/Om…</t>
  </si>
  <si>
    <t>EUROPE stands back while IRAN funds and spreads terror throughout the Mid East and around the world, just like they did during WWII when Hitler was slaughtering Jews &amp;amp; their supporters in Poland, Germany and France. Shame on Europe!</t>
  </si>
  <si>
    <t>Europe is on the wrong side of history.  It's why they've been overtaken and drawn into World Wars by Authoritarian Regimes.  History will show President Trump is on the right side of Iran issue.</t>
  </si>
  <si>
    <t>OBAMA still lives in a fantasy world.  Treating Iran like a friend is Obama in LALA land. The jackass needs to stay out of politics, just like his other lackeys ...Kerry and Jarrett.</t>
  </si>
  <si>
    <t>In 2013, Trump predicted that Schneiderman was worse than Weiner or Spitzer.  Soothsayer?  He hasn't been wrong yet!</t>
  </si>
  <si>
    <t>RT @politico: Sinclair Broadcast Group is ramping up its plans to build a competitor to Fox News https://t.co/f8pDLFySVU https://t.co/Eon2Y…</t>
  </si>
  <si>
    <t>Love this bio:  "I am not anti-democrat because I am pro-republican. But because the DNC represents a clear political and ideological danger to the U.S."</t>
  </si>
  <si>
    <t>New York AG Schneiderman was just another Weinstein --&amp;gt; sex pervert who pretended to stand up for women's rights.  Typical hypocritcal Democrat.  #VoteDemsOUT</t>
  </si>
  <si>
    <t>RT @Nigel_Farage: Trump will not go on following Obama’s policy of appeasement. Yet another campaign promise kept. https://t.co/5j4ZkuzCm1</t>
  </si>
  <si>
    <t>RT @fearlesswidow: I agree! https://t.co/4S3FSPgRrm</t>
  </si>
  <si>
    <t>RT @MentonGini: Truth is an illusion to the Left https://t.co/jg01nED1Ys</t>
  </si>
  <si>
    <t>NOTHING. BS. They sold bullshit and charged a lot for it. https://t.co/OiWEJfvWUy</t>
  </si>
  <si>
    <t>RT @netanyahu: Thank you President Trump for your bold decision and your commitment to prevent Iran from ever getting nuclear weapons. @rea…</t>
  </si>
  <si>
    <t>President Trump stands with the IRANIAN PEOPLE, not the extremist mullahs that run Iran and spread terror throughout the region.  Thank you Mr. President!  #MAGA</t>
  </si>
  <si>
    <t>RT @donnapz78: @Education4Libs Oh, the Iran deal that met with opposition from both sides who didn't want it to begin with and then Obama a…</t>
  </si>
  <si>
    <t>Iran Deal was a flawed agreement from Day One. Many Dems were against it. UAE, Saudi Arabia &amp;amp; Bahrain applaud President Trump's actions.  Iran promotes terrorism in the ME. Time for Iran to stop!</t>
  </si>
  <si>
    <t>#AntiAmerican https://t.co/7GFo27UYE2</t>
  </si>
  <si>
    <t>RT @Pr0ud2bAmerican: @PetersmannS Excuse me Sandra, that would be Ambassador Grenell.
And yes, discussing the benefits of shared interests…</t>
  </si>
  <si>
    <t>RT @Michael25916367: @PetersmannS You’re a nobody.</t>
  </si>
  <si>
    <t>RT @TheRealTJAG: @PetersmannS Wow you're sounding a little homophobic. Stop being a bigot.</t>
  </si>
  <si>
    <t>@PetersmannS Maybe you should keep your opinions to yourself.  I thought journalism was about factual evidence, not opinion, not conjecture.  Who the hell are you to criticize Grenell's advice?</t>
  </si>
  <si>
    <t>RT @nancylee2016: Obama had to run his foolish mouth today about President Trump's, correct, decision on the Iran Nuclear Deal. I thought w…</t>
  </si>
  <si>
    <t>Sounds like McCain is sending out invites to his funeral.  It's not like it's a party-- Who does that?  Old angry, bitter, hateful people who have neither forgiveness, nor love, in their hearts. https://t.co/90JgXBHooQ</t>
  </si>
  <si>
    <t>Pot calling the Kettle black.  It's called #LiberalHypocrisy and the solution for that is to #VoteDemsOUT! https://t.co/KzH94edBiW</t>
  </si>
  <si>
    <t>Wonder if McCain is sending out invitations to his funeral...like it's going to be a party?  Who does that?  Old angry, bitter, hateful people who have neither forgiveness, nor love, in their hearts. https://t.co/z9nnuutdP3</t>
  </si>
  <si>
    <t>So let me get this straight --&amp;gt; Scheiderman beats his girlfriends b/c they like it, gives Hillary a pass on reptg foreign donations, but wants to nail Manafort of same? Isn't that LIBERAL HYPOCRISY??? #VoteDemsOUT https://t.co/kSCZ8s7GO7</t>
  </si>
  <si>
    <t>Candace Owens, smarter &amp;amp; wiser beyond her years: https://t.co/I4o3Ff0KmR</t>
  </si>
  <si>
    <t>RT @buzzman888: 🇺🇸🌹🇺🇸 Thank You Candace Owens @RealCandaceO 🇺🇸🌹🇺🇸
'Nobody Can Go Back And Start a New #Beginning, But Anyone Can Start Tod…</t>
  </si>
  <si>
    <t>RT @therealroseanne: guys, I'm going to donate to help ppl who are in hawaii at lava flow-I will let you know what agencies I find that tru…</t>
  </si>
  <si>
    <t>RT @therealroseanne: tonight's show is about the impact of legal and illegal immigration on our family.</t>
  </si>
  <si>
    <t>RT @therealroseanne: follow @StormyDaniels so u can stay informed of what's important in our country! thanks!</t>
  </si>
  <si>
    <t>RT @w_terrence: Thanks! I will clear my schedule to make it to the White House Race Relation Summit. If you don’t follow @PastorDScott you…</t>
  </si>
  <si>
    <t>RT @w_terrence: Have you been waiting on a financial blessing ? Wait no longer, fill out this form. https://t.co/zysDp3sT41</t>
  </si>
  <si>
    <t>RT @w_terrence: MS13 https://t.co/5WD0S4kNYf</t>
  </si>
  <si>
    <t>RT @w_terrence: Facebook Banned me Again for 24 hours because I shared a meme that I found on Facebook. @facebook allow crazy Trump memes b…</t>
  </si>
  <si>
    <t>RT @w_terrence: Trump thanks Kanye  in #NRA speech for increased Black American support &amp;amp; now this Rapper is MAD at Kanye❗️
#NRAAM2018 http…</t>
  </si>
  <si>
    <t>RT @w_terrence: Whoop there it is! Candace Making Moves! Boom Chaka Laka Laka Boom.!  
learn to agree to disagree and have love for one ano…</t>
  </si>
  <si>
    <t>RT @thecjpearson: Why would any black person support the Democrat Party  - the party that  enslaved us, segregated us, and treated us as if…</t>
  </si>
  <si>
    <t>RT @w_terrence: Obama made sure Americans ate good for 8 years. Can Trump do the same?
Obama Made sure Americans ate
•Canned Fruit For Brea…</t>
  </si>
  <si>
    <t>RT @w_terrence: Obama care wouldn’t cover my bee sting</t>
  </si>
  <si>
    <t>Left forgets that Melania speaks 5 languages. https://t.co/6ZmwJT2vDp</t>
  </si>
  <si>
    <t>RT @w_terrence: Cultural Appropriation is a Joke and this is why
https://t.co/Xlm9nUVAie https://t.co/aOZPJcuANc</t>
  </si>
  <si>
    <t>RT @w_terrence: People can barely make a good deal at a Car Dealership but have the Nerves to tell Trump how to make a Deal and not to brea…</t>
  </si>
  <si>
    <t>RT @commonguy123: @Fightkidscancer @FullFrontalSamB @AGSchneiderman And Schneiderman is gone.  Resigned.  Quickly too.  Because he knows wh…</t>
  </si>
  <si>
    <t>RT @commonguy123: @Fightkidscancer @FullFrontalSamB @AGSchneiderman Ronan?   Lol.  He brought down Weinstein and opened the floodgates.  Wa…</t>
  </si>
  <si>
    <t>RT @TheRightWingM: @FullFrontalSamB @AGSchneiderman Yeah Eric! Take that the fuck down! https://t.co/4A9kDbsQJ6</t>
  </si>
  <si>
    <t>RT @BaggaBrigade: @CJThompson84 @FullFrontalSamB @AGSchneiderman  https://t.co/UEnPyPZrg0</t>
  </si>
  <si>
    <t>RT @FullFrontalSamB: Take this the fuck down. https://t.co/GkhlMXwMSc</t>
  </si>
  <si>
    <t>RT @StefanMolyneux: Anyone and everyone who knew about Schneiderman’s dark side could blackmail him to kingdom come! Time to review all his…</t>
  </si>
  <si>
    <t>#LiberalHypocrits.  It's why the only solution is to #VoteDemsOUT of office! https://t.co/Tkfo1bt3Ov</t>
  </si>
  <si>
    <t>RT @StefanMolyneux: Schneiderman, accused of beating and choking women, had his office sue Trump University for civil fraud because, you kn…</t>
  </si>
  <si>
    <t>RT @StefanMolyneux: Schneiderman, accused of beating and choking women, got really depressed after Trump won in 2016 because he was really…</t>
  </si>
  <si>
    <t>Govt cannot restrict who you can or cannot talk to or listen to.
Liberal mob mentality now trying to pressure, shame, boycott, slander Kanye West, a free-thinking person, to get back on the Democrat slave plantation.  Time to #VoteDemsOUT</t>
  </si>
  <si>
    <t>Do you know of a situation where citizens conspired to take someone's rights away like liberals, including fellow blacks, have tried with Kanye West?</t>
  </si>
  <si>
    <t>GOVT doesn't give you rights.  Govt is in the business of restricting rights.</t>
  </si>
  <si>
    <t>RT @PrisonPlanet: Scott Adams: F**k you @VICE for making the world a worse place. F**k every person who tells me who I can't talk to." @kan…</t>
  </si>
  <si>
    <t>RT @ScottAdamsSays: Bricks for cheap. Robots to assemble them into low cost homes. Tunnels for infrastructure. Solar power plus Tesla home…</t>
  </si>
  <si>
    <t>RT @kanyewest: we are programmed to always talk and fight race issues. We need to update our conversation.</t>
  </si>
  <si>
    <t>RT @kanyewest: in school we need to learn how magic Johnson built his business not always about the past. Matter fact I've never even heard…</t>
  </si>
  <si>
    <t>RT @kanyewest: most fear is learned</t>
  </si>
  <si>
    <t>RT @kanyewest: this is so helpful. I'm always a student. I'm learning about love https://t.co/IknblRx4Pk</t>
  </si>
  <si>
    <t>RT @kanyewest: if you’re in the way of your own life you’ll end up in the way of other people’s lives too</t>
  </si>
  <si>
    <t>Add to that list:
Ayn Rand
Thomas Jefferson
Stefan Molyneux
Dennis Prager
Larry Elder
Ludwig von Mises https://t.co/nkKGJQQKcN</t>
  </si>
  <si>
    <t>Love you bigly! https://t.co/jYMeetCjaz</t>
  </si>
  <si>
    <t>RT @BretEastonEllis: All hail Kanye... https://t.co/azbck6Iuak</t>
  </si>
  <si>
    <t>Author Bret Easton Ellis says:  "If you have a 'problem' with Kanye's tweets then YOU are the problem."  #ThinkForYourself #VoteDemsOUT #EscapeDemMentalPrison</t>
  </si>
  <si>
    <t>Thanks for your candor Bret! https://t.co/3HUQAFcUxk</t>
  </si>
  <si>
    <t>Beverly Hills voted for Trump in 2016—one of the only bits of red out here in a sea of blue &amp;amp; that fact does not fit into a neat narrative about So-Cal Hollywood liberalism. Time for change!  #VoteDemsOUT</t>
  </si>
  <si>
    <t>Hollywood is both hysterically emotional about its liberalism, but it’s locked in a major hypocrisy because it is one of the least inclusive capitalist societies that exists. #VoteDemsOUT</t>
  </si>
  <si>
    <t>Screenwriter-author Bret Easton Ellis believes there’s a backlash brewing against Leftist Hysteria in Hollywood; sees a future where more celebrities like Kanye West will rebel against the liberal orthodoxy that tries to shut blacks up! #ThoughtPolice https://t.co/GMxirzwaCb</t>
  </si>
  <si>
    <t>Bret Easton Ellis: ‘Leftist Hysteria,’ Thought Police Will Create Many More Kanyes https://t.co/GMxirzwaCb via @BreitbartNews</t>
  </si>
  <si>
    <t>Saudi Arabia is in full agreement with President Trump!
#MAGA #Winnning
#VoteDemsOUT https://t.co/QukcQyBPjI</t>
  </si>
  <si>
    <t>RT @kbsalsaud: The Kingdom of Saudi Arabia fully supports the measures taken by @POTUS with regards to the JCPOA. we always had reservation…</t>
  </si>
  <si>
    <t>RT @GlenWoodfin: Trump: We're Out of Iran Deal and Reinstating Sanctions - Iran 'Will Have Bigger Problems' if It Keeps Nuclear Aspirations…</t>
  </si>
  <si>
    <t>Mostly Muslim. https://t.co/KpyCdkXf9O</t>
  </si>
  <si>
    <t>WH Correspondents' Association Exposed --&amp;gt; Regularly Spends About 85% of WHCD Revenue on Annual Party, Not Scholarships. #LiberalHypocrits #VoteDemsOUT  https://t.co/oko8twYWoy</t>
  </si>
  <si>
    <t>Alleged Abuse Victim Urged to Keep Quiet to Protect 'Democrat' Schneiderman.  #VoteDemsOUT  https://t.co/7cCCSgy35f</t>
  </si>
  <si>
    <t>Promise Kept: Donald Trump Announces Decision to Withdraw from Iran Deal.  THANK YOU PRESIDENT TRUMP!  https://t.co/MPjKRVJh1t via @BreitbartNews</t>
  </si>
  <si>
    <t>Now that Trump nuked the IRAN DEAL --&amp;gt; how about we ask for our $400 million in cash back???
#VoteDemsOUT</t>
  </si>
  <si>
    <t>Jerusalem Mayor Nir Barkat announced his intention to formally name the square near the US embassy site the "United States Square in honor of President Donald Trump," the Jerusalem Press Ofc released on Tues.</t>
  </si>
  <si>
    <t>DEMOCRATS and John Kerry. https://t.co/WIPgIBSJTT</t>
  </si>
  <si>
    <t>#VoteDemsOUT  #VoteRED2018 https://t.co/BzU4Hp3c19</t>
  </si>
  <si>
    <t>RT @charliekirk11: No more piles of cash to terrorists 
No more hundreds of billions to a country that hates us
No more lying about radiati…</t>
  </si>
  <si>
    <t>If FBI's ROSENSTEIN instructed Mueller to go after Manafort for crimes he allegedly committed in 2005 --&amp;gt;  HOW IS THAT RELEVENT TO THE 2016 ELECTION??? #FireRosenstein #FireMueller #VoteDemsOUT</t>
  </si>
  <si>
    <t>Rosenstein issued a memo that provided “a more specific description” of special counsel’s authority, including authority to investigate whether Manafort “[c]ommitted a crime arising out of pmts he recd from the Ukrainian govt b4 &amp;amp; during the tenure of Pres Viktor Yanukovych[.]”</t>
  </si>
  <si>
    <t>She endorsed a sexual pervert. https://t.co/Gu0894RX4f</t>
  </si>
  <si>
    <t>THANK YOU MR. PRESIDENT!
#MAGA https://t.co/GYQcsEZKgz</t>
  </si>
  <si>
    <t>Why The FBI's Raid On Michael Cohen Sets A Dangerous Precedent --&amp;gt; 
 #VoteDemsOUT https://t.co/yjBtDbxSK2</t>
  </si>
  <si>
    <t>Robert Mueller’s charges against Paul Manafort were unrelated to Russian meddling, govt only decided to indict Manafort after Mueller took over.  #VoteDemsOUT #DrainTheSwamp #AbolishDeepState</t>
  </si>
  <si>
    <t>Fans Take On Marvel, DC, And The Comic Book Industry's SJW Self-Destruction https://t.co/y1lJa3NFmk</t>
  </si>
  <si>
    <t>Left-wing non-govt orgs are circling the wagons around a rogue U.N. commission accused of vile human-rights abuses . Many NGOs and media operations working in Guatemala are funded by George Soros’s Open Society Foundation. https://t.co/gvvS8ypDsu</t>
  </si>
  <si>
    <t>RT @JoinTravisAllen: .@JoinTravisAllen was just LIVE in Placer County fighting @JerryBrownGov's Illegal Sanctuary State and encouraging Pla…</t>
  </si>
  <si>
    <t>Accused Women Abuser Eric Schneiderman a Prime Mueller Team Member https://t.co/ofZ0zGMmlc</t>
  </si>
  <si>
    <t>The hypocrisy of the LEFTIST #FakeNews MEDIA cabal!
#VoteDemsOUT https://t.co/Nw88NlyKWk</t>
  </si>
  <si>
    <t>UK Sociliazed Healthcare system killed little Alfie Evans.  Conservatives correctly claiming This is what you get under socialized medicine: heartless govt that overrides parental rights to pull the plug on your children.  #RejectSocialism #SocialismKills #VoteDemsOUT</t>
  </si>
  <si>
    <t>Acc. to govt's own data, 1/4 of all Food Stamp spending is for JUNK FOOD.  I say we END ALL WELFARE!  Watch farmers, companies and individuals get creative &amp;amp; productive when they don't get a handout from taxpayers!  #EndAllWelfare</t>
  </si>
  <si>
    <t>Hurricanes Harvey and Irma Can’t Be Blamed on Global Warming.  #CATO https://t.co/29VNlRxwR2 via @CatoInstitute</t>
  </si>
  <si>
    <t>Privatizing Federal Electricity Infrastructure https://t.co/u0K33w6Ns6 via @CatoInstitute</t>
  </si>
  <si>
    <t>Author Nadine Strossen showcases the Cato Institute pocket constitution on C-SPAN’s Washington Journal https://t.co/U3oxyYAUXz via @CatoInstitute</t>
  </si>
  <si>
    <t>RT @JDugudichi: Conservative Republican say: Give me liberty or give me death.
Liberal Democrats say: Make me a slave, just pay me enough</t>
  </si>
  <si>
    <t>EPA Scott Pruitt has intro'd 3 new guidelines. 1st - rid the Agency’s Science Advisory Bds of conflicts of interest. 2nd - when basing regulations on science — to use only science that allows access to its underlying data &amp;amp; methods. 3rd - use only science that can be replicated</t>
  </si>
  <si>
    <t>Scott Pruitt’s Science Legacy - science based on verifiable data, not leftist propaganda! #Winning https://t.co/vdK2eaXDEC</t>
  </si>
  <si>
    <t>All School Choice Is Great, but Private Is Better Than Public https://t.co/y1eJXhyKjV via @CatoInstitute</t>
  </si>
  <si>
    <t>Why We Need to Stop Subsidizing Public Transit https://t.co/uCQsJuCjO8 via @CatoInstitute</t>
  </si>
  <si>
    <t>In Denial: 'The View' Refuses This Great News for Blacks Under Trump.  Dems only look for IDENTITY POLITICS.  #VoteDemsOUT  https://t.co/N4JKRdCVgS</t>
  </si>
  <si>
    <t>Socialism Is So Bad for Economies That a Video Game's Currency Is Now Worth Astoundingly More Than Venezuela's https://t.co/h9IOeY5xky</t>
  </si>
  <si>
    <t>Nancy Pelosi Just Bombed Democrat's Chances in 2018 With One Line.  #VoteDemsOUT  https://t.co/u0iD0RKMuV</t>
  </si>
  <si>
    <t>America Wins! Last Man Standing Will Return to Fox. 
 https://t.co/tUu1V0Ae68</t>
  </si>
  <si>
    <t>YouTube Has Decreed Pro-Life Voices Are "Dangerous" --&amp;gt; CRAZY LEFTISTS believe in death &amp;amp; killing the unborn! https://t.co/RNLwn8FH5D</t>
  </si>
  <si>
    <t>THE ONLY REASON EU countries want to stay in the flawed Iran nuclear agreement is that they want to sell their goods to Iran.  They are only thinking of themselves!</t>
  </si>
  <si>
    <t>What CNN Left Out –  MUELLER is best friend of fired leaker James Comey.  Hand delivered uranium to the Russians per direction of Hillary Clinton on an airport tarmac in Europe. He was also FBI Director when Uranium One Obama-Clinton scandal took place.</t>
  </si>
  <si>
    <t>What CNN Left Out –&amp;gt; Ask Kim Dotcom re FBI’s actions in Megaupload case.  His house in New Zealand was raided in a similar fashion to Mueller raid on Manafort.  They froze his assets &amp;amp; hv taken actions similar to bullying actions they are using today on Trump family &amp;amp; friends.</t>
  </si>
  <si>
    <t>Napolitano: AG Schneiderman Was Included in Deep State Off-Site "Secret Society" Meetings to Take Down Trump.   https://t.co/2B6yC5JBp2</t>
  </si>
  <si>
    <t>What CNN Left Out–&amp;gt;Atkinson, ianother biased Mueller team guy who donated 2 Clinton campaign in 2016. On Fri, one of 3 indicted Russian cos, Concord Mgmt, has asked for info re indictment that many suggest will end in Mueller team dropping the indictments due 2 lack of evidence</t>
  </si>
  <si>
    <t>HERE are FACTS about Mueller's Team of 13 Angry Democrats that CNN failed to report on --&amp;gt;: What the Conspiracy Media Tells You, And What Is the Truth https://t.co/cKJm7Dk0dL</t>
  </si>
  <si>
    <t>Sara Carter reported “Flynn pled guilty to 1 count of lying to FBI, despite testimony provided to Congress by former FBI Dir James Comey, who stated the agents did not believe Flynn had lied about his conversation w/ former Russian Amb Kislyak in Dec 2016.”</t>
  </si>
  <si>
    <t>New judge overseeing Michael Flynn case, Judge Emmet G. Sullivan --&amp;gt; ordered Special Counsel Robert Mueller to provide Flynn’s attorneys with any &amp;amp; all information that may have been withheld from the case.  
https://t.co/cKJm7Dk0dL</t>
  </si>
  <si>
    <t>Rudolph Contreras, was recused from Flynn case 4 unknown reasons.  He was also FISA Court judge who was courted for dinner w/ former Mueller team members Peter Strzok &amp;amp; Lisa Page.  Strzok participated in FBI’s questioning of Flynn on Jan 24 before joining Mueller’s team.</t>
  </si>
  <si>
    <t>POTUS Trump Puts John Kerry on Notice For His "Possibly Illegal Shadow Diplomacy" on Iran Nuclear Deal https://t.co/BYy9ExmqpZ</t>
  </si>
  <si>
    <t>Boom! POTUS Trump Calls Out Lovebirds Strzok and Page -- Asks Why Is Peter Strzok Still Working at FBI? https://t.co/6FQrEkFZxN</t>
  </si>
  <si>
    <t>HERE Is the Complete List of Mueller's Team of 13 Angry Democrats: What the Conspiracy Media Tells You, And What Is the Truth https://t.co/cKJm7Dk0dL</t>
  </si>
  <si>
    <t>EPIC: Actors Read The Real "Facts On FEMINISM" From A Teleprompter, Their Responses Are Priceless [VIDEO] https://t.co/KDfnHtiN6S</t>
  </si>
  <si>
    <t>Former Asst. Secretary of State: DOJ Should Issue Cease and Desist Order to John Kerry and Suspend His Security Clearance (VIDEO) https://t.co/DySMp09BQA</t>
  </si>
  <si>
    <t>Reporter Warns: Significant Story Coming Out About "Trump Foe" That Will Delight the President and Could Impact Legal Matters https://t.co/SDHM45A5Be</t>
  </si>
  <si>
    <t>The Great Hope of the DNC to Take Down Trump Is Charged with Beating, Slapping, Choking, Threatening 4 Women https://t.co/Td8jIP6jnh</t>
  </si>
  <si>
    <t>NY AG Schneiderman Releases Statement- Says it Was Just 'Role-Playing' When he Slapped, Beat, Choked, Threatened 4 Women https://t.co/qrLxu4PtEe</t>
  </si>
  <si>
    <t>BREAKING: New York Governor Calls on Democrat AG Schneiderman to Resign after Accusations of Beating-Choking Women https://t.co/qWcV2fGlEy</t>
  </si>
  <si>
    <t>LIKE A BOSS=&amp;gt; Trump Predicted Downfall of Schneiderman Back in 2013 'Worse Than Spitzer, Weiner' https://t.co/u4EwKmb0cz</t>
  </si>
  <si>
    <t>PHOTOS: New York AG Eric Schneiderman Spoke at 2018 Women's March -- Now Accused of Beating Women https://t.co/oKnHl4tZwa</t>
  </si>
  <si>
    <t>Still Haunted by Her Inner and Outer Demons Hillary Wears Back Brace for New Zealand Speech https://t.co/dgK1Hp3bJd</t>
  </si>
  <si>
    <t>WOW. Ultra Liberal NY Mayor Bill de Blasio Refuses to Comment After AG Schneiderman Accused of Beating and Threatening Women. TIME TO #VoteDemsOUT https://t.co/VfeWhGDH5d</t>
  </si>
  <si>
    <t>BREAKING: Manhattan DA Opens Investigation Into Eric Schneiderman After Multiple Women Accuse Him of Physical Abuse https://t.co/DlvV1ETclH</t>
  </si>
  <si>
    <t>SCOTT ADAMS: Media Is Hurting Black People By Policing Who They Are Allowed To Talk To https://t.co/FqNv4cY14r</t>
  </si>
  <si>
    <t>White House Calls Out CNN's April Ryan for Calling First Lady Melania Trump 'Not Culturally American,'  OH BUT ILLEGALS ARE?  #LiberalHypocrisy #VoteDemsOUT https://t.co/7i2xkQFs4X</t>
  </si>
  <si>
    <t>Schneiderman Schadenfreude as Samantha Bee Loses It After Her Anti-Trump Hero is Accused of Abusing Women.  LIBERALS ALWAYS EMBRACE EVIL PERVERTS. https://t.co/aN6aqaqHNz</t>
  </si>
  <si>
    <t>"You Are Hurting Your Country" President Trump Warns John Kerry to Stay Away from Iran Negotiations https://t.co/xuCbBFjkJI</t>
  </si>
  <si>
    <t>Napolitano: AG Schneiderman Was Included in Deep State Off-Site "Secret Society" Meetings to Take Down Trump (VIDEO) https://t.co/2B6yC5s0xu</t>
  </si>
  <si>
    <t>Wait, This Wasn't Supposed to Happen?... VP Mike Pence Swears in Gay Ambassador Rick Grenell with His Partner By His Side!  https://t.co/X8xNYD3dob</t>
  </si>
  <si>
    <t>Texas Border County Bailiff Forged Documents to Help Steal Drugs, Say Feds https://t.co/hbLEGioRwg</t>
  </si>
  <si>
    <t>John Sununu:  Kimberlin Brown Pelzer Can Set Example of Conservative Victory in CA-36 --&amp;gt; Coachella Valley!  #KickRuizOUT #VoteDemsOUT  https://t.co/5W42KvZQTA</t>
  </si>
  <si>
    <t>RT @LisaSmith4680: Ready for your daily dose of TRUTH?
Listen to @WayneDupreeShow's latest episode!
Should Trump pull out of Obama's Iran d…</t>
  </si>
  <si>
    <t>GOOD RIDDANCE!  Freedom and the Bill of Rights is for every person, not just liberals!  Liberals don't get to choose for me or my family!  #LessGovt #LowerTaxes #MAGA #VoteDemsOUT https://t.co/JqcN2qwypq</t>
  </si>
  <si>
    <t>Facebook Creating Global Jihadist Networks, Researchers Claim ---&amp;gt;&amp;gt;&amp;gt; UNBELIEVABLE!  #VoteDemsOUT https://t.co/rtOvYiVo8S</t>
  </si>
  <si>
    <t>Donald Trump: 'Stay Away' John Kerry, 'You Are Hurting Your Country' https://t.co/KCjtla4vci</t>
  </si>
  <si>
    <t>Fashion Notes: Melania Trump Unveils 'Be Best' Initiative in Ralph Lauren Leather Jacket! #FLOTUS is always gorgeous!  https://t.co/qRkMHVo2z6 via @BreitbartNews</t>
  </si>
  <si>
    <t>Chelsea Manning Wants to Eliminate U.S. Borders, Close Prisons in U.S. Senate Bid.  He wants COMMUNISM!  https://t.co/lxnZ0DIqmZ via @BreitbartNews</t>
  </si>
  <si>
    <t>.@WhoopiGoldberg President Trump doesn't engage in IDENTITY POLITICS.  3 million new jobs this past year helps ALL individuals, black, white, yellow, brown.  Only Democrats pit 1 group against another by doling out taxpayers' money &amp;amp; freebies.  #JobsNotWelfare #MAGA</t>
  </si>
  <si>
    <t>WH Correspondents' Assn Exposed: Regularly Spends About 85% of WHCD Revenue on Annual Party, Not Scholarships.  #LeftistScum https://t.co/oko8twYWoy</t>
  </si>
  <si>
    <t>New Yorker: Four Women Accuse New York’s Democrat Atty General Eric Schneiderman of Physical Abuse | Breitbart https://t.co/jOfNRl37ui</t>
  </si>
  <si>
    <t>New York Democrat Atty General Eric Schneiderman Resigns over Women Abuse Claims | Breitbart https://t.co/ZVllDgPgFT</t>
  </si>
  <si>
    <t>Trump Tweet Predicted Schneiderman Demise 4.5 Years Ago | Breitbart https://t.co/93AluZcWj9</t>
  </si>
  <si>
    <t>Is Hillary Clinton wearing a back brace? https://t.co/NasZ5bbimQ via @MailOnline</t>
  </si>
  <si>
    <t>Four Women Accuse New York’s Democratic Atty General of Physical Abuse, RESIGNS! https://t.co/AmlVxfHCli</t>
  </si>
  <si>
    <t>Eric Schneiderman, NY atty gen, a liberal Democratic champion of women’s rights, recently has become an outspoken figure in the #MeToo movement against sexual harassment.  He resigned b/c of abuse twds women! He engages in S&amp;amp;M! #LiberalHypocrits
https://t.co/AmlVxfHCli</t>
  </si>
  <si>
    <t>The Tenured Enemy in Our Midst --&amp;gt; #VoteDemsOUT https://t.co/MmEfkVbDD8</t>
  </si>
  <si>
    <t>LIBERALS claim 11 million Illegals add to our economy --&amp;gt;&amp;gt;  If that's the case, why didn't they stay in their home countries and help their own economies??? #LiberalLogic #LiberalismIsAMentalDisorder #VoteDemsOUT</t>
  </si>
  <si>
    <t>If 11 million illegals are hard-working people who add to our economy (as Dems tell us) --&amp;gt; Why is it that more than half of them are on welfare???
#LiberalLogic #LiberalismIsAMentalDisorder 
#VoteDemsOUT</t>
  </si>
  <si>
    <t>Nickolas Cruz was in Obama-backed discipline diversion program, Broward school district admits.  https://t.co/PsTFC25MD9</t>
  </si>
  <si>
    <t>Why the Second Amendment?  
#VoteDemsOUT https://t.co/eqyisS8Ssh</t>
  </si>
  <si>
    <t>DEMOCRAT LIES &amp;amp; why we must #VoteDemsOUT --&amp;gt;
Obama lied about Iran.
Obama lied about Obamacare.
Loretta Lynch lied about her tarmac meeting.
Comey leaked.
McCabe lied under oath.
Hillary lied about Benghazi.
Eric Holder lied about Fast &amp;amp; Furious.
Susan Rice lied about the video.</t>
  </si>
  <si>
    <t>IMPRIMIS - Hillsdale College Free publication featuring conservative scholars &amp;amp; thinkers.  You can subscribe at https://t.co/kOddpEIpp6</t>
  </si>
  <si>
    <t>DEMOCRATS make up the overwhelming majority of mass murderers.
#VoteDemsOUT</t>
  </si>
  <si>
    <t>OVERWHELMING MAJORITY of mass shootings have been committed by Democrats/Leftists.  Maybe we should keep guns out of the hands of Democrats!  #VoteDemsOUT</t>
  </si>
  <si>
    <t>Nikolas Cruz was in Obama-backed discipline diversion program, Broward school district admits.  https://t.co/PsTFC25MD9</t>
  </si>
  <si>
    <t>John Kerry should be jailed - https://t.co/gWXbcEsEZb - @washtimes</t>
  </si>
  <si>
    <t>Climate skeptics more eco-friendly than global-warming alarmists: study - https://t.co/6PqRrwrmS7 - @washtimes</t>
  </si>
  <si>
    <t>If 11 million illegals are hard-working people who add to our economy --&amp;gt; Why is it that more than half of them are on welfare???
#LiberalLogic #LiberalismIsAMentalDisorder 
#VoteDemsOUT</t>
  </si>
  <si>
    <t>LIBERALS claim that 11 million Illegals add to our economy.  If that's the case, why didn't they stay in their own countries and help their own economies??? #LiberalLogic #LiberalismIsAMentalDisorder #VoteDemsOUT</t>
  </si>
  <si>
    <t>Diamond and Silk Torch Democratic Party At NRA Annual Meeting https://t.co/N4Zr3QzgHy</t>
  </si>
  <si>
    <t>Liberalism Must Be Destroyed.  It's a Mental Disorder. #VoteDemsOUT to save the country!  https://t.co/cLXqHXiPax</t>
  </si>
  <si>
    <t>The Tenured Enemy in Our Midst  https://t.co/MmEfkVbDD8</t>
  </si>
  <si>
    <t>Obama Record of Lawlessness Continues with New Enablers https://t.co/IopZBvGbgK</t>
  </si>
  <si>
    <t>Pelosi Pushes for Ethics Investigation of House Democrat Accused of Sexually Assaulting a Minor https://t.co/Qffbi8T9ql</t>
  </si>
  <si>
    <t>Memo to John Kerry on Iran Meddling: America Only Has One Secretary of State at a Time. It's No Longer You. https://t.co/xB8OZBP2dN</t>
  </si>
  <si>
    <t>DEMOCRATS don't want a woman, Gina Haspeil, to head the CIA because she's too tough on terrorists.  #VoteDemsOUT</t>
  </si>
  <si>
    <t>Convention of States poll results: 77% believes Mueller wants to "take Trump down."
https://t.co/prP7FXJQNt</t>
  </si>
  <si>
    <t>RT @COSProject: Bob just turned 87, but that hasn't stopped him for fighting for the future of his kids and grandkids. https://t.co/MfTuyDB…</t>
  </si>
  <si>
    <t>RT @COSProject: For ourselves and our posterity. https://t.co/mYOSrPaJIx https://t.co/3dhqVz9gsN</t>
  </si>
  <si>
    <t>RT @COSProject: 12 states are already on board with our plan to invoke Article V of the Constitution to place:
1. Fiscal restraints on the…</t>
  </si>
  <si>
    <t>#VoteDemsOUT https://t.co/hZnK5ohqFd</t>
  </si>
  <si>
    <t>RT @thebradfordfile: Rep. @TedLieu keeps tweeting about a hush payment to a porn star.
What about the millions of tax dollars spent to cov…</t>
  </si>
  <si>
    <t>RT @Thomas1774Paine: FAMILY BUSINESS: John Kerry Tries To Save Iran Deal After Daughter Married Iranian National; Best Man Was Son Of Iran’…</t>
  </si>
  <si>
    <t>RT @JJDanceN1: Nunes Jst Called Out John Kerry 4 Violating This MAJOR U.S. Law https://t.co/pWScwD2AfZ via @truthfeednews❌Nunes has OUTED K…</t>
  </si>
  <si>
    <t>RT @DineshDSouza: “Even the ant who has toiled &amp;amp; dragged a crumb to its nest will furiously defend the fruits of its labor against a robber…</t>
  </si>
  <si>
    <t>RT @RedNationRising: “Trump’s ‘communication style’ sometimes makes me uncomfortable,” @nikkihaley
Politicians tip toeing around, too scar…</t>
  </si>
  <si>
    <t>RT @VivianMHari: https://t.co/hERXHyScvf</t>
  </si>
  <si>
    <t>Open Ltr to EU Comm. president --&amp;gt; It is today more necessary than ever to debunk Karl Marx’s wrong theories. We also request you to make a formal apology to the victims of communism for this mistake. https://t.co/5IZEA0XO7G</t>
  </si>
  <si>
    <t>Official complaint letter to EU Commission President re attendance at Karl Marx Anniversary event. https://t.co/5IZEA0XO7G</t>
  </si>
  <si>
    <t>Marx &amp;amp; Communism --&amp;gt; Entire societies in the Eastern part of Europe were starved, exploited &amp;amp; denied basic human rights, even to the extent of systematically forcing children out of school to work in the fields every year.</t>
  </si>
  <si>
    <t>RT @jordanbpeterson: Minister bans student trend of censoring controversial speakers https://t.co/YwI1fZlUJc</t>
  </si>
  <si>
    <t>Even today there are still many countries in the world where the population suffers from the ideological abomination created by Karl Marx. More than 100 million people died as a direct consequence of communism in the past century all over the world.</t>
  </si>
  <si>
    <t>RT @jordanbpeterson: Read it and weep, if you have sense and heart: https://t.co/L8H0i8fbYR https://t.co/vgKFaLNrmb</t>
  </si>
  <si>
    <t>RT @jordanbpeterson: An older but vitally important Quillette piece from Claire Lehmann https://t.co/1erpnDiKmx via @QuilletteM</t>
  </si>
  <si>
    <t>So sad. https://t.co/iDJwGfuPI4</t>
  </si>
  <si>
    <t>RT @jordanbpeterson: Straighten up and fly right with PresentAuthoring: Virtue and Faults at https://t.co/v3yOh8nGZg https://t.co/ZQn73Onqk0</t>
  </si>
  <si>
    <t>RT @jordanbpeterson: Dan Sanchez outlines my arguments for the primacy of the individual: https://t.co/PRTUIwHcp1+/articles/jordan-b-peters…</t>
  </si>
  <si>
    <t>RT @amylmaris: @HumanProgress We are the luckiest generation that has ever lived. On average, we are longer living, richer, healthier, more…</t>
  </si>
  <si>
    <t>RT @kwralex: @HumanProgress Abundant affordable energy, which lead to the industrial revelation. That fueled middle class wealth, education…</t>
  </si>
  <si>
    <t>RT @jordanbpeterson: The Pareto principle operates over the historical and biological timespans, as well. https://t.co/ptQzmxdgV7</t>
  </si>
  <si>
    <t>Thank you for this suggestion.  I preach it all the time!  I write my govt several times a year &amp;amp; to my elected representatives. Wish more would do the same! https://t.co/MVLGuP84DA</t>
  </si>
  <si>
    <t>More money should be going to the students, not the staff. https://t.co/PvycSCVXoo</t>
  </si>
  <si>
    <t>RT @jordanbpeterson: We hear too much negative information. This is why I retweet @HumanProgress @sapinker @OurWorldInData and so on. Join…</t>
  </si>
  <si>
    <t>RT @JackBMontgomery: Dr @JordanBPeterson and Anti-Communist Groups Slam EU Boss for Marx Statue https://t.co/Jr1ZRBFnRS</t>
  </si>
  <si>
    <t>RT @JackBMontgomery: Gun-Free Britain? Four Shootings in 48 Hours in Sadiq Khan’s London https://t.co/LdTIxUPitR</t>
  </si>
  <si>
    <t>Gun-Free Britain: Four Shootings in 48 Hours in Sadiq Khan's London https://t.co/YrqcZ5acAn</t>
  </si>
  <si>
    <t>Using liberal logic, will liberal socialist CANADA now ban vans for killing people?  Or will they come to their senses and blame the evildoer? #EvilVans</t>
  </si>
  <si>
    <t>RT @ACTBrigitte: If I were a liberal the left would prop me up as a reason all Lebanese immigrants should vote Democrat.
However, I'm obvi…</t>
  </si>
  <si>
    <t>Op-ed: The deep state has weaponized security clearances - preventing Trump's nominations ON PURPOSE! #VoteDemsOUT   https://t.co/PU46qYQrDy</t>
  </si>
  <si>
    <t>Steve Hilton Says: The elites' counter-revolution!  #VoteDemsOUT   https://t.co/05jpGRZ4bp</t>
  </si>
  <si>
    <t>Hey liberals, owning a gun IS the responsible thing to do!  #VoteDemsOUT https://t.co/9Wjvjo35OS #FoxNews</t>
  </si>
  <si>
    <t>Comey's media tour shows why we're better off without him https://t.co/9n3o0Xnxxv via @nypost</t>
  </si>
  <si>
    <t>"No rational American can oppose N Korea’s tentative promise to give up its nuclear weapons. Almost as important is the fact that Trump’s threat to withdraw from the Iran deal is leading Europe, esp France, to concede that the deal is flawed &amp;amp; must be toughened." - M. Goodwin</t>
  </si>
  <si>
    <t>Goodwin:  During a recent dinner, a liberal friend gave me a shock. “I didn’t vote for Trump,” she said, “but I have to admit I like that our country is on top again. I’m proud that we’re the most powerful country and that others respect our power.” https://t.co/DNx8xm5Pt0</t>
  </si>
  <si>
    <t>Michael Goodwin: Trump is putting the US back on top https://t.co/yvh9sFEa73 #FoxNews</t>
  </si>
  <si>
    <t>Blue State blues -- Trump's tax cut is supercharging job growth in low tax states https://t.co/SZM6xd2H9e #FoxNews</t>
  </si>
  <si>
    <t>Steve Hilton: Mueller probe is a political counter-revolution to overthrow Trump -- It must be defeated https://t.co/fc33Bjk5QI #FoxNews</t>
  </si>
  <si>
    <t>Illinois counties form 'sanctuaries' for gun owners to thwart state's push for gun control https://t.co/KRI13lXrXM #FoxNews</t>
  </si>
  <si>
    <t>RT @JackPosobiec: How the Russian collusion myth was hatched by Team Hillary immediately after her loss
https://t.co/eZ74P3CwwN</t>
  </si>
  <si>
    <t>Thank you! https://t.co/yhfpnwWlfd</t>
  </si>
  <si>
    <t>#VoteDemsOUT https://t.co/Z6Ko6u2drk</t>
  </si>
  <si>
    <t>#VoteDemsOUT https://t.co/y1DFeOf4mD</t>
  </si>
  <si>
    <t>#VoteDemsOUT  Please get the word out by using this hastag -- #VoteDemsOUT https://t.co/VdY0ciZw5l</t>
  </si>
  <si>
    <t>RT @AnthemRespect: Come In &amp;amp; Inject Heroin, says @NYCMayor Bill de Blasio.
Excuse me, Heroin is illegal. But NYC is a #SanctuaryCity, so I…</t>
  </si>
  <si>
    <t>Michelle Obama is an ugly, hateful, vicious, vile person inside and out --&amp;gt; UNLIKE THE BEAUTIFUL, GRACIOUS FIRST LADY MELANIA TRUMP, who can speak in 5 languages. https://t.co/GJG6smnn6p</t>
  </si>
  <si>
    <t>RT @DineshDSouza: I notice the leftist weasels who call me “felon” have gone dead silent about Rosie committing 5–yes five—campaign finance…</t>
  </si>
  <si>
    <t>RT @almostjingo: One report is on the exact same day Comey gave recommendation, which we already know was pre-written and the other report…</t>
  </si>
  <si>
    <t>RT @mikandynothem: In a sad display void of God's love, John McCain banned Mr. Trump from his funeral. 
For the record, my worst enemy is w…</t>
  </si>
  <si>
    <t>RT @NRATV: “If they wanna march against something, how about marchin against the Democratic party who created the KKK and the Jim Crow days…</t>
  </si>
  <si>
    <t>RT @FiveRights: Obamagate dwarfs Watergate.
O appointed
Loretta Lynch AG
James Comey Director FBI
John Brennan Director CIA
James Clapper D…</t>
  </si>
  <si>
    <t>Because we wanted a real First Lady! https://t.co/8xRDmc6lRJ</t>
  </si>
  <si>
    <t>@JimCarrey First on the bus should be --&amp;gt; Obama, Hillary, Holder, Lynch, Rice, Comey, Clapper, Brennan, McCabe, Rosenstein, Mueller --&amp;gt; all lying dirty filthy animals out to destroy our country &amp;amp; constitution.</t>
  </si>
  <si>
    <t>@JimCarrey Terror comes to Toronto. Only a matter of time with your laughable child prime minister whose only claim to fame is that he backpacked to 90 countries?  What a joke! I predicted under Trudeau, &amp;amp; his open door policy, terrorism would strike!  Maybe Toronto should ban all vehicles!</t>
  </si>
  <si>
    <t>@JimCarrey Where's your proof?  Judge says Mueller has no case against Manafort.  You must be getting your news from jaded sources in Canada.</t>
  </si>
  <si>
    <t>.@JimCarrey We were always a nation of gun owners.  If you hate the US so much, why did you become a citizen?  We don't want to become Canada.  Perhaps you should go back there where censorship and lack of free speech is on full display.</t>
  </si>
  <si>
    <t>Report: CBS, PBS Knew About SCUMBAG Charlie Rose's Alleged Sexual Misconduct for Years https://t.co/xKhE27oNiY</t>
  </si>
  <si>
    <t>Shock Study: Climate Skeptics More ‘Eco-Friendly’ than Climate Alarmists https://t.co/iBOWuFkD3D</t>
  </si>
  <si>
    <t>@fbnewsroom QUIT censoring conservative news sites!  This is getting so blatantly sickening!  Censorship is what communists do to stop freedom of speech!  #NoCensorship</t>
  </si>
  <si>
    <t>Confirmed: Facebook&amp;amp;#8217;s Recent Algorithm Change Is Crushing Conservative Sites, Boosting Liberals https://t.co/SBgcsFvaR4</t>
  </si>
  <si>
    <t>RT @jerome_corsi: Facebook's Recent Algorithm Change Is Crushing Conservative Sites, Boosting Liberals https://t.co/Rs8qe20M2a Conservative…</t>
  </si>
  <si>
    <t>Gotta love Sabo! Very clever! https://t.co/aqQn5pWrc7</t>
  </si>
  <si>
    <t>RT @jerome_corsi: World-Renowned Oncologist ANON: "McCain is about to pull a Herman Goering to escape prosecution and the gallows of a mili…</t>
  </si>
  <si>
    <t>RT @jerome_corsi: Now posted on my YouTube Channel https://t.co/5nIEnlvI8n Sunday, May 6, a Live Chat "How @realDonaldTrump can FIRE MUELLE…</t>
  </si>
  <si>
    <t>RT @abigaladams18: Trump wins again.  Trump is taking up space in the mind of this idiot on his Deathbed.  WINNING @realDonaldTrump @SenJoh…</t>
  </si>
  <si>
    <t>Where's Sean Penn or Danny Glover now?  Why aren't they spreading their millions around to help the poor starving people of Venezuela?
#VoteDemsOUT https://t.co/4PpPry3zna</t>
  </si>
  <si>
    <t>RT @abigaladams18: My passion 4 politics began in 06 my daughter was born with Down Syndrome. When Barack Obama started to run 4 prez I saw…</t>
  </si>
  <si>
    <t>RT @RealMAGASteve: Breaking: In testimony before the House Intel committee, lawyers for the Washington Free-Beacon revealed Never-Trump Lou…</t>
  </si>
  <si>
    <t>McCain is a the kind of politician that makes me want to PUKE! https://t.co/gCI7d6GwwC</t>
  </si>
  <si>
    <t>RT @MichelleTrain79: @FoxNews @POTUS Polls said, Hillary, would win look how that turned out. #LMAO https://t.co/tI6mEiH6R6</t>
  </si>
  <si>
    <t>RT @JackPosobiec: Most people don’t know @GenFlynn was 82nd Airborne 
Veterans know what that means</t>
  </si>
  <si>
    <t>The Solution?
#VoteDemsOUT https://t.co/5H7jchdaLY</t>
  </si>
  <si>
    <t>RT @RichardTBurnett: Illegals = no rights. Illegals = no rights. Illegals = no rights. Illegals = no rights. Illegals = no rights. Illegals…</t>
  </si>
  <si>
    <t>RT @starcrosswolf: FAMILY BUSINESS? Kerry’s daughter Vanessa is married to an Iranian national &amp;amp; physician. His best man at the ceremony wa…</t>
  </si>
  <si>
    <t>CRAZY Nancy Pelosi Refuses to Call on Tony Cardenas to Resign After Child Molestation Claim | Breitbart https://t.co/VjQFNKf57b</t>
  </si>
  <si>
    <t>RT @michelle11502: Of course! @RealJamesWoods is amazing and has great views. https://t.co/mh7pZYAsWi</t>
  </si>
  <si>
    <t>RT @Belle4DJT: This is beyond disturbing, it’s time to dismantle these agencies...they’re out of control! @realDonaldTrump 
#DeepStateCorru…</t>
  </si>
  <si>
    <t>DISMANTLE the DEEP STATE!  
#DismantleTheFBI #DrainTheSwamp
#VoteDemsOUT https://t.co/Xl2v7ZRmht</t>
  </si>
  <si>
    <t>RT @brithume: The doctors said he had no chance. That’s why the parents signed the papers. Then he woke up and is talking &amp;amp; reading.  https…</t>
  </si>
  <si>
    <t>RT @JoshuaNorkin: This is a good Sunday thread. 
Public defenders of America, what trial are you currently prepping where the DA railroade…</t>
  </si>
  <si>
    <t>RT @reddogsusie: #TN #MEMPHIS
🆘🆘CRITICAL Black 1yo Male hw+ Surrendered as owner could no longer care for him. A gentle soul, good with kid…</t>
  </si>
  <si>
    <t>RT @Thomas1774Paine: BUSTED: Bill Kristol Linked to Fusion GPS Hiring by Free Beacon; Never Trump GOPers Paid For Dirt on Trump https://t.c…</t>
  </si>
  <si>
    <t>On Friday’s “PBS NewsHour,” NYT columnist David Brooks said the GOP tax bill is working better than he thought it would &amp;amp; the evidence “seems to be that what the Trump people told us would happen is happening, that companies are reinvesting the money.” https://t.co/U8aUVzSvEN</t>
  </si>
  <si>
    <t>DAVID BROOKS:  Trump's Tax Bill working better than I thought.  https://t.co/pE05RAg0HU</t>
  </si>
  <si>
    <t>Communist Antifa Members Burn Effigy of President Trump. #AntifaAreCommunists https://t.co/zejd4gAwda via @BreitbartNews</t>
  </si>
  <si>
    <t>Lindsey Graham: It's the 'End of North Korean Regime' if Kim Jong-Un Tries to Play Trump | Breitbart https://t.co/YcmMDZXoBz</t>
  </si>
  <si>
    <t>Majority Whip Scalise: DOJ Needs to Be Held Accountable --- I Have Deep Concerns About 'Stonewalling'  | Breitbart https://t.co/SOVDZWn2ih</t>
  </si>
  <si>
    <t>RT @NoLies2018x: @TheRealHublife JFK made the mistake of his plan to take out the deep state by his famous speech about Hidden Hands... Q t…</t>
  </si>
  <si>
    <t>RT @AlinaHere: Ssshhhhhh... #TrustSessions 👈😉👍🚂🇺🇸 https://t.co/Ze8p5mcgsq</t>
  </si>
  <si>
    <t>#MAGA #DrainTheSwamp #BuildTheWall #Trump2020
#VoteDemsOUT in November! https://t.co/sbKCChx4Dw</t>
  </si>
  <si>
    <t>RT @PatriciaMario10: Get on board or get the hell out of the way! https://t.co/4osUDoGvgV</t>
  </si>
  <si>
    <t>RT @bbusa617: DOPE SMOKIN COCAINE SNORTING PERVERT THAT BECAME THE WORST PRESIDENT IN AMERICAN HISTORY... https://t.co/Dpfrr6moAn</t>
  </si>
  <si>
    <t>RT @RedHatAttitude: Liberals are now working with a country that chants “death to America” in order to undermine Trump’s agenda. 
Let that…</t>
  </si>
  <si>
    <t>RT @FoxNews: .@SebGorka: "I just want to know now after this report came out about Kerry colluding - this is collusion, this is real collus…</t>
  </si>
  <si>
    <t>RT @deanmarachi: Well, The SOB @NYCMayor is all heart to take our tax money and spend it on free drug injection, supposedly to combat opine…</t>
  </si>
  <si>
    <t>RT @PammyGun: Thrilled supporters hit streets just 1 week ago celebrating @DiehlForSenate’s HUGE win as Endorsed Republican candidate for U…</t>
  </si>
  <si>
    <t>RT @1Romans58: YES! Do IT!  Do it NOW!  LOCK HIM UP! 
House Intel Committee Chairman Nunes: "Send in the G-Men" to Arrest John Kerry for V…</t>
  </si>
  <si>
    <t>RT @ROHLL5: Those who disrespect our flag have never been handed a folded one. 🇺🇸 https://t.co/FnJF6kHArN</t>
  </si>
  <si>
    <t>RT @PastorDScott: As far as "Faithfully Executing the Office of President of the United States; and to the best of his ability, Preserve, P…</t>
  </si>
  <si>
    <t>RT @Tracy_Burton: One, two, Trump’s coming for you.
Three, four, Better burn some more
Five, six, Better kill the snitch
Seven, eight, It’s…</t>
  </si>
  <si>
    <t>In a new filing demanding a full hearing on what Paul Manafort’s lawyers say is a series of illegal govt leaks about his case, his legal team also reveals the govt has provided no evidence of any contact between Manafort &amp;amp; Russian officials. https://t.co/YfTr6XHrDG</t>
  </si>
  <si>
    <t>Manafort Lawyers Claim Mueller Gave No Evidence Of Russia Contacts https://t.co/uy2FjHIsXR</t>
  </si>
  <si>
    <t>David Brooks on Trump Tax Bill: Says It's Working Better Than Expected.  https://t.co/pE05RAg0HU</t>
  </si>
  <si>
    <t>McCain Regrets Sarah Palin VP Pick. McCain is just another vile, vicious, hateful establishment guy.  Good Riddance McCain!  https://t.co/VYYpeBwsT8</t>
  </si>
  <si>
    <t>RT @myhtopoeic: Gen. Flynn strongly endorses Troy Downing for Senator, Big Sky State of Montana. Asks for Tester to be ousted for not keepi…</t>
  </si>
  <si>
    <t>RT @marklevinshow: I’ll ask again: if the Democrats thought the long dead Logan Act should be thrown at Trump officials, then how does Kerr…</t>
  </si>
  <si>
    <t>RT @chuckwoolery: Progressives job is to constantly attack the Constitution. It is our job as voters to defend it.</t>
  </si>
  <si>
    <t>RT @RichardTBurnett: Life in prison for Hillary! Life in prison for Hillary! Life in prison for Hillary! Life in prison for Hillary! Life i…</t>
  </si>
  <si>
    <t>RT @IvankaTrump: Great to be with Secretary Mnuchin &amp;amp; former Governor Sununu in Derry, NH on #TaxDay to highlight the tremendous benefits o…</t>
  </si>
  <si>
    <t>RT @emfvet78: Jeff Sessions cannot and must not be fired before Rosenstein! Rosenstien would be interim AG until a replacement is found.  T…</t>
  </si>
  <si>
    <t>JAMES COMEY should be going to prison for his lies and deeds and framing of President Trump. Comey is a criminal!  https://t.co/qdDisHKeVo</t>
  </si>
  <si>
    <t>This is not the 1st time the notion has cropped up that Comey anticipatorily structured his actions, as well as his writings, to frame Trump, at least w/his enemies, while sanitizing his own role in the frame-up.  https://t.co/fSK4Z4GUUB</t>
  </si>
  <si>
    <t>Though Comey continues to maintain these were personal papers, it is demonstrably untrue on the face of the memos themselves.</t>
  </si>
  <si>
    <t>COMEY LIED. His memos are NOT personal docs. They are official govt docs. He wrote them to the FBI as part of the investigation, specifically addressing disclosures to McCabe, FBI gen counsel James Baker, chief of staff Rybicki. FBI Dir Wray has confirmed these are FBI docs.</t>
  </si>
  <si>
    <t>Release of Comey's memo resolves a # of pts of contention. 1st is whether they were govt records. If they were produced in the course of govt employment, they constituted confidential info subject to internal DOJ rules restricting removal &amp;amp; disclosure as well as federal statute.</t>
  </si>
  <si>
    <t>Legal professor Jonathan Turley wrote eloquently in Sarah Sanders' defense. Today, he confirms his position, arguing that the media continue to allow their bias to overwhelm their objectivity in reporting on Comey’s culpability.</t>
  </si>
  <si>
    <t>Last May, the Washington Post called White House Press Secretary Sarah Sanders a liar for saying Comey leaked privileged information. WAPO is #FakeNews</t>
  </si>
  <si>
    <t>RT @RyanAFournier: This Army soldier’s flight was delayed. He had to watch the birth of his daughter on FaceTime. I wanted to share this be…</t>
  </si>
  <si>
    <t>RT @FoxNews: .@RealCandaceO: “I blame Obama, his 8 years in office did a lot of damage in terms of race relations in this country and… Hill…</t>
  </si>
  <si>
    <t>RT @SharylAttkisson: What do they say? They are weary of "The Sky is Falling" and think Trump is getting a lot done, despite "the Swamp" (m…</t>
  </si>
  <si>
    <t>RT @LouDobbs: Winning is fun!  Spike in Support for @realDonaldTrump Causes Reuters/Ipsos  to Reject Own Poll https://t.co/TpyYlufUwY #MAGA…</t>
  </si>
  <si>
    <t>The Idea That James Comey’s Leaks Were Non-Criminal Is Falling Apart https://t.co/s1pwkaLalu</t>
  </si>
  <si>
    <t>Firearms Trade Group Bans Dick's Sporting Goods Over Anti-2A Lobbying.  GOOD!  https://t.co/okGQfhpZOD</t>
  </si>
  <si>
    <t>How For-Profits’ Conversion To Nonprofits Will Up-End Higher Education.  This is a good thing! https://t.co/MuXtIjwCif</t>
  </si>
  <si>
    <t>Firearms Trade Group Bans Dick's Sporting Goods Over Anti-2A Lobbying.  #BoycottDicksSportingGoods https://t.co/TyFSqmEtbN</t>
  </si>
  <si>
    <t>Federal Judge Blasts Mueller --&amp;gt; Ellis said he doesn’t see how Manafort’s indictment is related to what Mueller’s team is authorized to investigate. https://t.co/knko4OSatl</t>
  </si>
  <si>
    <t>Federal Judge Blasts Mueller: You Only Care About Getting Trump https://t.co/ifHEsTTOuY</t>
  </si>
  <si>
    <t>Joe Lieberman:  Kerry's 'Lobbying' For Iran Deal, Against Trump, 'Inappropriate'  https://t.co/AnoIWpLBcO</t>
  </si>
  <si>
    <t>Andrew McCarthy: DOJ Must Show Evidence Before Asking Trump to Talk | https://t.co/PKZvp8X8Ca https://t.co/dXEn28KPac via @Newsmax</t>
  </si>
  <si>
    <t>Trump Lawyer Giuliani: I Wouldn't Be Surprised if Judge Ellis Dismisses Manafort Case for Government Misconduct (VIDEO) https://t.co/1ymgNhllZj</t>
  </si>
  <si>
    <t>Indicted Russian Company 'Concord Management' Toying with Mueller Team Led by Clinton Foundation Attorney https://t.co/YBUk3DRJRg</t>
  </si>
  <si>
    <t>Former US Attorney General: Read Jim Comey's Book with Bottle of Pepto-Bismol - It's Cringe-Inducing on Every Page (VIDEO) https://t.co/i2778lZZdS</t>
  </si>
  <si>
    <t>IT'S TIME=&amp;gt; Hold AWOL AG Sessions in Contempt! His DOJ and FBI are Corrupt - His Mueller Probe is Out of Control https://t.co/0fBa1DH3wz</t>
  </si>
  <si>
    <t>BREAKING: DOJ Responds to Nunes' Threat to Hold AG Sessions in Contempt https://t.co/8i5GTwFeLM</t>
  </si>
  <si>
    <t>COMEY IS STILL LYING! Hillary Clinton Admitted in December She Paid for Junk Russia Dossier https://t.co/f5swVin9zi</t>
  </si>
  <si>
    <t>Liberal lunatic Rosie O’Donnell reportedly illegally exceeded campaign contribution limits to at least five Democrat candidates. https://t.co/xf0AEcEx7Z</t>
  </si>
  <si>
    <t>Joe DiGenova: Trump WON'T TESTIFY in 'Bad Faith' Mueller Witch Hunt (VIDEO) https://t.co/anJIww4QH6</t>
  </si>
  <si>
    <t>MORE BAD NEWS FOR ROSIE --&amp;gt;&amp;gt; O'Donnell Also Accused of Bribing GOP Senators in December https://t.co/mIIYnhDjUD</t>
  </si>
  <si>
    <t>BREAKING... Rep. Nunes: House Intel Will Move to Hold Attorney General Jeff Sessions in Contempt (VIDEO) https://t.co/4XfEcQQEW6</t>
  </si>
  <si>
    <t>CNN: Melania to Reveal Agenda Goals on Children's Issues | https://t.co/PKZvp9eK0K https://t.co/jDRKD5SNmm via @Newsmax</t>
  </si>
  <si>
    <t>Trump: U.S. Might Have to 'Close Country' to Get Border Control Straight | https://t.co/PKZvp8X8Ca https://t.co/6yZvY4jqc9 via @Newsmax</t>
  </si>
  <si>
    <t>April Ratings: Another Catastrophe for Dead-Last CNN.  @CNN DEAD LAST IN RATINGS!  HaHaHa! #VoteDemsOUT https://t.co/FePtgAgeq5</t>
  </si>
  <si>
    <t>WATCH: Five Shot by Cartel Hitmen in Mexico City https://t.co/bJQYeIE5ec</t>
  </si>
  <si>
    <t>Amid 'Migrant Caravan,' Apprehensions Along Mexican Border Increase for 4th Month https://t.co/f05ZmzRZf3</t>
  </si>
  <si>
    <t>California Republican Party Kicks Neo-Nazi out of Convention | Breitbart https://t.co/7Scdxpp12k</t>
  </si>
  <si>
    <t>New Malware Targets Facebook Users' Passwords and Money | Breitbart https://t.co/d4EeOm7TUA</t>
  </si>
  <si>
    <t>Chris Christie: If Trump 'Does Something' on North Korea, He'll Get a Nobel Prize | Breitbart https://t.co/b56MfRbL1U</t>
  </si>
  <si>
    <t>Caroline Glick: The Ayatollah's Archive Violates the Iran Deal | Breitbart https://t.co/vwguHFZhdh</t>
  </si>
  <si>
    <t>Rudy Giuliani on Possibility John Kerry Is 'Violating' the Logan Act: 'Nobody Seems to Care' | Breitbart https://t.co/ksoSDQTivp</t>
  </si>
  <si>
    <t>Real Heroes, Ordinary Men – STUNNING New NRA Video Will Disarm Even The Coldest Liberal Gun Grabber https://t.co/IofTukR12G via @en_volve</t>
  </si>
  <si>
    <t>You Won’t Believe What Sexual Things Charlie Rose Told His Female Associates To Do – DISGUSTING! https://t.co/7X0zzUIKQ8 via @en_volve</t>
  </si>
  <si>
    <t>Mueller’s Day Goes From Bad To Worse – BEGS Court For Delay As Russian Plan IMPLODES https://t.co/05Cg2RZBvb via @en_volve</t>
  </si>
  <si>
    <t>@PatBenzaleski Polish name?  I am also Polish but in my neighborhood in Chicago, we were all Republicans.  Mayor Daley and Democrats were crooks from the get go. Wanted nothing to do with identity politics and voter fraud.</t>
  </si>
  <si>
    <t>.@ELLEmagazine  --&amp;gt; Isn't it time you featured the MOST BEAUTIFUL FIRST LADY IN U.S. HISTORY, Melania Trump on the cover of ELLE?  RT if you agree!
#MelaniaTrump</t>
  </si>
  <si>
    <t>. @harpersbazaarus  --&amp;gt; Isn't it time you featured the MOST BEAUTIFUL FIRST LADY IN U.S. HISTORY, Melania Trump on the cover of Bazaar?  RT if you agree!
#MelaniaTrump</t>
  </si>
  <si>
    <t>.@voguemagazine --&amp;gt; Isn't it time you featured the MOST BEAUTIFUL FIRST LADY IN U.S. HISTORY, Melania Trump on the cover of Vogue?  RT if you agree!
#MelaniaTrump</t>
  </si>
  <si>
    <t>California Must Cut Taxes!! We must repeal Leftist Gov. Jerry Brown’s gas tax and cut taxes for all Californians. #VoteDemsOUT https://t.co/7NEfYxOUZU</t>
  </si>
  <si>
    <t>ROSENSTEIN has done nothing to protect the rule of law and our Constitution. He reports to Congress and the President.  So why is he refusing to turn over documents requested by Congress months ago???</t>
  </si>
  <si>
    <t>Rosenstein Has Botched Mueller Probe | https://t.co/PKZvp8X8Ca https://t.co/FKogXha6s8 via @Newsmax</t>
  </si>
  <si>
    <t>CNN's Don Lemon calls Trump racist -- despite the fact that Trump fought Palm Beach city hall demanding that his newly purchased club Mar a Lago allow Blacks and Hispanics into the club.  Trump has been a civil rights champion for decades!  #VoteDemsOUT #DemsLie</t>
  </si>
  <si>
    <t>WHO?  WIKIPEDIA deletes ‘7TH FLOOR GROUP,’ FBI REMOVES THE EVIDENCE.  Still need proof that they are the Shadow Govt - above the law, accountable to noone! #VoteDemsOUT https://t.co/2gc8v5GbAu</t>
  </si>
  <si>
    <t>More proof that the politicized FBI under Obama is now INCOMPETENT and must be dismantled by replacing everyone in leadership positions.  Mueller, Rosenstein and the rest on the 7th floor need to go! https://t.co/xAyiK21bFB</t>
  </si>
  <si>
    <t>RT @MaryTaylorOH: I am calling out @MikeDeWine because he has a long record of failing to defend conservative causes. As the only conservat…</t>
  </si>
  <si>
    <t>ROSENSTEIN needs to fess up!  What is Mueller investigating and why?
#VoteDemsOUT https://t.co/AA2Ocot0e0</t>
  </si>
  <si>
    <t>RT @AndrewCMcCarthy: ICYMI, my weekend @NRO column: Why All the Secrecy? https://t.co/uN5xdEg2uU</t>
  </si>
  <si>
    <t>Over 1 million people have left the state of California in the past decade.  Highest taxes, highest gas prices, highest home prices, highest poverty rate, illegal criminals, gangs &amp;amp; drugs --&amp;gt; This is what Democrat rule looks like --&amp;gt; Disaster for CA! #VoteTravisAllen4CAGov</t>
  </si>
  <si>
    <t>UNDER Democrat rule, CA is 5th largest economy with highest level of taxes and poverty in the nation! Time to #TakeBackCA #VoteTravisAllen #VoteDemsOUT</t>
  </si>
  <si>
    <t>Look at all the cities/counties endorsing TRAVIS ALLEN for California Governor! #TakeBackCA #VoteDemsOUT  https://t.co/ah6kr9fqr3</t>
  </si>
  <si>
    <t>Costa Mesa and San Jacinto join other California cities to oppose CA's Sanctuary State law.  #VoteDemsOUT #VoteTravisAllenforCAGov  https://t.co/Uh2bMsjDG8</t>
  </si>
  <si>
    <t>End CA's Sanctuary State status.
Cut California's taxes to spur jobs &amp;amp; economic growth.
Travis Allen advocates for increasing CA's water storage.
Secure the border.
TAKE BACK CALIFORNIA! Vote for https://t.co/Y6t6unUDkQ
#VoteDemsOUT</t>
  </si>
  <si>
    <t>SANTA BARBARA County just endorsed TRAVIS ALLEN for California Governor!  #VoteDemsOUT
https://t.co/Uh2bMsjDG8</t>
  </si>
  <si>
    <t>TRAVIS ALLEN for California Governor! Time to 
#VoteDemsOUt #VoteLiberalsOUT 
https://t.co/2vzH4JmAY0</t>
  </si>
  <si>
    <t>RT @JoinTravisAllen: The Santa Barbara County Republican Party JUST ANNOUNCED that they endorsed @JoinTravisAllen for Governor! We now have…</t>
  </si>
  <si>
    <t>RT @mike_Zollo: John McCain doesn’t want President Trump to attend his funeral. What a disgusting thing to say, McCain is a bitter and jeal…</t>
  </si>
  <si>
    <t>RT @PressSec: There is no one more qualified to be the first woman to lead the CIA than 30+ year CIA veteran Gina Haspel. Any Democrat who…</t>
  </si>
  <si>
    <t>The first thing Derby Winner JUSTIFY's jockey said when he won the race:  "I just want to thank the Lord Jesus Christ."  Amen!</t>
  </si>
  <si>
    <t>Trump administration to send 57,000 Hondurans in the United States home!  https://t.co/B4vCEuV4n5</t>
  </si>
  <si>
    <t>Johnny Depp: how Hollywood's biggest star fell from grace https://t.co/TM127x1QD9</t>
  </si>
  <si>
    <t>Over a million more people moved out of California from 2006 to 2016 than moved in, according to a new report, due mainly to the high cost of housing that hits lower-income people the hardest.</t>
  </si>
  <si>
    <t>With no letup in home prices, the California exodus surges https://t.co/LPLR2Nhznw</t>
  </si>
  <si>
    <t>Kerry is quietly seeking to salvage Iran deal he helped craft.  WHY IS HE EVEN TALKING TO IRAN?  HE NO LONGER WORKS FOR THE GOVT.  IS THIS EVEN LEGAL??? https://t.co/B15hGPnIeU</t>
  </si>
  <si>
    <t>Robby Ball wrote:  "Trump is NOT a politician, he is a pissed off American citizen who is tired of watching elites destroy our nation, We his voters get it!"  #MAGA #VoteDemsOUT #VoteLiberalsOUT</t>
  </si>
  <si>
    <t>RT @perfectsliders: Trump is NOT a politician, he is a pissed off American citizen who is tired of watching elites destroy our nation, We h…</t>
  </si>
  <si>
    <t>RT @BasedTrumpProud: MUELLER IS THE VERY BEST THE DEEP STATE HAS TO OFFER.  WHEN WE BREAK HIM WE BREAK THEM!!</t>
  </si>
  <si>
    <t>Kerry is a globalist elitist ass!  Tell Kerry to go pound sand! https://t.co/aUQy5m2fgg</t>
  </si>
  <si>
    <t>RT @FoxNews: .@realDonaldTrump at NRA Convention: 2nd Amendment 'Will Never Be Under Siege' While I'm President https://t.co/UcPrx0KoPa</t>
  </si>
  <si>
    <t>RT @LouDobbs: Congratulations, Mr. President! Great speech, great rally!  #MAGA @realDonaldTrump #AmericaFirst #TrumpTrain #Dobbs</t>
  </si>
  <si>
    <t>#ObamaFlufferJack indeed!  I ditto that! https://t.co/5PcYMDFYlr</t>
  </si>
  <si>
    <t>RT @almostjingo: 💥BOOM💥 @SharylAttkisson breaks it all down, soak this in...  
👉 https://t.co/79hFZjqIk1 #Chalupa #Ukraine https://t.co/1ij…</t>
  </si>
  <si>
    <t>RT @rcjhawk86: #ThankAFarmer #AmericasHeartland
💰Trump Tariffs Could Put Money in the Pockets of America’s Farmers
👨🏻‍🌾🚜🌽🍅🥩🥚🥛🥦🍞
Fears of…</t>
  </si>
  <si>
    <t>RT @SunflowerJoye: #2Amendment #2A #2ADefenders #NRA #MolonLabe #DontTreadOnMe 
#WillRiley #StandForTheSecond #FoxNews https://t.co/nOLGgDo…</t>
  </si>
  <si>
    <t>That's a liberal for you!
#VoteLiberalsOUT https://t.co/ynrXEEdGiJ</t>
  </si>
  <si>
    <t>RT @realDonaldTrump: Our high level delegation is on the way back from China where they had long meetings with Chinese leaders and business…</t>
  </si>
  <si>
    <t>RT @GartrellLinda: This is a must read.
Louie Gohmert is brilliant!
He lists 40 Questions Special Counsel Robert Mueller Needs to Answer No…</t>
  </si>
  <si>
    <t>Congrats! #MAGA #VoteDemsOUT #ThinkForYourself #GetOffTheDemMentalPrison https://t.co/t8pR6tGUV9</t>
  </si>
  <si>
    <t>RT @Techno_Fog: And here we go: Judge Ellis gets after the SC for trying to have it both ways. 
The result - "Come on, man" https://t.co/k…</t>
  </si>
  <si>
    <t>RT @Stump_for_Trump: https://t.co/xq6jyCDsVq</t>
  </si>
  <si>
    <t>RT @JohnStossel: True, @AbbyMartin DOES mention “many (protestors) have been killed by police.” Fair criticism of me. I didn’t watch all 30…</t>
  </si>
  <si>
    <t>RT @GuardianUS: Trump White House accuses China of 'Orwellian nonsense' https://t.co/mXN0cy3a2n</t>
  </si>
  <si>
    <t>RT @Wil_Johnson1: Inspector General's Testimony Delayed Due To ‘New Leads’ In Clinton Email Review https://t.co/KLrlwweGHg</t>
  </si>
  <si>
    <t>RT @S_Cooper0404: 🚨ATTN: THIS is a "THANK YOU, JUDGE ELLIS!" #Followback #TrumpTrain 🚂🚃🚃🚃🚃🚃🚃💨
🚉1.) Add #ThankYouJudgeEllis in comments to…</t>
  </si>
  <si>
    <t>RT @JosephJFlynn1: My brother Michael served his country with honor and distinction for 33 plus years .. He is not a liar.  He is a Patriot…</t>
  </si>
  <si>
    <t>RT @GreenLantern567: Its becoming clear what the intentions of the Globalist EU have in mind. EU President Juncker attended a celebration o…</t>
  </si>
  <si>
    <t>RT @John_KissMyBot: Have You Noticed How Liberals Call Everyone They Disagree A Racist 
Well, CNN’s Star Snowflake ❄️ Don Lemon 🍋 Recently…</t>
  </si>
  <si>
    <t>FIRE MUELLER NOW!  ASK ROSENSTEIN TO RESIGN! https://t.co/OFaL29hS5y</t>
  </si>
  <si>
    <t>Correcto-mundo! https://t.co/u7MF1HapIE</t>
  </si>
  <si>
    <t>For the first time in history, Saudi Arabia has entered into a joint agreement with the Vatican to build churches for Christians living in the officially Muslim nation.  THANK YOU PRESIDENT TRUMP! #MAGA
https://t.co/5P8s6Zcuhq</t>
  </si>
  <si>
    <t>Saudi Arabia Inks Deal with Vatican to Build Christian Churches https://t.co/5P8s6Zcuhq</t>
  </si>
  <si>
    <t>Study: 'Collective Narcissism' Drives Liberal Belief in Fake News | Breitbart https://t.co/EFG6X61MKQ</t>
  </si>
  <si>
    <t>Texas Named 'Best State for Business' for 14th Year --&amp;gt; IT'S A REPUBLICAN STATE!  #MAGA #Winning https://t.co/BaR8HWHyz2</t>
  </si>
  <si>
    <t>Soros is targeting DA races across the country, partly as a result of the Left’s push to change policing &amp;amp; prosecution as the result of the Black Lives Matter movement, but also because the prosecutorial powers of the DA can be used to target Republican incumbents.</t>
  </si>
  <si>
    <t>George Soros Backs 'Progressive' Candidate for District Attorney in San Diego | TO SAVE CALIFORNIA #VoteDemsOUT https://t.co/hMU2Y3wCqY</t>
  </si>
  <si>
    <t>The Retiring ICE Director (who's wkd for 6 presidents) says President Trump has done more than any other president to secure our border!  #MAGA
#DeportIllegals #BuildTheWall</t>
  </si>
  <si>
    <t>"Despite misleading claims by former Obama admin officials &amp;amp; their supporters in the liberal media that the material provided “nothing new,” the existence of the archive itself is a bombshell." https://t.co/DzcUXgCywv</t>
  </si>
  <si>
    <t>KANYE WEST was obviously talking about people today still obsessed over something that disappeared 160 years ago, still held back by it, still mentally imprisoned by a long-dead institution. #MentalPrison</t>
  </si>
  <si>
    <t>Donald Trump Credits Kanye West ‘Power’ for Boosting Approval Among Black Americans.  Thank you @kanyewest https://t.co/9naGqzJwM0</t>
  </si>
  <si>
    <t>Report: CBS, PBS Knew About Charlie Rose's Alleged Sexual Misconduct for Years --&amp;gt; CBS &amp;amp; PBS WERE COMPLICIT IN CHARLIE ROSE'S SEXUAL HARASSMENT OF EMPLOYEES. https://t.co/xKhE27oNiY</t>
  </si>
  <si>
    <t>April Ratings: Another Catastrophe for Dead-Last CNN https://t.co/FePtgAgeq5</t>
  </si>
  <si>
    <t>U.S. Media Run with Fake News About North Korean Prisoner Release | MORE FAKE NEWS FROM NAT'L MEDIA. I don't think they will ever be trustworthy again. They have sunk to new lows of TABLOID JOURNALISM.  https://t.co/hdP2ag8FtL</t>
  </si>
  <si>
    <t>TV's Dr. Oz to Join Bill Belichick, Lou Ferrigno on Trump's Sports, Fitness, and Nutrition Council | Breitbart https://t.co/MbnUbJ0CIK</t>
  </si>
  <si>
    <t>FBI agent Lisa Page resigns form the FBI.  How could she even say that she worked there?  She was too busy texting her lover Peter Strzok with thousands of texts.  She should have been fired for shirking!</t>
  </si>
  <si>
    <t>Comey Adviser Lisa Page Resigns from FBI --&amp;gt; you mean the homewrecking adulteress? https://t.co/dqMTyAlTlV</t>
  </si>
  <si>
    <t>Judge in Paul Manafort Trial Questions Mueller Investigation's Authority, Motives, Honesty, Demands Unredacted Memo | Breitbart https://t.co/ZA0PxSZjMM</t>
  </si>
  <si>
    <t>EXCLUSIVE--Paul Gosar: Prosecute Attorneys 'Aiding' Caravan at Border | Breitbart https://t.co/Vv4ej7pQJ2</t>
  </si>
  <si>
    <t>Trump at NRA Convention: Trusting The People with Guns Is Part of Trusting Them with Freedom | PRESIDENT TRUMP HAS GOT THAT RIGHT! #VoteDemsOUT #MAGA https://t.co/cVOyoss2Le</t>
  </si>
  <si>
    <t>FIRE MUELLER !  Somebody please do the right thing and stop this witchhunt! https://t.co/MYxfghekmH</t>
  </si>
  <si>
    <t>President Trump has it right; the right for self-defense of home, self, family, and nation are God-given, in my opinion. The 2nd Amendment prevents govt from making laws infringing on our god-given right to bear arms.</t>
  </si>
  <si>
    <t>WHY CAPITALISM is superior to govt-run economies --&amp;gt; Society is better off as a whole thanks to the producers and innovators who freely do what they do for the purpose of making themselves better off. Capitalism has eliminated more poverty in the world than any economic system.</t>
  </si>
  <si>
    <t>No, Australia is not an example of the effectiveness of gun control. (Sorry, Jim Jefferies.) https://t.co/vNHLeNm2zC</t>
  </si>
  <si>
    <t>RT @PattonDivision: That's why they will never stop voluntarily.
And that's why what IG Horowitz, Judge T. S. Ellis &amp;amp; Rudy Giuliani are do…</t>
  </si>
  <si>
    <t>RT @smartvalueblog: RT True Leaders don't create followers they create more Leaders. #USA #Americans #PJNET #Trump #Cruz #Congress @GOP htt…</t>
  </si>
  <si>
    <t>RT @codeofvets: LIGHT IT UP🇺🇸VETERANS HELPING VETERANS! TAKING DC BACK WITH OUTSIDER &amp;amp; VETERAN CANDIDATES! WE’VE GOT WHAT IT … https://t.co…</t>
  </si>
  <si>
    <t>Love you Gretchen!  Keep up the great work!
#MAGA #Veterans https://t.co/5xX4RNhwT1</t>
  </si>
  <si>
    <t>RT @Ingrid39678584: New desalinization technique separates seawater into freshwater and lithium https://t.co/cOUJcDt7fe</t>
  </si>
  <si>
    <t>Dear @AdamSchiffCA @KamalaHarris --&amp;gt; President Trump is the best thing that could have happened to America --&amp;gt; Jobs, Prosperity, Low Unemployment, Rising Wages, Peace in Korea, End of ISIS. Dems can't find their asses from a hole in the ground!</t>
  </si>
  <si>
    <t>@AdamSchiffCA https://t.co/btZNf34px2</t>
  </si>
  <si>
    <t>RT @MZHemingway: After telling America for more than a year that Trump is a corrupt, treasonous colluder with a hostile power, Schiff says…</t>
  </si>
  <si>
    <t>RT @cs0058sc: 😡😡😡Time to end this farce!   @HouseGOP @SenateGOP             END👏IT👏NOW
#EndtheWitchhunt #MuellerWitchHunt #FireMueller #Sh…</t>
  </si>
  <si>
    <t>President Trump said God and Guns in one sentence! Exploding liberal heads!  In contrast to the way that Obama talked about rural folks "clinging to their guns and bibles."  #LoveThisPresident #MAGA</t>
  </si>
  <si>
    <t>RT @ChuckRossDC: FBI tells Chuck Grassley it has not requested Peter Strzok and Lisa Page's private emails despite evidence they discussed…</t>
  </si>
  <si>
    <t>President Trump at NRA Convention: Gun Rights Originate from God Not Govt  CORRECT! (The Constitution only reminds us that govt can make no laws preventing our right to bear arms.) https://t.co/3J0LeuaSXb</t>
  </si>
  <si>
    <t>Magazine editors turn blind eye to Melania. Mags preferred the ugly, vicious, spiteful Moochelle to gorgeous Melania.  THANK GOD I NO LONGER READ THOSE HATE-FILLED WOMEN'S MAGAZINES!  https://t.co/VGJCJVryYU</t>
  </si>
  <si>
    <t>RT @MarkSimoneNY: Interesting. The most beautiful first lady ever is the only first lady to be totally ignored by magazines:  https://t.co/…</t>
  </si>
  <si>
    <t>James Baker (close confidant of Comey's) resigned today from the FBI. House Republicans have accused Mr. Baker of being the source of the leaks about a salacious dossier of info about Mr. Trump compiled by a former British spy.</t>
  </si>
  <si>
    <t>James A. Baker, 1 of Comey’s closest confidants served as FBI top lawyer until Dec when he was reassigned. Mr. Baker had been investigated by the Justice Dept on suspicion of sharing classified information with reporters. He has not been charged. BAKER Resigned today!</t>
  </si>
  <si>
    <t>2 Anti-American FBI Officials, once Key Advisers to Comey, Leave the Bureau -- Lisa Page is one of them!  #DrainTheSwamp #VoteDemsOUT https://t.co/L7cX2pgxEo</t>
  </si>
  <si>
    <t>#Winning #DrainingTheSwamp https://t.co/6Xttl1p2Dg</t>
  </si>
  <si>
    <t>YEP!  Liberals hate Trump more than they love America.  For that reason, we must join forces and #VoteDemsOUT! https://t.co/fSlndHCVvN</t>
  </si>
  <si>
    <t>RT @SavingAmerica4U: 🔴FBI Has Not Requested Anti-Trump Agents’ Personal Email Records
Even though text messages from Strzok &amp;amp; Page “show s…</t>
  </si>
  <si>
    <t>Liberals are truly disgusting, vile, vicious, violent animals.  We need to #VoteDemsOUT come November!  They are destroying our country! https://t.co/xGFIC1sanP</t>
  </si>
  <si>
    <t>#VoteDemsOUT https://t.co/EeABLeqscG</t>
  </si>
  <si>
    <t>HOMEWRECKER, adulterous, Kamala Harris doesn't give a crap about CA's crumbling infrastructure.  Gov Jerry Brown only cares about giving everything away to illegals.  To hell with CA legal residents &amp;amp; citizens.  Stop your lying @KamalaHarris ! #VoteDemsOUT https://t.co/M9JNv9zyIb</t>
  </si>
  <si>
    <t>Judge asked Mueller's team where they got the authority to indict Manafort on alleged crimes dating as far back as 2005.  And...what the hell did those 2005 events have to do with Russian collusion in the 2016 election of President Trump? NOTHING!</t>
  </si>
  <si>
    <t>RT @TresDeplorable: .#ThisWeek: Federal Judge causes  liberal meltdown. Acusses Mueller’s Team of Lying. 
‘You don’t really care about Mr.…</t>
  </si>
  <si>
    <t>RT @MahgdalenRose: WHY LIBERAL'S PLAN FOR WORLD DOMINATION WILL IMPLODE.
@infowars @RealAlexJones @PrisonPlanetTV @dbongino @marklevinshow…</t>
  </si>
  <si>
    <t>@MahgdalenRose @DineshDSouza @itsSpencerBrown @TuckerCarlson @IngrahamAngle @TomiLahren @DennisPrager @SebGorka @greggutfeld @JesseBWatters @kimguilfoyle @KrisJenner @khloekardashian @TPUSA You are brilliant - a perfect example of a thinking person who refused to drink Leftist Obama &amp;amp; Hillary kool-aid! Love you! #VoteDemsOUT</t>
  </si>
  <si>
    <t>RT @lamamerican: alt-leftism- love it https://t.co/AS4tRrMku9</t>
  </si>
  <si>
    <t>CNN clowns!  HaHaHa! https://t.co/B7RgSA396U</t>
  </si>
  <si>
    <t>#EndDACAnow
#BuildTheWall
#EndChainMigration
#VoteDemsOUT https://t.co/TbI2ezPPeX</t>
  </si>
  <si>
    <t>SINCE collusion is not a crime --&amp;gt; WHAT THE HELL IS ROBERT MUELLER INVESTIGATING???  It's a witchhunt folks.  Our best revenge is to #VoteDemsOUT &amp;amp; #DrainTheSwamp!</t>
  </si>
  <si>
    <t>Federal judge accuses Mueller's team of 'lying,' trying to target Trump: 'C'mon man!' https://t.co/uiVFEnerNS #FoxNews</t>
  </si>
  <si>
    <t>Karl Rove Picks Apart Comey Stories | https://t.co/PKZvp8X8Ca https://t.co/QjtLHj2ewA via @Newsmax</t>
  </si>
  <si>
    <t>BOMBSHELL: Federal Judge Accuses Mueller's Team: "It's unlikely you're going to persuade me the special prosecutor has power to do anything he or she wants," The American people feel pretty strongly that no one has unfettered power." https://t.co/CNSDOvo9dQ</t>
  </si>
  <si>
    <t>BOMBSHELL: Federal District Judge Ellis found comments from Mueller's team about having secret powers to be comical and he was not persuaded. #VoteDemsOUT https://t.co/CNSDOvo9dQ</t>
  </si>
  <si>
    <t>BOMBSHELL: Federal District Judge Ellis, who was appointed by former President Reagan, asked Mueller's team where they got the constitutional authority to indict Manafort for alleged crimes that took place well over a decade ago?  https://t.co/CNSDOvo9dQ</t>
  </si>
  <si>
    <t>BOMBSHELL: Federal Judge Accuses Mueller's Team Of 'Lying,' Trying To Ruin Trump https://t.co/CNSDOvo9dQ</t>
  </si>
  <si>
    <t>RED WAVE? Poll Shows Republicans Could Pick Up 9 Senate Seats https://t.co/U0bTpEmAA9</t>
  </si>
  <si>
    <t>Are Mueller, Rosenstein et al now Trying to Cover up their own Crimes? https://t.co/yVlfhDmz02</t>
  </si>
  <si>
    <t>RT @scrowder: 30 minutes til show time! Who's ready?? @JordanBPeterson @StefanMolyneux #LwC #MugClub https://t.co/Uh3AfOqnOp</t>
  </si>
  <si>
    <t>RT @StefanMolyneux: The United Kingdom is banning drinking straws.
https://t.co/5TU8XDnJHt</t>
  </si>
  <si>
    <t>RT @StefanMolyneux: Facebook Security Engineer Fired After Bragging To Girls On Tinder That He Has All Of Their Personal Information And Ca…</t>
  </si>
  <si>
    <t>RT @PrisonPlanet: More than 56 per cent of crimes in German town are committed by asylum seekers. https://t.co/Xmj6DK4h9P</t>
  </si>
  <si>
    <t>RT @SoundGuyEdward: Good stuff with @StefanMolyneux get his book The Art of the Argument: Western Civilization’s Last Stand https://t.co/Xg…</t>
  </si>
  <si>
    <t>RT @StefanMolyneux: Minds: https://t.co/DP9HwUw0dh
Gab: https://t.co/GkhuVJNfRf
Steemit: https://t.co/PUPVxZyAKg
Bitchute: https://t.co/6mX…</t>
  </si>
  <si>
    <t>RT @hale_razor: "You're a kakistocractic tragic deceiver," said the man who illegally broke into Senate computer files, tried to prosecute…</t>
  </si>
  <si>
    <t>RT @hale_razor: Shorter Comey: I felt the extremely careless candidate was leading, so I drafted her exoneration figuring she’d beat the mo…</t>
  </si>
  <si>
    <t>RT @hale_razor: Fresno State, home of grave-dancing professors, is all about free speech til the second @benshapiro steps on campus.</t>
  </si>
  <si>
    <t>RT @hale_razor: Comey shops dossier "news hook" to CNN: meh
Comey leaks classified memos to MSM: meh
Comey &amp;amp; McCabe = Clinton fanboys: meh…</t>
  </si>
  <si>
    <t>RT @hale_razor: North Korea calls off nuke testing, and it didn't even cost us a pallet of cash.</t>
  </si>
  <si>
    <t>RT @hale_razor: "Kanye West is wrong about our tolerance for thought freedom," said the people who harassed Shania Twain into apologizing f…</t>
  </si>
  <si>
    <t>RT @hale_razor: Last month: children are precious, wise, &amp;amp; deserve the vote! 
This month: children should be killed if they're a cost burd…</t>
  </si>
  <si>
    <t>RT @hale_razor: Baby death panels are for the greater good. Also, give up your guns.</t>
  </si>
  <si>
    <t>RT @hale_razor: Military actions in 7 nations, and at war longer than any US president: WINNER OF NOBEL PRIZE FOR PEACE
Pressured N Korea’…</t>
  </si>
  <si>
    <t>RT @hale_razor: ✅ Endorsed by Kanye.
✅ Confirmed gay ambassador.
✅ Brokered Korean peace.
Worst racist homophobic warmonger ever.</t>
  </si>
  <si>
    <t>An example of the duplicity of Democrat Gov. Jerry Brown.  
#VoteDemsOUT https://t.co/0vBckKQq04</t>
  </si>
  <si>
    <t>RT @hale_razor: Future historians will study a time with 3.9% unemployment and Korean peace, and ponder why we didn’t talk more about porn…</t>
  </si>
  <si>
    <t>RT @flagforhumans: @FedupWithSwamp Crowley Claimed “the key to Immortality was through the ritualistic Torture and Consumption of young boy…</t>
  </si>
  <si>
    <t>RT @SpankyTheDog1: @King1_universe @jimbo_always @GwendolynBlev76 @hamptt1 @EMichaelTee1 @Carrolka @RandallKraft @RealBiddle @BurnettOfLeys…</t>
  </si>
  <si>
    <t>RT @andibeth012: Only on 10: Man accused of animal cruelty reclaims 3 dogs https://t.co/SiCn9XnFYf How can this monster be allowed to recla…</t>
  </si>
  <si>
    <t>THINK FOR YOURSELF!  #VoteDemsOUT https://t.co/BWkQuLWZsH</t>
  </si>
  <si>
    <t>RT @SecPompeo: Thank you to Deputy Secretary of @StateDept John Sullivan for leading our diplomatic efforts over the last few weeks. He is…</t>
  </si>
  <si>
    <t>#VoteDemsOUT https://t.co/MmfTdTuxzc</t>
  </si>
  <si>
    <t>#VoteDemsOUT https://t.co/R92fOLceWg</t>
  </si>
  <si>
    <t>#VoteDemsOUT https://t.co/tLc2dIwGuD</t>
  </si>
  <si>
    <t>RT @MediaJuggernaut: Unemployment falls to 3.9% in April.
African American unemployment down to a RECORD LOW of 6.6%
#JobsReport
Will nutty…</t>
  </si>
  <si>
    <t>RT @FoxNews: .@SebGorka on Mueller probe: "[@POTUS] cannot be indicted. At the end of the day, this is a perjury trap. Nothing more, nothin…</t>
  </si>
  <si>
    <t>RT @AmmoLand: Memo to Trump : Defy Mueller &amp;amp; Baseless Russia Collusion Investigation https://t.co/O0OvhmSBzT https://t.co/o6A0jJ14HA</t>
  </si>
  <si>
    <t>FRANKLIN GRAHAM says God has a purpose for President Trump because God put him there for a reason.  We need to get behind the president and support him.
#VoteDemsOUT</t>
  </si>
  <si>
    <t>#VoteDemsOUT https://t.co/9yAZOInc1d</t>
  </si>
  <si>
    <t>RT @RealTT2020: We choose to go to the moon in this decade &amp;amp; do the other things, not because they are easy, but because they are hard
-JFK…</t>
  </si>
  <si>
    <t>Ditto.  Only leftist media keeps pushing a 12-yr old story. They have clearly lost their minds and refuse to report the news! https://t.co/5k7kIWgmQb</t>
  </si>
  <si>
    <t>RT @wellssimone22: @RealEagleWings @AnthemRespect @RealJamesWoods @GrizzleMeister @LVNancy @bgood12345 @kwilli1046 @KatTheHammer1 @LeahR77…</t>
  </si>
  <si>
    <t>RT @RealEagleWings: .@RealJamesWoods Scolds Michelle Obama After She Calls Herself the 'Forever First Lady' 
Woods tweeted: “With all due r…</t>
  </si>
  <si>
    <t>RT @RealMattCouch: #FactsOverFeelings https://t.co/8bf2m7ZQRy</t>
  </si>
  <si>
    <t>RT @Joe_America1776: "Buffett Bought 75M Apple Shares During Q1; Total Stake Now Worth $42.5B"  https://t.co/Rz25hDJ9h2 #TCOT #MAGA #PJNET…</t>
  </si>
  <si>
    <t>RT @ulexon: https://t.co/SAYWkLQF53</t>
  </si>
  <si>
    <t>RT @JuanFerrerVila: Audrey Hepburn and...
Grant, Peck, Bogart, Holden, Capote, Ferrer. https://t.co/Dai3DKhmhF</t>
  </si>
  <si>
    <t>It's Dems agenda that they want to force feed down America's throats via their leftist lying media! Stop watching the news.  Think for yourself!
#VoteDemsOUT https://t.co/lh2Kd4Y3WH</t>
  </si>
  <si>
    <t>RT @PhilMcCrackin44: 💥Yet another FAKE NEWS story against @POTUS from @NBCNews, requiring a walk-back.
Apparently, any rumor from an anony…</t>
  </si>
  <si>
    <t>RT @TomFitton: 40 Questions Special Counsel Robert Mueller Needs to Answer Now https://t.co/ANPpvT3VM7 via @LifeZette</t>
  </si>
  <si>
    <t>RT @consmover: White liberal tells black man how his personal beliefs are wrong.  
This is why WaPo ratings are FAILING! 
#MAGA #Wednesda…</t>
  </si>
  <si>
    <t>KANYE --&amp;gt; We have Freedom of Speech but no Freedom of Thought.  The Democrat Thought Police want to suppress Freedom of Thought.  Dems nwant to corral all Blacks to not think &amp;amp; vote for Dems.  Kanye says "THINK FOR YOURSELF." #VoteDemsOUT</t>
  </si>
  <si>
    <t>MARK LEVIN --&amp;gt; As a matter of law, a sitting president cannot be indicted.
#VoteDemsOUT</t>
  </si>
  <si>
    <t>The PRESIDENT has the right to take Mueller all the way to the Supreme Court for violating the U.S. Constitution &amp;amp; for conducting a witchhunt against a sitting president. #VoteDemsOUT in November!</t>
  </si>
  <si>
    <t>Inspector General Reportedly Gearing Up to Release Scathing Assessment of James Comey.  Comey destroyed the FBI.  He is pure scum! https://t.co/6tJCB9foIp …</t>
  </si>
  <si>
    <t>Arkansas State Supreme Court Lifts Lower Courts block of Voter ID Law. Hooray!  VOTER ID is legal in AR &amp;amp; should be implemented in all 50 states to prevent illegals &amp;amp; non-citizens from voting in U.S. elections. It's a felony to do so! #VoteDemsOUT</t>
  </si>
  <si>
    <t>A Leftist Core Belief: Denying Evil https://t.co/BJ1fXzKwGB …</t>
  </si>
  <si>
    <t>Collusion is not a crime, and the only proven collusion is among the Clinton campaign, the DNC, and a British spy working with Russian sources.  
https://t.co/i7GP7oCHc0</t>
  </si>
  <si>
    <t>Venezuela's dictator Maduro rigged his country's election - and is now terrified it's not rigged enough https://t.co/za3PGJJywP</t>
  </si>
  <si>
    <t>FB has a double standard -- they have a group of employees that have access to everyone's accounts that they can manipulate, censor or shut down.  Damn FB!</t>
  </si>
  <si>
    <t>With the exodus of the middle class in CA, the state is becoming a feudal society -- the very rich who pay all the taxes, and the very poor who pay no taxes.  Democrat rule has destroyed California. #VoteDemsOUT</t>
  </si>
  <si>
    <t>Tammy Bruce says Dems will not be winning the House this Nov because with voters, it's always about the economy, and the economy is roaring under President Trump! #VoteDemsOUT</t>
  </si>
  <si>
    <t>DEMOCRATS will not be taking over the House this November.  Let's make sure we ALL do our part to #VoteDemsOUT ! --Tammy Bruce</t>
  </si>
  <si>
    <t>.@CNN only reporting on stormy daniels.  Big news about North Korea -- CNN refuses to report on it!  OMG!
#VoteNewsOUT</t>
  </si>
  <si>
    <t>RT @HWDRepublican: THR: U.S. Media Run with Fake News About North Korean Prisoner Release https://t.co/fKIo979VcF (BB)</t>
  </si>
  <si>
    <t>RT @AIIAmericanGirI: Dem to resign after ethics report linked to charges against husband https://t.co/6ZAVLzqlaM @FoxNews #AAG</t>
  </si>
  <si>
    <t>RT @ElderLansing: This is my friend Steve Weiler’s car and he is a huge POTUS Trump supporter and top Uber Driver. But the Charlotte Dougla…</t>
  </si>
  <si>
    <t>RT @1stAirDel_USMCR: #Heritage: Problematic Women: New York Times Writer Calls Motherhood ‘Dumbest Job Ever’ https://t.co/WICTbXsauS #TCOT</t>
  </si>
  <si>
    <t>A Leftist Core Belief: Denying Evil https://t.co/BJ1fXzKwGB</t>
  </si>
  <si>
    <t>Did Comey Learn His Monkey Trick from Adam Schiff? https://t.co/v4SS3pmtoF</t>
  </si>
  <si>
    <t>SOROS's latest diabolical scheme is to increase voting Americans by 10 million voters, watering down the electorate, the better to cancel out the votes of America's Deplorables &amp;amp; Conservatives. His idea is to politically silence them. https://t.co/LegRW3Ty1I</t>
  </si>
  <si>
    <t>Soros's Machiavellian plan to water down American electorate by 10 million votes --&amp;gt; SOROS calls himself a stateless statesman who doesn't want the rest of us to have a state, either. #VoteDemsOUT https://t.co/J6lLLVF4pv</t>
  </si>
  <si>
    <t>RT @_IamAnita_D: 🔴🔴#Soros's Machiavellian plan to water down American electorate by 10 million votes🔴🔴
🔴top goals listed by the guide are…</t>
  </si>
  <si>
    <t>RT @RealMattCouch: #FactsOverFeelings https://t.co/JiFl4BGZt0</t>
  </si>
  <si>
    <t>Arkansas State Supreme Court Lifts Lower Courts block of Voter ID Law.  Hooray!  VOTER ID is legal and should be implemented in all 50 states to prevent illegals &amp;amp; non-citizens from voting in U.S. elections. It's a feloney to do so!</t>
  </si>
  <si>
    <t>James Kallstrom, Fmr Asst FBI Dir, says the FBI has been corrupted, filled with incompetence. FBI concocted the Russia conspiracy b/c they didn't want an outsider as President.  They want globalism &amp;amp; open borders.
#VoteDemsOUT in November!</t>
  </si>
  <si>
    <t>Bob Mueller, James Comey, Patrick Fitzgerald are typical of overzealous federal officials who are unelected &amp;amp; unaccountable with unchecked power.  Time to take their power away!  This is not what our founders wanted! #VoteDemsOUT</t>
  </si>
  <si>
    <t>COMEY &amp;amp; MUELLER have no souls.  These are hateful, vileful, full-of-themselves unelected &amp;amp; unaccountable officials who choose to ruin the lives of those they despise - Blagoyavich, Manafort, Flynn, Cohen, &amp;amp; trying to get Trump. Time to indict Comey &amp;amp; Mueller.</t>
  </si>
  <si>
    <t>Rod Blagoyavich's wife claims Robt. Mueller and James Comey authorized a totally unauthorized raid of their home.  He was railroaded by Mueller et al. who use their office to railroad people out of office.</t>
  </si>
  <si>
    <t>RT @JulianAssange: (tweet by campaign) https://t.co/ZfHcTiKnnU https://t.co/nCCbNII3IE</t>
  </si>
  <si>
    <t>Inspector General Reportedly Gearing Up to Release Scathing Assessment on James Comey.  Comey destroyed the FBI.  He is pure scum! https://t.co/6tJCB9foIp</t>
  </si>
  <si>
    <t>President Trump Announces His Team Will Seek Damages from Porn Star Stormy Daniels https://t.co/9sUIgmqZEh</t>
  </si>
  <si>
    <t>WHAT BLUE WAVE?  
New polls don't see it.
#VoteDemsOUT</t>
  </si>
  <si>
    <t>RT @ScottAdamsSays: People keep asking me what exactly @realDonaldTrump did to deserve a Nobel Prize. As a public service, I put together a…</t>
  </si>
  <si>
    <t>Pretty funny that CNN calling out Sarah Sanders for not being truthful.  CNN lies all the time.  Their leftist agenda is to destroy President Trump, not to report the news to the American people. #BoycottCNN</t>
  </si>
  <si>
    <t>RT @kwilli1046: I'm not one to speculate, but
#CNN Hosts Porn Star's Lawyer Michael Avenatti 59 Times in Less Than Two Months. CNN is despe…</t>
  </si>
  <si>
    <t>RT @GeoffMiami: .@browardpolitics, who seemingly works for @DWStweets as part of her Public Relations team, smearing @Tim_Canova &amp;amp; attempti…</t>
  </si>
  <si>
    <t>RT @Tim_Canova: Thank you @ggreenwald for calling out the stupidity and venality of the @DNC @DWStweets media machine. Grassroots are stepp…</t>
  </si>
  <si>
    <t>RT @Tim_Canova: Yesterday, I announced that I'm changing my party affiliation to run as an independent candidate against Wasserman Schultz.…</t>
  </si>
  <si>
    <t>RT @HAGOODMANAUTHOR: It's basically @therealroseanne @kanyewest @RealJamesWoods vs. ALL OF HOLLYWOOD (ie people who were great friends of H…</t>
  </si>
  <si>
    <t>RT @HAGOODMANAUTHOR: Robert Mueller is out of control. He should be shut down. Now. https://t.co/rgdNGFUeqq</t>
  </si>
  <si>
    <t>RT @HAGOODMANAUTHOR: I was right from Day One. Clinton was going to get indicted, as Andrew McCabe, Strzok, and others who changed Comey's…</t>
  </si>
  <si>
    <t>RT @therealroseanne: @HAGOODMANAUTHOR @kanyewest @RealJamesWoods there are a lot of us-but most lay low bc of fear-</t>
  </si>
  <si>
    <t>RT @kwilli1046: If you support our troops 100% - Retweet #FreedomIsntFree https://t.co/c5wkmPkiDg</t>
  </si>
  <si>
    <t>RT @Thomas1774Paine: NBC San Francisco: Trump Is ‘Far More Liked Than Nancy Pelosi’ (VIDEO) https://t.co/SUg8vcgDmD</t>
  </si>
  <si>
    <t>RT @John_KissMyBot: It Was NEVER ABOUT Russia Collusion 
Sessions (Mistakingly) Recused Himself, Then Comey Leaked Classified Information…</t>
  </si>
  <si>
    <t>RT @LouDobbs: #LDTPoll: Is corruption at the highest levels of the FBI so pervasive that a purge of the entire leadership is required to be…</t>
  </si>
  <si>
    <t>RT @5Strat: Please spread the word - Prayers for those enslaved in Human Trafficking. Prayers for their safety &amp;amp; release. Big things happen…</t>
  </si>
  <si>
    <t>RT @LaunaSallai: "Faith is more powerful than Government &amp;amp;
Nothing is more Powerful than God"
          ~@realDonaldTrump 
🕊️We are Blesse…</t>
  </si>
  <si>
    <t>RT @Ken200960: Trump’s Approval Rating Amongst Black Males DOUBLES Since Kanye Controversy https://t.co/fwcTWbHY3p via @realalexjones</t>
  </si>
  <si>
    <t>RT @slade37: @theblaze ...says the woman who knew Saul Alinsky personally and wrote her thesis on him or his ideas. Many of the older Ds in…</t>
  </si>
  <si>
    <t>Yet another excuse?  Will she ever quit? https://t.co/5CZrmsJuS5</t>
  </si>
  <si>
    <t>RT @richdurand77: You lost, because of you!! https://t.co/Fyds7tc7vg</t>
  </si>
  <si>
    <t>NBC puts out #FakeNews re wiretapping of Cohen's phones.  NBC spread false information again!  Folks, we cannot trust major networks ever again!  They lie, b/c they have a leftist agenda to destroy this president. Disclosing a federal wiretap is a felony.</t>
  </si>
  <si>
    <t>RT @DCClothesline: Soros-Funded Group Releases App to Help Illegal Aliens Evade Law Enforcement https://t.co/C0mlHyfuep https://t.co/wS87nW…</t>
  </si>
  <si>
    <t>Brennan &amp;amp; Clapper instigating the Russia Hoax, Russia Dossier fiasco!  I say both of these traitors to America should be prosecuted!</t>
  </si>
  <si>
    <t>GUILIANI:  Comey should be prosecuted!</t>
  </si>
  <si>
    <t>Greg Jarrett's tell all book --&amp;gt;  "THE RUSSIA HOAX - The Illicit Scheme to Clear Hillary Clinton &amp;amp; Frame Donald Trump." I am ordering it today! 
https://t.co/FkIb8Vyzxc</t>
  </si>
  <si>
    <t>Rudy Guiliani:  Hillary Clinton is a criminal and James Comey fixed the Clinton investigation to let her off.</t>
  </si>
  <si>
    <t>RT @LauraLoomer: Are you still not convinced ISIS was responsible for the #LasVegasShooting?
Read this:
 https://t.co/IPbWiaLyHP</t>
  </si>
  <si>
    <t>Because these globalist, leftist millioniares want govt corruption to stay in place.  They want pay-2-play business as usual, not the transparency that President Trump seeks. https://t.co/TibWejHlOB</t>
  </si>
  <si>
    <t>The PRESIDENT has the right to take Mueller all the way to the Supreme Court for violating the U.S. Constitution for conducting a witchhunt against a sitting president. #VoteDemsOUT in November!</t>
  </si>
  <si>
    <t>RT @jayMAGA45: If we (Americans) committed these crimes We'd be in jail already. 🤔NEWS ALERT 11 House Republicans call on AG Sessions to in…</t>
  </si>
  <si>
    <t>RT @realDonaldTrump: #NationalDayOfPrayer https://t.co/nFUc3uyQL8</t>
  </si>
  <si>
    <t>Precisely!  
#VoteDemsOUT in November! https://t.co/jSly5aOcz8</t>
  </si>
  <si>
    <t>RT @MAGAChronicle: @ThomasWictor KIM wants a Trump Tower in North Korea, and also wants McDonalds
Liberal head will explode.   
https://t…</t>
  </si>
  <si>
    <t>MARK LEVIN --&amp;gt; As a matter of law, a sitting president cannot be indicted.</t>
  </si>
  <si>
    <t>Tucker Carlson: Feds' Michael Cohen Investigation Tactics 'Orwellian' --- 'A Grotesque Violation of Civil Liberties' | Breitbart https://t.co/v4RLF4rUeE</t>
  </si>
  <si>
    <t>RT @TomFitton: Deep State has gone too far. First, the raid. Now we hear @RealDonaldTrump's lawyer (and, therefore, the President of the Un…</t>
  </si>
  <si>
    <t>RT @ReneeCarrollAZ: @mikandynothem @LindaSuhler @codeofvets @hidehunt1 @KatTheHammer1 @StacyLStiles @GrizzleMeister @DrMartyFox @Corrynmb @…</t>
  </si>
  <si>
    <t>Marxism has resulted in over 75 million killed by their own governments!  The LEFT is very, very sick to support such a murderous ideology.
#VoteDemsOUT in November! https://t.co/bkwjQPbh9q</t>
  </si>
  <si>
    <t>Democrats GAVIN NEWSOM &amp;amp; ANTONIO VILLARIGOSA are sexual deviants.  Both had extramarital affairs while in office.  #VoteDemsOUT in November!  #TravisAllenforCAGov</t>
  </si>
  <si>
    <t>#VoteDemsOUT in November!
#OmarNavarro to replace Maxine Waters!  https://t.co/7IwO2MCS5X https://t.co/YGx6TeI8tJ</t>
  </si>
  <si>
    <t>#VoteDemsOUT in November! https://t.co/qFd0TFItW2</t>
  </si>
  <si>
    <t>It's utterly shameful what Obama's DOJ and FBI have done!  They have shredded the Constitution!  Put them all in prison, I say!
#VoteDemsOUT in November! https://t.co/QW9xB2oSzT</t>
  </si>
  <si>
    <t>RT @_Proud_American: Chaffetz: Rosenstein ‘Doesn’t Understand the Constitution’ (VIDEO) https://t.co/8kjY23fFiN</t>
  </si>
  <si>
    <t>RT @katereadsbks: this is quite the anecdote. it kinda unintentionally sums up 2016 https://t.co/3vquZoh8VL</t>
  </si>
  <si>
    <t>ROSENTEIN, MUELLER et al. and all Obama holdovers at the FBI must be fired if we are to clean up this decrepit, corrupt agency!  Corruption starts from the head.  We have horrid leadership at the FBI, people who think they are above the law!
#VoteDemsOUT in November! https://t.co/uCqs1cn9vh</t>
  </si>
  <si>
    <t>RT @GeraldoRivera: In 2013 #Potus44 campaign paid a $375,000 fine to #FEC for omitting donor names during the 2008 #Obama presidential camp…</t>
  </si>
  <si>
    <t>RT @ExMuslimTV: “I am not afraid anymore. I am here to speak out as a former Muslim. And if you think this is hate speech, you are just foo…</t>
  </si>
  <si>
    <t>#VoteDemsOUT in November! https://t.co/Z6Je1xIoWr</t>
  </si>
  <si>
    <t>RT @carrerapulse: @SKYRIDER4538 @DefendEvropa @sld_maga Every day since the mentally deranged prophet and warlord Muhammad first got his vi…</t>
  </si>
  <si>
    <t>RT @AmericanRiflesA: The Similarities Between Trump and Reagan  #news https://t.co/0HuL80OScz</t>
  </si>
  <si>
    <t>Comey and Mueller provided no leadership within the FBI.  We need investigators, not prima donnas who think they are above the law.  #TheCardinal should be heading for prison for his dereliction of duty!</t>
  </si>
  <si>
    <t>COMEY's become a pathological liar - he destroyed the FBI, provided no leadership, no discipline.  He destroyed the reputation of the FBI.  Any wonder FBI agents mockingly referred to Comey as #TheCardinal ??? --James Kallstrom, Fmr Asst FBI Director.</t>
  </si>
  <si>
    <t>RT @The_Trump_Train: Only US citizens should vote in US elections 
Only US citizens should be able to receive government benefits 
Only US…</t>
  </si>
  <si>
    <t>Art. Sec. 1 of the Constitution --&amp;gt; The executive power shall be vested in the president of the United States.  #VoteDemsOUT in November!</t>
  </si>
  <si>
    <t>James Kallstrom, former Asst FBI Dir - says the FBI has been corrupted, filled with incompetence. FBI concocted the Russia conspiracy b/c they didn't want an outsider as President.  They want globalism &amp;amp; open borders.
#VoteDemsOUT in November!</t>
  </si>
  <si>
    <t>COMEY is a liar.  McCabe said Comey lied.
#VoteDemsOUT in November!</t>
  </si>
  <si>
    <t>FBI CORRUPTION --&amp;gt; needs to be cleaned up.  Fire ALL OBAMA HOLDOVERS!  Comey, McCabe, Strzok, Page, Rosenstein, Mueller are dirty cops who lie, leak and destroy documents! #Prison
#VoteDemsOUT in November!</t>
  </si>
  <si>
    <t>REPUBLICANS ended slavery!  Democrats won't tell you that.  President Lincoln was a Republican who was murdered by a Democrat actor!
#VoteDemsOUT in November!</t>
  </si>
  <si>
    <t>RT @RealJamesWoods: Murdered by a lunatic #Democrat... https://t.co/bK01h4rO5U</t>
  </si>
  <si>
    <t>Many believe that support for Trump is closer to 60%, not what the leftist media is reporting as #FakeNews.
#VoteDemsOUT in November!</t>
  </si>
  <si>
    <t>RT @charliekirk11: The best people 
#MAGA https://t.co/QUBjfcfu7U</t>
  </si>
  <si>
    <t>RT @powerglobalus: @poconomtn BREAKING NEWS: HOW DEEP STATE FRAMED THE TRUMP RUSSIA NARRATIVE, read the step by step guide "GET TRUMP" Part…</t>
  </si>
  <si>
    <t>RT @PressSec: Today, @POTUS will sign an EO creating a new faith-based initiative, and will continue the @WhiteHouse tradition that dates t…</t>
  </si>
  <si>
    <t>CHARLIE ROSE was a liberal, Democrt pig, just like Harvey Weinstein!
#VoteDemsOUT in November! https://t.co/ROS83wsU2F</t>
  </si>
  <si>
    <t>RT @johnrobertsFox: Rudy Giuliani told me that while @realDonaldTrump reimbursed Cohen for the $130k SD payment, POTUS didn’t know what the…</t>
  </si>
  <si>
    <t>RT @forgiven_all: A new report from Florida State University researcher Gary Kleck reveals that in the late 1990s the CDC suppressed the re…</t>
  </si>
  <si>
    <t>RT @Trumpfan1995: So what’s Mueller going to do if @POTUS refuses an interview?
Subpoena him?
Arrest him?
Trump is the PRESIDENT OF THE…</t>
  </si>
  <si>
    <t>RT @revolution0914: @Education4Libs I couldn’t stand Obama but had I ever been invited to the WH for any reason I would have been beyond ex…</t>
  </si>
  <si>
    <t>...And OBAMA was the biggest wimp in the WH in U.S. history!
#VoteDemsOUT in November! https://t.co/QvjsS1uoDj</t>
  </si>
  <si>
    <t>NEW POLL shows GOP Sweeping Democrat Incumbents from Office this November.
#VoteDemsOUT in November!</t>
  </si>
  <si>
    <t>Robert Mueller Hires ANOTHER Liberal Hack Lawyer Who Donated to Hillary Clinton. 
 END THE WITCHHUNT!  #VoteDemsOUT in November!
 https://t.co/eLWZdTVRJD</t>
  </si>
  <si>
    <t>O'KEEFE GETS RESULTS=&amp;gt; Two Teachers Union Presidents Suspended After Undercover Videos Reveal Cover-Up of Child Abuse at Schools https://t.co/MXbRO0LNcC</t>
  </si>
  <si>
    <t>What Blue Wave? Senate Polls Show Generic GOP Sweeping Democrat Incumbents from Office. #VoteDemsOUT in November! https://t.co/tDkWvfu43w</t>
  </si>
  <si>
    <t>Dershowitz on Cohen Wiretaps: We Are Moving Closer and Closer to the Surveillance State --&amp;gt; #VoteDemsOUT in November!  https://t.co/lQrsBTLN8o</t>
  </si>
  <si>
    <t>FITTON: New Memo Leak Details Are Further Evidence of FBI Corruption Under Comey 'This Wasn't the First Time Leaks Occurred' (VIDEO) https://t.co/B3wWxFYXYo</t>
  </si>
  <si>
    <t>Lou Dobbs: 'Weak-Kneed' Paul Ryan and Mitch McConnell Don't Rise to the Level of a Snake's Belly (VIDEO) https://t.co/6zAM9aAtsE</t>
  </si>
  <si>
    <t>Former Hillary Clinton Chief Strategist: How Does Robert Mueller Justify his "Stormtrooper Tactics"? (VIDEO) https://t.co/YVxq8orYsc</t>
  </si>
  <si>
    <t>GOP Lawmaker Introduces Resolution to End Mueller Witch Hunt 'Provide Evidence of Trump-Russia Collusion Within 30 Days or Terminate Probe' https://t.co/vpckpDdmfS</t>
  </si>
  <si>
    <t>WATCH: Sarah Sanders Torches Obnoxious April Ryan https://t.co/g2aIWmqeru</t>
  </si>
  <si>
    <t>How Politically Biased Are Universities? New Study Finds It's Far Worse Than Anybody Thought. https://t.co/XgssDt9AuR</t>
  </si>
  <si>
    <t>HILARIOUS: Homeless Man Says He Broke Into Jerry Brown's House Because Brown's 'An Open-Door Policy Kind Of Guy' https://t.co/orjM3ZQ2mg</t>
  </si>
  <si>
    <t>WATCH: Keith Ellison Runs From Questions On DNC Paying Hillary Clinton Millions https://t.co/hZw75xTkYu</t>
  </si>
  <si>
    <t>RT @TheTrumpLady: Lord, We Pray For a Time of Mending &amp;amp; Unity In This Country; We Pray a Time To Turn Away From Hate &amp;amp; Choose To Love, &amp;amp; We…</t>
  </si>
  <si>
    <t>These are devil worshippers and pedophiles!
#VoteDemsOUT in November! https://t.co/F6zkIPcMZq</t>
  </si>
  <si>
    <t>The FBI is a wretched, flawed, incompetent, sneaky, vile agency.  The leadership should all be fired for incompetence and ALL OBAMA HOLDOVERS should be fired immediately!  #VoteDemsOUT</t>
  </si>
  <si>
    <t>Even nasty Adam Schiff said “I think it’s more than fair to say that the combination of the president’s unpredictability &amp;amp;, indeed, his bellicosity had something to do with the North Koreans deciding to come to the table.” A backhanded compliment.</t>
  </si>
  <si>
    <t>RT @marklevinshow: America’s Obama administration sellouts still at it, giving aid and comfort to Iran’s genocidal regime https://t.co/m6sK…</t>
  </si>
  <si>
    <t>RT @DGPurser: Blue wave?  No, there already is a red wave - of debt - piled up by the DNC.
Hillary is helping them pile the debt.
This ar…</t>
  </si>
  <si>
    <t>RT @Project_Veritas: "Two New Jersey Teachers’ Union Presidents Suspended After Publishing of Undercover Videos"
https://t.co/OPHDnq3da7</t>
  </si>
  <si>
    <t>Somebody pleeeeez tell that woman to shut her ignorant trap!  #VoteMaxineOUT #VoteOmarNavarro https://t.co/Bie4MCEhuB</t>
  </si>
  <si>
    <t>TAXPAYERS want FBI to comply with Congress and hand over ALL DOCUMENTS REQUESTED!  #FireRosenstein https://t.co/IGSRWOvwTo</t>
  </si>
  <si>
    <t>WHAT IS THE FBI HIDING?  As a taxpayer, I demand that the FBI hand over all documents to Congress or resign!  We want a transparent govt! Fire belligerant FBI agents! https://t.co/IGSRWOvwTo</t>
  </si>
  <si>
    <t>RT @brithume: Which establishes that Trump is a mendacious philanderer. Which was pretty well known on election day 2016. The voters decide…</t>
  </si>
  <si>
    <t>PEOPLE WHO GET FREE STUFF from the govt hate the people who are paying for the free stuff.  The # of people getting free stuff now outnumbers the number of people paying for the free stuff. #VoteDemsOUT</t>
  </si>
  <si>
    <t>RT @mitchellvii: I'm confused, why do black people think voting Democrat is good for them?
In 8 years, Obama did NOTHING for blacks.</t>
  </si>
  <si>
    <t>#HollywoodSucks
#BoycottHollywood 
My husband and I stopped going to movies b/c of the crap that comes out of Hollywood &amp;amp; their Leftist communist politics! I want none of it! #VoteDemsOUT https://t.co/Ac7V5CWaaX</t>
  </si>
  <si>
    <t>Hillary is crazy, like Pelosi and Maxine Waters. https://t.co/x4Nv7Pc3K9</t>
  </si>
  <si>
    <t>RT @PrisonPlanet: Retweet if you still don’t care about Stormy Daniels.</t>
  </si>
  <si>
    <t>RT @realDonaldTrump: This spring marks 4yrs since the Phoenix VA crisis. We won't forget what happened to our GREAT VETS. Choice is vital,…</t>
  </si>
  <si>
    <t>AGAIN, what does Stormy Daniels have to do with the 2016 Election and Russia Collusion??  Why is #DirtyCop Mueller even allowed to go there? https://t.co/1XsSWYh0Jp</t>
  </si>
  <si>
    <t>UK is lost!  They censor free speech, and put babies to death by not allowing for alternative treatment aside from govt-run healthcare which are more akin to death camps! #SocializedMedicineKills https://t.co/UoNpeYteJE</t>
  </si>
  <si>
    <t>RT @RealCandaceO: 1) Kanye put me in touch with other rappers and culture influencers  to begin having discussions about bridging the gap.…</t>
  </si>
  <si>
    <t>RT @RealJamesWoods: If you’re one of the few remaining American citizens who pays taxes, this will put a knot in your stomach... https://t.…</t>
  </si>
  <si>
    <t>RT @w_terrence: People need to leave Obama alone, he put America first all the time especially when he sent Iran a Billion dollars while Fl…</t>
  </si>
  <si>
    <t>California state university: Remove Randa Jarrar from Fresno State University for Racist comments - Sign the Petition! https://t.co/edd6IErh8K via @Change</t>
  </si>
  <si>
    <t>Mexican Cartels Cooking Meth Closer to U.S., Say Authorities https://t.co/huUi9zcBaG</t>
  </si>
  <si>
    <t>California Voters Oppose Arming Teachers to Shoot Back if Under Attack --&amp;gt; MANY TEACHERS WOULD GLADLY CARRY GUNS! I'M ALL FOR IT!  https://t.co/BnHNkYT8DA</t>
  </si>
  <si>
    <t>Mark Zuckerberg: Facebook Will ‘Dial Up the Intensity’ of News ‘Suppression’ Leading Up to Midterm Elections --&amp;gt; SHAME ON FACEBOOK FOR CENSORING NEWS AND FOR THEIR LEFTIST COLLECTIVIST BIAS.  https://t.co/AFSS41lU0Z</t>
  </si>
  <si>
    <t>Giuliani: I Think Mueller Has 'Lost' Power to Subpoena | Breitbart https://t.co/97QBnrCWLj</t>
  </si>
  <si>
    <t>Conservative Leaders Call for Fair Social Media Treatment | Breitbart https://t.co/ZZDaEaz3Bt</t>
  </si>
  <si>
    <t>Giuliani: Basis of Mueller Case 'Dead' --- 'Sessions Should Step in and Close It' | Breitbart https://t.co/DyLnT88sVJ</t>
  </si>
  <si>
    <t>Kanye Effect: Black Male Approval of Trump Doubles in One Week https://t.co/Ql3qkjX3mF</t>
  </si>
  <si>
    <t>Charlie Rose's misconduct was widespread at CBS and three managers were warned, investigation finds.  #CBSsucks CAN'T STAND TO WATCH CBS, NBC OR ABC NEWS. ALL #FAKENEWS https://t.co/56p5nTiOvO via @lmtnews</t>
  </si>
  <si>
    <t>Sixteen Democratic Senators Are Questioned on Socialized Healthcare After Alfie Evans and Go Completely Silent.  DEMOCRATS WANT TO KILL BABIES LIKE IN THE U.K.  #VoteDemsOUT in November!  https://t.co/FoRIWnPnFD</t>
  </si>
  <si>
    <t>Surprise all you Leftist PC Haters, Fascists &amp;amp; SJWs! Chinese Are Flattered by Utah Teen Who Wore a Cheongsam Dress to Prom!  #VoteDemsOUT in November!  https://t.co/qX8ZcTeqkS</t>
  </si>
  <si>
    <t>Obama's Former Foreign Policy Adviser Just Got Trashed Again Over Iran Deal Fiasco.  OBAMA WAS THE WORST PRESIDENT IN U.S. HISTORY!   https://t.co/BkJ6tS7lJc</t>
  </si>
  <si>
    <t>Under Pressure: Some Democrats Want Vampire Hillary To Return The Cash She's Sucking Out Of The DNC https://t.co/djDhEYdjX3</t>
  </si>
  <si>
    <t>Governor Scott Walker - Outside Special Interests Set to Flood Wisconsin - Starting with Obama AG Eric Holder --&amp;gt; #VoteDemsOUT in November!  https://t.co/9Tc19tFU8v</t>
  </si>
  <si>
    <t>Terry Jeffrey - Liberate America From Public Schools --&amp;gt;  PARENTS WANT SCHOOL CHOICE!  #VoteDemsOUT in November!  https://t.co/jCGuLyjuNy</t>
  </si>
  <si>
    <t>Propaganda Networks https://t.co/rZ1hAMYJiG</t>
  </si>
  <si>
    <t>Left-Wing Corruption Hiding In Plain Sight.  #VoteDemsOUT in November!  https://t.co/M4hVD5aN8Y</t>
  </si>
  <si>
    <t>Jackie Gingrich Cushman - With Pompeo in Charge, Watch the State Department Get its Swagger Back https://t.co/usipDarucN</t>
  </si>
  <si>
    <t>'Teachers of the Year' Confront DeVos Over School Choice --&amp;gt; IT'S NOT UP TO TEACHERS.  IT'S UP TO PARENTS TO CHOOSE WHICH SCHOOL TO SEND THEIR CHILD!  #VoteDemsOUT in November!  https://t.co/WXzDHRuGFS</t>
  </si>
  <si>
    <t>Outrage Mob: This Is Why Progressives Were Frothing At The Mouth Over A Girl’s Prom Dress.  CHINA is flattered by the dress!  DUMB ASS LIBERALS!  https://t.co/6m2okI3QSn</t>
  </si>
  <si>
    <t>Oh, Say Kanye Sees https://t.co/nCDOps2xas</t>
  </si>
  <si>
    <t>The Left-Wing Corruption Hiding In Plain Sight  https://t.co/M4hVD5aN8Y</t>
  </si>
  <si>
    <t>Hear That Dems? North Korea Pulls Plug On Nuke Site, Releases U.S. Prisoners Ahead Of Summit --&amp;gt; #NobelPeacePrize  https://t.co/d8GActTaZW</t>
  </si>
  <si>
    <t>NOTHING but STEALING more of your more and eliminating your rights and liberties!  #VoteDemsOUT in November! https://t.co/5js6YIVBWf</t>
  </si>
  <si>
    <t>RT @maribellezza: @FoxNews @jasoninthehouse Does #Rosenstein resemble Heinrich Himmler-Reichsfuhrer-SS??  Just say'n...</t>
  </si>
  <si>
    <t>CA law enforcement can no longer hold or prosecute criminal illegals.  DEMOCRAT Gov. Jerry Brown prefers to protect criminal illegals to California legal residents &amp;amp; citizens. #VoteDemsOUT in November!</t>
  </si>
  <si>
    <t>CA Law Protecting Kids from Hollywood Sex Predators Hasn't Worked and You Won't Believe Why https://t.co/jcTx3oSE3K</t>
  </si>
  <si>
    <t>Surprise SJWs! Chinese Are Flattered by Utah Teen Who Wore a Cheongsam Dress to Prom https://t.co/qX8ZcTeqkS</t>
  </si>
  <si>
    <t>#VoteDemsOUT in November! https://t.co/IEulKR0uSS</t>
  </si>
  <si>
    <t>RT @chuckwoolery: REPORT: After a Year in Office Trump Out Performs Obama in EVERY ECONOMIC MEASUREMENT https://t.co/A6mzXYLfHj https://t.c…</t>
  </si>
  <si>
    <t>RT @PDChina: Meet mommy #tiger and her #quintuplets! A female Siberian tiger recently gave birth to five tiger cubs, three males and two fe…</t>
  </si>
  <si>
    <t>RT @gkelly1438: @Thom44810402 @BelindaBee13 Kanye and the President are much alike in one important characteristic. They are both at their…</t>
  </si>
  <si>
    <t>She is a butcher and a killer for profit!  Shame on Planned Parenthood for stealing taxpayer dollars to murder the unborn! #HellIsWaiting https://t.co/YcITPb7rsk</t>
  </si>
  <si>
    <t>For sure! https://t.co/WEFGbaYsjm</t>
  </si>
  <si>
    <t>RT @Corsiar9: SUPER URGENT ACTION NEEDED TO SAVE Adorable Cat FRANKIE !! He deserves to spend the rest of his LIFE in a good, FOREVER home,…</t>
  </si>
  <si>
    <t>Kathy Griffin is so scary ugly looking, I am afraid to even look at her!  She and Robert De Niro are examples of PURE HATE! #VoteDemsOUT in November! https://t.co/GOzhiZWPoB</t>
  </si>
  <si>
    <t>RT @TomFitton: Crisis of confidence: @JudicialWatch uncovered docs showing Mueller #2 Clinton supporter Andrew Weissman is anti-@RealDonald…</t>
  </si>
  <si>
    <t>RT @TomFitton: Finally! On @SeanHannity, @RealDonaldTrump lawyer Rudy Giuliani calls on Justice Department to shut down Mueller special cou…</t>
  </si>
  <si>
    <t>RT @TomFitton: Giuliani:  Rosenstein was with Mueller the day Mueller interviewed for FBI Director position with @realDonaldTrump.  As I've…</t>
  </si>
  <si>
    <t>RT @TomFitton: .@JudicialWatch lawsuit uncovered how Mueller's FBI worked with Lois Lerner's IRS to try to prosecute the very groups Obama…</t>
  </si>
  <si>
    <t>BREAKING: Giuliani Calls For Comey to be Prosecuted For Leaking Classified Information (VIDEO) https://t.co/2cQcwTn6QZ</t>
  </si>
  <si>
    <t>Zuckerberg's Announcement Means Final Remaining Conservative Voices on Facebook Will Be Eliminated by Election Day. #FACEBOOKSUCKS  https://t.co/XkamVNoM8P</t>
  </si>
  <si>
    <t>Pompeo Will Revive State Dept. | https://t.co/PKZvp8X8Ca https://t.co/YizIQa5uhN via @Newsmax</t>
  </si>
  <si>
    <t>Michael Caputo Calls Mueller Interview an 'Awful Experience' | https://t.co/PKZvp8X8Ca https://t.co/EVRMg9rEyn via @Newsmax</t>
  </si>
  <si>
    <t>Rudy Giuliani Compliments Mueller, Says Trump Interview May Not Happen | https://t.co/PKZvp8X8Ca https://t.co/19oqtHtBNV via @Newsmax</t>
  </si>
  <si>
    <t>Kanye West Releases New Song Defending His Trump Support https://t.co/gEN7MUtAuQ</t>
  </si>
  <si>
    <t>Poll: Impeachment Talk a Losing Topic for Democrats in Midterms https://t.co/QQ8Llg5vOf</t>
  </si>
  <si>
    <t>Dick Morris: Trump Ratings Up, Dem Chances Down https://t.co/fGcqo3grDi</t>
  </si>
  <si>
    <t>North Korea Submits to Another Trump Request, Releases Detainees.  THANK YOU PRESIDENT TRUMP!  #MAGA https://t.co/hdRU8BF7Wu</t>
  </si>
  <si>
    <t>18 House Republicans Formally Nominate President Trump for Peace Prize https://t.co/3z0e3I39bx</t>
  </si>
  <si>
    <t>Facebook Submits to Political Bias Audit Amid Allegations of Censoring Conservative Voices https://t.co/U5AYOrNV6B</t>
  </si>
  <si>
    <t>Netherlands: 85 Per Cent of Refugees Still Unemployed | Breitbart https://t.co/lN4Zusp9Y9</t>
  </si>
  <si>
    <t>EXCLUSIVE - New York Democrat Assemblyman Gives Trump ‘A-Triple-Plus’ Rating on Israel https://t.co/HKqSuWOP4K via @BreitbartNews</t>
  </si>
  <si>
    <t>Texas Seeks Nationwide Injunction to Halt DACA --&amp;gt; #VoteDemsOUT in November!  https://t.co/6kNQf7tTjI</t>
  </si>
  <si>
    <t>Facebook Enlists LEFTIST Eric Holder's Law Firm to 'Advise' on Anti-Conservative Bias! 
 WHAT A JOKE ZUCKERBERG IS!  #VoteDemsOUT in November! https://t.co/PWWXkMBuNN</t>
  </si>
  <si>
    <t>Facebook Employee Allegedly Used Company Tools to Stalk Women | Breitbart https://t.co/7fATffdnAg</t>
  </si>
  <si>
    <t>Tijuana: 207 Killed in April https://t.co/EM3fpa0jz0</t>
  </si>
  <si>
    <t>Howard Jarvis Group Collects 150% Signatures for Gas Tax Repeal. HEY CALIFORNIA --&amp;gt; LET'S REPEAL GOV. JERRY "MOONBEAM" BROWN'S AWFUL GAS TAX!  https://t.co/RDPt1wDKQa</t>
  </si>
  <si>
    <t>Rapper Daz Dillinger Interrogated by Police for Threatening Kanye West's Life (VIDEO) https://t.co/jAwSFSoUa4</t>
  </si>
  <si>
    <t>Sen. Ted Cruz: Netanyahu Revelations Prove Iran Deal ‘Truly Catastrophic’ https://t.co/mutSn25FIr</t>
  </si>
  <si>
    <t>Hillary: Being a ‘Capitalist’ Hurt Me in ’16 Because So Many Dems are Socialists. 
 IS SHE CRAZY?  WHAT IS THAT LYING WITCH SMOKING ANYWAY??? #VoteDemsOUT |https://t.co/7feIib61MN</t>
  </si>
  <si>
    <t>Eric Reid Joins Colin Kaepernick, Files 'Collusion' Grievance Against NFL.  WHO WANTS TO HIRE AN AGITATOR, AN ANTI-AMERICAN?  NO TEAM.  https://t.co/ZAKhf2D5CT</t>
  </si>
  <si>
    <t>ESPN Lost 500,000 Subscribers in April --&amp;gt;  HaHaHa!  It's called VOTING WITH YOUR DOLLARS!   https://t.co/r4RFXR2gUR</t>
  </si>
  <si>
    <t>Texas Mom Who Left Kids in Hot Car to 'Teach Them a Lesson' Gets 20 Years in Prison https://t.co/zPBpyh9vvs</t>
  </si>
  <si>
    <t>In the appearance with Nigerian President Muhammadu Buhari, Trump deplored the ongoing religious attacks on churches in Nigeria by mainly Muslim herdsmen from the dominant Fulani tribe.</t>
  </si>
  <si>
    <t>RT @tsbarnes89: Trump Takes Massive Stand for Christians Against Islamist Butchers https://t.co/Cg68Wb7BYY</t>
  </si>
  <si>
    <t>RT @DailyMail: Trump threatens to step in and declassify Justice Department files because the FBI is taking too long to obey subpoena from…</t>
  </si>
  <si>
    <t>...says the man whose only expertise is that he backpacked to 90 countries.  What a dummie! https://t.co/iLm4ro8LR0</t>
  </si>
  <si>
    <t>i.e. a Communist Certificate.
#VoteDemsOUT in November! https://t.co/c25Bq1NXQY</t>
  </si>
  <si>
    <t>#VoteDemsOUT in November!
#TermLimits https://t.co/MrOsVc1Ozv</t>
  </si>
  <si>
    <t>Can't get any whiter than Martha Stewart!
#VoteDemsOUT in November! https://t.co/sDGuKV3vuE</t>
  </si>
  <si>
    <t>RT @esaagar: Condoleezza Rice on Kanye-gate: "I’ve been black all my life. You don’t have to tell me how to be black... the height of preju…</t>
  </si>
  <si>
    <t>Why is that any of Mueller's business?  And what does it have to do with the 2016 election?  NOTHING!  #Witchhunt
#VoteDemsOUT in November! https://t.co/l3jeclYfjH</t>
  </si>
  <si>
    <t>All conservative thinkers.  
#VoteDemsOUT in November! https://t.co/IIZDDAh9Zg</t>
  </si>
  <si>
    <t>RT @charliekirk11: So proud of @RealCandaceO for her interview with @kanyewest on @TMZ 
She stood her ground, was incredibly articulate, a…</t>
  </si>
  <si>
    <t>RT @tan123: "Carbon dioxide in the atmosphere is the key nutrient of our carbon-based life on Earth. It has always been there, usually much…</t>
  </si>
  <si>
    <t>RT @DineshDSouza: Yesterday, I exposed the fictitious conversion of LBJ to the cause of civil rights at his own alma mater, @txst. Didn't c…</t>
  </si>
  <si>
    <t>RT @armyWCT: On May 9, dozens of employers will be in Washington, DC hiring #veterans &amp;amp; #woundedwarriors at the #2018WWHS! Learn everything…</t>
  </si>
  <si>
    <t>Outgoing ICE DIRECTOR says of 6 presidents he has worked for --&amp;gt; none has done as much as President Trump to secure our border and curb illegal immigration &amp;amp; crime!  #VoteDemsOUT in November!</t>
  </si>
  <si>
    <t>Border Patrol Agents Bust Canadian Killer After Illegal Entry in Vermont https://t.co/cxom4iEv1f</t>
  </si>
  <si>
    <t>Mexican Beach Hub Ensenada Breaks Murder Record in April.  I WILL NEVER GO TO MEXICO AGAIN!  https://t.co/PC7J51FIEW</t>
  </si>
  <si>
    <t>California’s Travis Allen: GOP’s Winning Issue Is Immigration.  #VoteDemsOUT in November! #TravisAllen  https://t.co/Wt0PoXsr8b</t>
  </si>
  <si>
    <t>Report: Amazon Warehouse Employees 'Pee into Bottles' Due to Fear of Being Sanctioned for Toilet Breaks | Breitbart https://t.co/Bbb4OZ9BGP</t>
  </si>
  <si>
    <t>Facebook Is Now Ranking News Organizations Based on 'Trustworthiness' --&amp;gt; WE KNOW WE CAN'T TRUST CNN, NBC, MSNBC, NYT, OR WAPO.  They all lie &amp;amp; plagiarize!  https://t.co/lN8DMs4tCR</t>
  </si>
  <si>
    <t>AMERICANS DESERVE even lower tax rates.  Fire ALL DEMOCRATS come November.  It's OUR MONEY. Democrats don't have a right to grab our money to give to illegals, gangs &amp;amp; terrorists! #VoteDemsOUT in November!</t>
  </si>
  <si>
    <t>#VoteDemsOUT in November! https://t.co/JlQq0yvzxW</t>
  </si>
  <si>
    <t>TEACHERS' UNIONS DON'T CARE ABOUT YOUR CHILDREN, ONLY THEMSELVES &amp;amp; PROTECTING THEIR PENSIONS.
#VoteDemsOUT in November! https://t.co/1p3QVysHUG</t>
  </si>
  <si>
    <t>#VoteDemsOUT in November! https://t.co/koBJrCDuyg</t>
  </si>
  <si>
    <t>RT @EpochTimes: Undercover Video Shows Corruption in New Jersey Teacher Union @Project_Veritas @JamesOKeefeIII https://t.co/oDa3YePznd</t>
  </si>
  <si>
    <t>SCUM TEACHER'S UNIONS protect criminals.
#VoteDemsOUT in November! https://t.co/iartJL4ecb</t>
  </si>
  <si>
    <t>RT @JamesOKeefeIII: BREAKING: NJ Teachers Union President Will "Bend the Truth," Cover Up Child Abuse in Schools, Protects Drug-Using, Shop…</t>
  </si>
  <si>
    <t>RT @IngrahamAngle: Many thanks to the #IngrahamAngle viewers and congrats to all our @FoxNews hosts &amp;amp; producers! (In April, the #IngrahamAn…</t>
  </si>
  <si>
    <t>#FireRosenstein
#VoteDemsOUT in November! https://t.co/mdtiOGUWw1</t>
  </si>
  <si>
    <t>This needs to stop! https://t.co/jmr5bxu1Ec</t>
  </si>
  <si>
    <t>LOVE THIS BIO:  "Liberal hypocrisy is a disease."
#VoteDemsOUT in November!</t>
  </si>
  <si>
    <t>I will NEVER watch another De Niro movie again!  He is an example of the worst of humankind. He's spiteful, hateful, vicious, revenge-seeking asshole that comes out of Hollywood. #VoteDemsOUT in November!</t>
  </si>
  <si>
    <t>Nolte: North Korea Is Why I Supported Trump | Breitbart https://t.co/bqhRADkIPk</t>
  </si>
  <si>
    <t>At Michigan Rally, Donald Trump Ridicules ‘Phony’ White House Correspondents’ Dinner --&amp;gt; TIME TO SHUT IT DOWN TILL CIVILITY RETURNS TO JOURNALISM &amp;amp; COMEDY.  https://t.co/p97HWAvOTi</t>
  </si>
  <si>
    <t>Experts: BuzzFeed Exposes Migrants' Identities, Weak Asylum Claims . 
 WHY DON'T THEY JUST STAY IN MEXICO??? https://t.co/s7yiiPMIJ3</t>
  </si>
  <si>
    <t>Report: Mexican Migrants Angry Illegals in Caravan Cutting in Line.  --&amp;gt; WHY DON'T ALLTHESE MIGRANTS JUST STAY IN SPANISH-SPEAKING MEXICO?  t https://t.co/dNDDpDfRs2</t>
  </si>
  <si>
    <t>Report: Secret Donors Paid for Trump Opposition Research Even After 2016 Election | Breitbart https://t.co/jOSlw7CuMV</t>
  </si>
  <si>
    <t>Freedom Caucus Drafts Articles of Impeachment Against Deputy AG Rosenstein.  He works for the President. He can't refuse document requests by Congress. What is he hiding?  https://t.co/XodZ70HNNa</t>
  </si>
  <si>
    <t>White House: Documents Seized by Israel Prove Nuclear Deal Signed on False Pretenses https://t.co/ZVJTm9imVg</t>
  </si>
  <si>
    <t>EXCLUSIVE: Tom Brokaw’s Accuser Fights Back https://t.co/TawGjddE8g via @dailycaller</t>
  </si>
  <si>
    <t>Johnny Depp Hit In Unpaid Bodyguards Suit; Claims Of Drug Use &amp;amp;amp; “Chaos” https://t.co/MOfoW9SNZf via @deadline</t>
  </si>
  <si>
    <t>‘Daddy, I can't see,' said 8-year-old soccer player. He died minutes later. https://t.co/PcFU6J9TOI</t>
  </si>
  <si>
    <t>Three arrested in Charlotte flag-burning at May Day protest in uptown park, cops say.  Communists have no place in American society. https://t.co/GCWdB8I7PQ</t>
  </si>
  <si>
    <t>'God damn you to hell!': Former Trump adviser explodes at Senate aides https://t.co/jARLYwOTFJ via @MailOnline</t>
  </si>
  <si>
    <t>Pelosi Guarantees Victory --&amp;gt; DOES ANYONE REALLY BELIEVE ANYTHING SHE SAYS? #VoteDemsOUT in November!</t>
  </si>
  <si>
    <t>Anyone who says that a $1,000 bonus to a struggling family is "crumbs" is OUT OF TOUCH with the people &amp;amp; should NEVER lead the people's house again.  --VP Mike Pence</t>
  </si>
  <si>
    <t>Tax Cuts Can't 'Pay For Themselves'? No Place To Cut Government? This Man Says 'Hogwash!' https://t.co/4gX8jW9b22</t>
  </si>
  <si>
    <t>A Rebirth Of Self-Reliance? Here's What's Happening To Food Stamp, Welfare, Medicaid, Disability Rolls Under Trump https://t.co/SqRzUdktiS</t>
  </si>
  <si>
    <t>Not so much a rebirth of self-reliance.  More like illegals scrambling to be found out, id'd and deported if caught accepting U.S. aid (which is illegal).
#VoteDemsOUT in November. https://t.co/hcZGcd6uy4</t>
  </si>
  <si>
    <t>RT @KatTheHammer1: Your reaction when democrats spent the last year labeling you a war monger, homophobe and a racist but then you end the…</t>
  </si>
  <si>
    <t>RT @GovMikeHuckabee: The Senate Intel Committee heard testimony from Waldman back on Nov 3 last year, in which he disclosed that Jones had…</t>
  </si>
  <si>
    <t>RT @Pink_About_it: I can't decide which is funnier :
That the DNC wants Hillary to return money because it's the "christian" thing to do..…</t>
  </si>
  <si>
    <t>RT @Karee_news: Failure to enforce immigration laws is an issue of National Security 
It is 1st on @RealErinCruz agenda when she is elected…</t>
  </si>
  <si>
    <t>#VoteDemsOUT in November. https://t.co/q2UgnDcPpM</t>
  </si>
  <si>
    <t>RT @stacy_redvirgo: @thebradfordfile  https://t.co/NWndGMvRwN</t>
  </si>
  <si>
    <t>RT @RepMarkMeadows: If he believes being asked to do his job is ‘extortion,’ then Rod Rosenstein should step aside and allow us to find a n…</t>
  </si>
  <si>
    <t>RT @Baxter49Jeff: @thebradfordfile Love the Comment --All Politicians need to Pay ATTENTION--DO YOU JOB---FIX THE ILLEGAL ALIEN LAWS</t>
  </si>
  <si>
    <t>RT @WeThePeopleFor: @USAHotLips @realDonaldTrump @VFL2013 @KatTheHammer1 @RuthieRedSox @GrizzleMeister @ChristieC733 @ReBannedVernon @Donna…</t>
  </si>
  <si>
    <t>RT @writemombritt: Best Rapper ALIVE 😍😍😍😍😍😍😍😍😍😍😍😍❤❤❤ https://t.co/4FSTJdVjKn</t>
  </si>
  <si>
    <t>RT @mike_Zollo: WARNING:
Liberalism is spreading in America, it is dangerous, if you know anybody suffering from this horrible disease, pl…</t>
  </si>
  <si>
    <t>RT @RodStryker: Liberals are getting Kanye's words twisted about "400 years of slavery being a choice"🤔
I believe he is saying this:
Slav…</t>
  </si>
  <si>
    <t>RT @John_KissMyBot: The DNC Wants A Refund From Hillary BUT Hillary Is Trying To Cash In On Her Loss To Trump 
It’s All Explained In Steph…</t>
  </si>
  <si>
    <t>RT @TheJordanRachel: Sounds like Hillary has been there. https://t.co/ItUv9n1rli</t>
  </si>
  <si>
    <t>Harris is a cheap-ass hussy who slept her way with a married man to climb the political ladder.  She flaunted her adulterous relationship with SF Mayor Willie Brown right in front of his wife!  She is shameless, no scruples! https://t.co/CjRAbBRF56</t>
  </si>
  <si>
    <t>RT @RealSlimSupreme: @kanyewest finally broke free, realizing there’s more in life than mental slavery (mental prison) 
Peers should follow…</t>
  </si>
  <si>
    <t>RT @ColumbiaBugle: God Bless Texas!
The State of Texas is suing to End President Obama's Unconstitutional DACA Amnesty.
Hopefully we can…</t>
  </si>
  <si>
    <t>#VoteDemsOUT in November. https://t.co/22SAA3taZe</t>
  </si>
  <si>
    <t>RT @TonyPaulVFL: "We Live In The Land Of The Free, Because Of The Brave" This is the title of my original song and I hope that you will hel…</t>
  </si>
  <si>
    <t>RT @CaliConsrvative: BREAKING: San Jacinto City Council has voted 3-1 to join the Trump lawsuit against dangerous Sanctuary Cities!
More a…</t>
  </si>
  <si>
    <t>RT @_FranklinWright: Kanye West on Donald Trump: ‘Sometimes You Need Some Crazy [Bleep] to Change Something https://t.co/wVt00eJDgA</t>
  </si>
  <si>
    <t>#VoteDemsOUT in November. https://t.co/p94b2tXqdZ</t>
  </si>
  <si>
    <t>RT @thebradfordfile: Wacky Liberals: If it's okay to eat General Tso's Chicken at some overpriced bistro in the Upper East Side of Manhatta…</t>
  </si>
  <si>
    <t>RT @LoriinUtah: People are so outraged at a Utah girl wearing a Chinese Prom dress, you'd think the poor gal beach bit 33,000 emails or som…</t>
  </si>
  <si>
    <t>#VoteDemsOUT in November. https://t.co/xfK7pbVnm1</t>
  </si>
  <si>
    <t>#VoteDemsOUT in November. https://t.co/mpK1fvPZIr</t>
  </si>
  <si>
    <t>RT @thebradfordfile: Dear Marco Rubio:
You seem more confused than Nancy Pelosi on the benefits Trump's tax cuts are providing to American…</t>
  </si>
  <si>
    <t>RT @thebradfordfile: NOT FAKE NEWS:
Ohr lied.
DNC lied.
Page lied.
Yates lied.
Lynch lied.
Huma lied.
Strzok lied.
Hillary lied.
Holder lie…</t>
  </si>
  <si>
    <t>RT @thebradfordfile: Dear Rod Rosenstein:
Compelling you to provide documents to congress that is part of your job description is not "ext…</t>
  </si>
  <si>
    <t>Hey Millenials --&amp;gt; STILL WANT GOVT TO RUN YOUR LIFE AND CONTROL YOUR HEALTHCARE?  UK socialized medicine just murdered an innocent child instead getting him life-saving healthcare. https://t.co/us0F5Lzx5n</t>
  </si>
  <si>
    <t>#VoteDemsOUT in November. https://t.co/zigzJvWWdQ</t>
  </si>
  <si>
    <t>RT @Hoosiers1986: #TuesdayMotivation
Is it any wonder Libs don't like Sarah Huckabee Sanders?
Every day she's handing out ass-whoopings t…</t>
  </si>
  <si>
    <t>RT @TheNYevening: India: Man Sentenced To Death For Rape &amp;amp; Murder Of 6 Year Old Girl! #PedoGate https://t.co/nDZbZhkF0e https://t.co/936lpz…</t>
  </si>
  <si>
    <t>WHY DON'T these Spanish-speakers stay in Mexico or go to another Spanish-speaking country, like Colombia? Why do they insist on coming to the U.S. illegally? #DeportIllegals #VoteDemsOUT https://t.co/FQQESR5TFe</t>
  </si>
  <si>
    <t>RT @PegasisterMaud: @kanyewest @RealCandaceO @ScottPresler                        The opponent to Feinstein for US #senate has been #blocke…</t>
  </si>
  <si>
    <t>RT @redsteeze: Yeah NBC is kind of big on making women who work there do things against their will https://t.co/YZKsdUVHet</t>
  </si>
  <si>
    <t>RT @lucky88duck: Yes, beat Dianne Feinstein! https://t.co/sWY6ImH2LP</t>
  </si>
  <si>
    <t>RT @TomFitton: Mueller told @RealDonaldTrump legal team a presidential subpoena could be possible, ex-attorney says. Mueller out of control…</t>
  </si>
  <si>
    <t>Is Trump right about judges' leanings? Maybe, review shows https://t.co/LCn4EzIL79 #FoxNews</t>
  </si>
  <si>
    <t>RT @RealJamesWoods: These Democrats love to trade secret intel for jobs, favors and God knows what else. #Clapper and #Tapper did their thi…</t>
  </si>
  <si>
    <t>RT @RealJamesWoods: The Obama administration is like a stain on American history. How could he and his henchmen have been so gullible, with…</t>
  </si>
  <si>
    <t>RT @RealJamesWoods: The biggest liar in the history of the American presidency and a potted plant behind him and to his right. #IranNuclear…</t>
  </si>
  <si>
    <t>RT @RealJamesWoods: Because he and his former meat puppet #Obama look like conniving fools maybe? https://t.co/lhl5rxFbDM</t>
  </si>
  <si>
    <t>RT @RealJamesWoods: “We are destined to keep citing him (Marx) and testing his ideas until the kind of society that he struggled to bring a…</t>
  </si>
  <si>
    <t>Barack Obama was a very, very sick person!  Delusional, lying, leftist! https://t.co/kGWjNBu5Ok</t>
  </si>
  <si>
    <t>RT @RealJamesWoods: For those facing surgery in CA, I humbly suggest having your own blood stored pre-op, if time permits. https://t.co/gHq…</t>
  </si>
  <si>
    <t>RT @RealJamesWoods: Thank you, #JerryBrown. Thank you, #Democrats. Thank you for turning California from paradise to hell on earth. #Sanctu…</t>
  </si>
  <si>
    <t>Ditto --&amp;gt; #BuildTheWall https://t.co/0IJLsUoT1z</t>
  </si>
  <si>
    <t>VOTE MAXINE WATERS out of office!  Vote for OMAR NAVARRO -- https://t.co/7IwO2MCS5X ! https://t.co/FE9z0Ap2fM</t>
  </si>
  <si>
    <t>.@cnn is the new Enquirer!  Nothing but a cheap ass, lying gossip rag! https://t.co/MksVl0cXax</t>
  </si>
  <si>
    <t>James Woods Takes a Blow Torch to Hollywood’s Phonies &amp;amp; Hypocrital Closet Fans of Trump https://t.co/lXQHR413iG</t>
  </si>
  <si>
    <t>Dershowitz: Dems ‘Prepared to Eliminate Civil Liberties’ to Get Trump (VIDEO) https://t.co/qoHPdhzuE8</t>
  </si>
  <si>
    <t>RT @Thomas1774Paine: Dershowitz: Dems ‘Prepared to Eliminate Civil Liberties’ to Get Trump (VIDEO) https://t.co/GMkMdqXxkU</t>
  </si>
  <si>
    <t>I am so sick of the Deep State and the Dirty FBI agents that feel they are above the law.  The only way we're going to get rid of them is to #VoteDemsOUT of office!  Democrats lie, cheat &amp;amp; steal elections! They are pure evil.</t>
  </si>
  <si>
    <t>Comey, Mueller, Rosenstein, McCabe - all cut from the same cloth -- holier than thou attitudes, think their shit doesn't stink and that they are above the law &amp;amp; don't report to Congress! #IndictThem</t>
  </si>
  <si>
    <t>RT @nancy_faust: @Dolly0811 @sookietex @MetalMamaLady @CharlieD2749 @velvetrose15 @catherinevandeh @PatriciaAHenso1 @Kacado @southgadiva @Y…</t>
  </si>
  <si>
    <t>RT @BreitbartLondon: POLL: More Brits Back Trump Visit Than Oppose  https://t.co/MnTn7rMjnW</t>
  </si>
  <si>
    <t>RT @JackPosobiec: Are NBC and CNN Paying Off Top Spies Who Leaked With On-Air Jobs? https://t.co/OU3vhv9JGT</t>
  </si>
  <si>
    <t>RT @Uncle_Jimbo: This is comical
@realDonaldTrump has made more real progress on #Iran &amp;amp; #NorthKorea in a year than Obama did in 8
And @w…</t>
  </si>
  <si>
    <t>RT @4DC4USA: Capitol Hill &amp;amp; NSA insiders are convinced German chancellor Angela Merkel worked with Obama, Samantha Power and others to unma…</t>
  </si>
  <si>
    <t>Millionaire donors kept 'dirty dossier' work going AFTER 2016 election --&amp;gt; WOW! DEMS STILL FEEDING THE FAKENEWS BEAST! #VoteDemsOUT https://t.co/scCtl4IjFu</t>
  </si>
  <si>
    <t>Victory will be ours, if we #VoteDemsOUT.
Thanks to Kanye for opening up so many minds and hearts formerly locked into the Democrat leftist mental prison! https://t.co/6tD63wYphG</t>
  </si>
  <si>
    <t>Hubby &amp;amp; I can't stomach ESPN since they turned Left.  Besides FNC and FBN, we watch OANN, NewsmaxTV and Blaze TV.  Lots to choose from besides the hate-spewing leftist media. https://t.co/4Wge0CN8FZ</t>
  </si>
  <si>
    <t>RT @charliekirk11: Just two free thinkers trying to change the world https://t.co/GkwF311IHM</t>
  </si>
  <si>
    <t>RT @FoxNews: .@IngrahamAngle: "The current situation at our southern border is completely out of hand." https://t.co/y50yU4HGP9</t>
  </si>
  <si>
    <t>RT @Belle4DJT: Wake Up America! Dont talk to me about slavery...Truth of the matter is, No One, in this lifetime has ever experienced it...…</t>
  </si>
  <si>
    <t>RT @LouDobbs: #RemoveRosenstein!- House Republicans draft articles of impeachment against the Deputy AG for stonewalling Congress and enabl…</t>
  </si>
  <si>
    <t>What's Rosenstein hiding?  He owes those documents to Congress, under the Law.  He cannot hide or withhold information from Congress when they ask for it.  ISN'T IT TIME WE MADE THE DOJ &amp;amp; FBI accountable to WE THE PEOPLE?  They are not above the law! #DrainTheSwamp https://t.co/dyytvUJU34</t>
  </si>
  <si>
    <t>RT @JudgeJeanine: Dossier not central to FISA warrant? The ‘mosaic of facts’ Comey talks about are the hallucinations in his head. 
https:/…</t>
  </si>
  <si>
    <t>Washington DC Monuments are nothing more than secular shrines, a form of religion, that is the glue that keeps the American story &amp;amp; civilization moving forward, b/c enough of us still believe in freedom &amp;amp; independence.</t>
  </si>
  <si>
    <t>RT @John_KissMyBot: The Five Most 💥Shocking💥Revelations in BiBI Netanyahu’s Iran Presentation
TO START WITH ~ Iran Lied to the World About…</t>
  </si>
  <si>
    <t>RT @Cernovich: "The first police officer to breach the Las Vegas gunman’s Mandalay Bay suite on Oct. 1 did not activate his body camera."…</t>
  </si>
  <si>
    <t>RT @Blessamericagod: @brithume Sheriff Arpaio had the LOWEST recidivism rate in the nation.  What is DEPRESSING is Liberals HATE that and u…</t>
  </si>
  <si>
    <t>RT @GuyChicago5151: It’s time for people to free themselves from the Democrats https://t.co/5nOvlZzviZ</t>
  </si>
  <si>
    <t>RT @starcrosswolf: A Texas voter ID law that has been blocked twice can stay in effect for the 2018 elections. Texas’ voter ID law that was…</t>
  </si>
  <si>
    <t>Time to enact VOTER ID in California and every state!  Watch all the illegal voters scram across the border! https://t.co/bOlcOitSGj</t>
  </si>
  <si>
    <t>RT @westruthbtold: If it wasn't for identity politics and tribalism the left would have nothing. That has been there go to Ploy for decades…</t>
  </si>
  <si>
    <t>RELIGION has been expanding civilizations &amp;amp; has always provided a common sense of purpose for the community, a sense of belonging. Religion plays an important part in our civilization, then &amp;amp; now.</t>
  </si>
  <si>
    <t>RT @JoinTravisAllen: "I’ve been against the ILLEGAL SANCTUARY STATE from the beginning. I wrote AB 1252 to defund every sanctuary city in C…</t>
  </si>
  <si>
    <t>PBS show on First Civilizations says:  civilizations need a shared set of beliefs to survive.  Religion serves as the stability and cohesion of ancient Egypt.</t>
  </si>
  <si>
    <t>RT @C_3C_3: Why would a POTUS sign the Iran Deal?
Raised by a Marxist: Dunham
Mentored by a Communist: Davis
Groomed by a Terrorist: Ayers…</t>
  </si>
  <si>
    <t>RT @JSchanzer: I know what you're thinking. Hard to believe that a prolific state sponsor of terrorism lied about its nuclear program. Righ…</t>
  </si>
  <si>
    <t>#TheCardinal thinks he's holier than thous, even when he's spewing his lies. https://t.co/mk3v4NIbw0</t>
  </si>
  <si>
    <t>RT @TheMorningSpew: The only thing he didn’t do was drive a young girl off a bridge and leave her to drown, while he figured out a cover st…</t>
  </si>
  <si>
    <t>RT @realamericadrew: @realDonaldTrump Will you vote for President Trump in 2020?  Vote and Retweet!!!!!!</t>
  </si>
  <si>
    <t>OMAR NAVARRO getting donations from all 50 states!  Let's help Omar Navarro DEFEAT Maxine Waters. #VoteDemsOUT https://t.co/NAe32QqUR1 …</t>
  </si>
  <si>
    <t>RT @mitchellvii: KKK is far left, not far right.  It was founded by Democrats. Learn your history. https://t.co/dokfSMehbJ</t>
  </si>
  <si>
    <t>CULTURAL APPROPRIATION is more Leftist bullshit political correctness.  It's wrong, it's evil, it seeks to control others. That's what the Left is all about --&amp;gt; controlling you, your money &amp;amp; your vote!  #VoteDemsOUT</t>
  </si>
  <si>
    <t>May 1 is May Day, the most important date on the communist calendar. May 1 is also Law Day, a day officially designated for Americans to celebrate our Constitution &amp;amp; reaffirm our dedication to the Rule of Law.</t>
  </si>
  <si>
    <t>May Day? Celebrate Law Day instead https://t.co/Rx7XAkOiYe</t>
  </si>
  <si>
    <t>National Mainstream Media IS THE SWAMP!  https://t.co/v18UjVBJn7</t>
  </si>
  <si>
    <t>CONDOLEEZA RICE says Iran deal was rushed. She would not have made such a deal.  It's a very bad deal.  It's not a big deal if President Trump pulls out of the Iran deal.</t>
  </si>
  <si>
    <t>RT @RealJamesWoods: The guy on the right engineered the mass suicide of hundreds. The guy on the left has bigger plans... https://t.co/ihXb…</t>
  </si>
  <si>
    <t>RT @JohnWHuber: James @Comey knows the exact length and shade of the drapes in the Oval Office but not that @HumaAbedin was married to Anth…</t>
  </si>
  <si>
    <t>RT @DFBHarvard: I bet if you asked any Marine or any other Military Service Man or Women, if they would want Gen John Kelly covering their…</t>
  </si>
  <si>
    <t>RT @DanScavino: 🚨Breaking News🚨
Top Twitter Trend Tonight:
#Roseanne
Congratulations to @therealroseanne  and the crew — so awesome!!! h…</t>
  </si>
  <si>
    <t>#VoterID #VoteDemsOUT https://t.co/vvTGmpvbN9</t>
  </si>
  <si>
    <t>RT @JohnCardenas7: @FoxNews @IngrahamAngle This is a slap on the face to all the millions of legal immigrants like myself who has gone thro…</t>
  </si>
  <si>
    <t>I SUPPORT THE NRA because they support your right and my right to protect ourselves, and no one can take that right away from us. #NRA #2A</t>
  </si>
  <si>
    <t>RT @realDonaldTrump: Today, it was my great honor to thank and welcome heroic crew members and passengers of Southwest Airlines Flight 1380…</t>
  </si>
  <si>
    <t>RT @RodgerVarley: FREUDIAN SLIP? Washington Post Reporter Says ‘We’re at War’ With The Trump Administration [Video] https://t.co/2Fx6cpzQHM…</t>
  </si>
  <si>
    <t>RT @varepall: PATRIOTS:  YOU REALLY NEED TO GET OUT AND VOTE ON ELECTION DAY
Nancy Pelosi Confirms She Will Be Speaker if Democrats Win Mi…</t>
  </si>
  <si>
    <t>Americans do not want crazy, senile Nancy Pelosi back in power!  Let's all get out and #VoteDemsOUT this November! https://t.co/0HX8O1vfN1</t>
  </si>
  <si>
    <t>RT @FoxNews: Daniel Hoffman on Iran nuclear deal: "The problem is that the #Obama administration left this administration with really not v…</t>
  </si>
  <si>
    <t>RT @ExDemLatina: #IfSlaveryWasAChoice
Free your mind. 
Ideological Slavery is a choice. https://t.co/MXxOoSIp3m</t>
  </si>
  <si>
    <t>RT @cajunhossman1: If TRUMP walked across the Potomac tomorrow the MSM headlines would be DONALD  TRUMP CAN'T SWIM!</t>
  </si>
  <si>
    <t>ROSENSTEIN is so full of himself - putting down elected members of Congress.  Rosenstein cannot refuse the request for documents by members of Congress, which Congress is entitled to under the Constitution. For this alone, Rosenstein should resign! #FBIscum</t>
  </si>
  <si>
    <t>The notion that Mueller is questioning Trump's thinking is way out of line, unconstitutional and frankly makes Mueller desperate in his witchhunt against Trump.  #MuellerThoughtPolice</t>
  </si>
  <si>
    <t>NPR Headline Calls Kanye West a ‘Colored Boy’ - NPR deployed 1840s-style racism in a headline that ran over the weekend.   https://t.co/rbVDIbTNLl</t>
  </si>
  <si>
    <t>Ex-Husband of Barbara Bush-Bashing Prof Speaks Out: ‘Fresno Professor Destroyed Many Lives’ - https://t.co/1u41TuY3ct</t>
  </si>
  <si>
    <t>WHY ISN'T this South American Pope helping his people?  Why not have the church help migrants fleeing Honduras, El Salvador &amp;amp; Guatemala?  Pope claims South American socialism is grand, so why are people fleeing?</t>
  </si>
  <si>
    <t>MONEY going from Guatemalan migrants working in the US is sent back to Guatemala in these amounts, without ever being taxed --&amp;gt;
2009 - $2 billion
2017 - $4.3 billion
Maybe it's time to end all foreign aid to lawless nations.</t>
  </si>
  <si>
    <t>Retiring ICE Director (who's wkd for 6 presidents) says President Trump has done more than any other president to secure our border!  #MAGA
#DeportIllegals #BuildTheWall</t>
  </si>
  <si>
    <t>HOW CAN ROSENSTEIN sign off on the FISA WARRANT that was based on fake intel on Trump, hire Mueller &amp;amp; prevent Congress from access to DOJ documents?  He should not be a lawyer or the Deputy of the FBI b/c he clearly cannot recognize conflicts of interest.</t>
  </si>
  <si>
    <t>HOW MANY ILLEGALS have Pelosi, Feinstein, Harris, Brown taken into their homes, educated and paid healthcare for?</t>
  </si>
  <si>
    <t>Send the illegals waiting at the border to the homes of Cher, Streisand, Charlize Theron, Chelsea Handler, Jimmy Kimmel &amp;amp; Rob Reiner for starters. #BuildTheWall #VoteDemsOUT</t>
  </si>
  <si>
    <t>RT @DaveLovesGod: #Kanye Tweets #ThomasSowell Quotes https://t.co/BL3t6Lo60W</t>
  </si>
  <si>
    <t>Unbelievable! https://t.co/qpJDnPzQD2</t>
  </si>
  <si>
    <t>RT @Golfinggary522: “The government will one day be corrupt and filled with liars, and the people will flock to the one that tells the trut…</t>
  </si>
  <si>
    <t>Kanye escaped the Democrat's Leftist Mental Prison!  He's been set free, just like Republicans under President Lincoln, freed the slaves! Note that Lincoln was killed by a Democrat actor. https://t.co/l27FN4qYLm</t>
  </si>
  <si>
    <t>MAXINE WATERS doesn't believe in FREE SPEECH. Wants Kanye to shut up. She is violating the Constitution talking like that.  #FireMaxine and let's vote for #OmarNavarro  https://t.co/7IwO2MCS5X https://t.co/Bie4MCEhuB</t>
  </si>
  <si>
    <t>It's to crush senile old ladies like Pelosi, Feinstein, Waters and Jackson!  Let's all get out this November and #VoteDemsOUT https://t.co/Zk6o6xUHB3</t>
  </si>
  <si>
    <t>ROBERT MUELLER has now become THE THOUGHT POLICE!  Since when  is it wrong to think something?  NEVER!  #VoteDemsOUT</t>
  </si>
  <si>
    <t>National #FakeNews Media IS the swamp! #VoteDemsOUT https://t.co/v18UjVBJn7</t>
  </si>
  <si>
    <t>How Robert Mueller and James Comey's best friend sent Rod Blagojevich to prison https://t.co/EpI6DE0aXf</t>
  </si>
  <si>
    <t>Michael Barone: Democrats are taking minorities for granted https://t.co/Zim5vi1ef8</t>
  </si>
  <si>
    <t>Did Obama's Justice Department pressure FBI to end the Clinton Foundation investigation? https://t.co/RzHBwts66V</t>
  </si>
  <si>
    <t>Mad Maxine: Comey Has 'No Credibility' Unless He Bashes Trump, Then 'I Believe Him' https://t.co/fmnb4II6fX</t>
  </si>
  <si>
    <t>CULTURE SHIFT --&amp;gt; NFL Star Reggie Bush Gets Conservative On Twitter.  #VoteDemsOUT  https://t.co/HFrw3zm1T5</t>
  </si>
  <si>
    <t>UNRELIABLE SOURCES --&amp;gt; CNN's Brian Stelter Gets Called Out For Failing To Cover Two Major Stories! #BrainlessLeftist   https://t.co/KWYKRPF5ul</t>
  </si>
  <si>
    <t>WATCH: Democratic Rep. Adam Schiff Agrees That Trump ‘Deserves Credit’ For North Korea Developments https://t.co/d2ctvyZYUS</t>
  </si>
  <si>
    <t>After taking the RED PILL yrs ago &amp;amp; departing from the Democratic Party, Sat Night Live alumnus, Rob Schneider, is waging a war on political correctness. He is none-too-pleased with the way his former stomping ground has become a mouthpiece for left-wing politics! #VoteDemsOUT</t>
  </si>
  <si>
    <t>Rapper Calls For Violence Against Kanye. Sicko leftists always resort to violence when they can't debate. https://t.co/DDLRCGzCEp</t>
  </si>
  <si>
    <t>State Dept --&amp;gt; Killing Unborn Children Is Not A 'Human Right.' https://t.co/QRDtw3hQol</t>
  </si>
  <si>
    <t>Poll: Germans, French Value 'Social Justice' over Individual Freedom --&amp;gt; THAT'S WHY THEY BELIEVE IN OPPRESSION, NOT FREEDOM.  https://t.co/XVWf7pz65L</t>
  </si>
  <si>
    <t>South Korean President Moon: Trump ‘Should Win the Nobel Peace Prize’ https://t.co/9kyAXVuAFs</t>
  </si>
  <si>
    <t>WhatsApp Co-Founder Jan Koum to Leave Facebook Following Privacy Conflicts | Breitbart https://t.co/5otRSLSsei via @BreitbartNews</t>
  </si>
  <si>
    <t>Obama Bros. Speechless After Netanyahu Exposes Iran Deal Lies | Breitbart https://t.co/x3jl4ZJCFI</t>
  </si>
  <si>
    <t>More Venezuelans Fleeing to Colombia Than Africans to Italy https://t.co/OPilkZVuJP</t>
  </si>
  <si>
    <t>Texas Files Lawsuit Challenging 'Unlawful Obama-Era DACA Program' https://t.co/9e07AhQwRU</t>
  </si>
  <si>
    <t>Celebrity Tributes Pour In for Cecile Richards as She Leaves Planned Parenthood.  SHE MURDERED MILLIONS OF UNBORN BABIES, THEN SOLD THEIR BODYPARTS FOR PROFIT! #Prison  https://t.co/EMDarmLrWy</t>
  </si>
  <si>
    <t>Roseanne Barr Smacks Down ‘A**hole’ Michelle Wolf --&amp;gt; 'Comedy Comes From Love, Not Hate' https://t.co/xpctC99qjk</t>
  </si>
  <si>
    <t>DOJ Files Charges Against 11 Alleged 'Caravan Migrants' for Illegal Entry to U.S. --&amp;gt; WHY DON'T THEY JUST STAY IN MEXICO?   https://t.co/chLgMwsBIB</t>
  </si>
  <si>
    <t>California Voter Pre-Registration of 100,000 Teens - ONLY 38% registered Democrat!  https://t.co/VYHx7UV0fd</t>
  </si>
  <si>
    <t>Masters of the Universe: Facebook Reverses Course on 'Fake News' Warnings After They Prompted More People to Share Articles. FIGHT AGAINST FACEBOOK CENSORSHIP!   https://t.co/DIKh1rRrwR</t>
  </si>
  <si>
    <t>POLL: More Brits Back Trump Visit Than Oppose https://t.co/ptDNLoT2T1</t>
  </si>
  <si>
    <t>California Democrat Proposes Bill to Let Illegal Aliens Hold State Office | Breitbart https://t.co/UnH8uj65P2</t>
  </si>
  <si>
    <t>Report: Mexican Migrants Angry Illegals in Caravan Cutting in Line --&amp;gt; WHY DON'T THEY ALL JUST STAY IN MEXICO??? #BuildTheWall #DeportIllegals  https://t.co/dNDDpDxsjA</t>
  </si>
  <si>
    <t>Ben Rhodes is a brainless, non-thinking leftist who parrots his party's agenda, regardless of how stupid and ridiculous he sounds!  #VoteDemsOUT #LiberalismIsAMentalDisorder https://t.co/r1KKRF3jVo</t>
  </si>
  <si>
    <t>These are the men that the Democrats worship! All mass murderers! https://t.co/0983luTk7b</t>
  </si>
  <si>
    <t>RT @AIIAmericanGirI: NRA Confirms Trump Is Speaking At Annual Meeting, Expects The Anti-Gun Left To Have A Meltdown https://t.co/RQD46lnDq0…</t>
  </si>
  <si>
    <t>What does a 2013 Miss Universe pageant have to do with the 2016 election? https://t.co/DXiG5e2Fcv</t>
  </si>
  <si>
    <t>The LEFT is the party of Slavery.  Democrats were the slave owners, they started the KKK, pushed for segregation and lynchings.  SHAME ON DEMOCRATIC PARTY! https://t.co/yiLhIvnSKM</t>
  </si>
  <si>
    <t>RT @USAHotLips: I. Can’t. Stop. Laughing 😭😭😭😭😭😭😭😭😭😭😭😭😭😭😭😭
@DNC wants their money back from @HillaryClinton 🤣
Clinton should return the $1…</t>
  </si>
  <si>
    <t>RT @testisfidelis: Why Threats Agains the West? #Quran RT #Muslim #Paris #London #California https://t.co/6qqJUgp0hV #Christian #Christiani…</t>
  </si>
  <si>
    <t>RT @ColoradoGirl2A: The #truth revealed ... nice try #liberals ! #LiberalismIsAMentalDisease
Secret Service Destroys Lie Pushed By Media, P…</t>
  </si>
  <si>
    <t>RT @pastormarkburns: It amazes me that while history is being made with North &amp;amp; South Korea because of President @realDonaldTrump's leaders…</t>
  </si>
  <si>
    <t>RT @Belle4DJT: Jeeez, Condoleezza Rice to Donald Trump: Let Experts Handle North Korea Details...Hey Condi, No Thanks, these globalists are…</t>
  </si>
  <si>
    <t>RT @RealJamesWoods: My final thoughts on the #WHCD and this last one in particular: would anyone in his or her right mind deny there is a p…</t>
  </si>
  <si>
    <t>RT @MarkDice: If a white girl cant wear a Chinese prom dress because it’s ‘cultural appropriation,’ then Chinese people have to stop wearin…</t>
  </si>
  <si>
    <t>RT @RealCandaceO: The message that @kanyewest is trying to deliver is one of unity. 
We’ve grown so used to Hollywood preaching “acceptable…</t>
  </si>
  <si>
    <t>RT @w_terrence: I’m starting a New Underground Railroad for all the Black People that are scared to leave the Democratic Plantation. https:…</t>
  </si>
  <si>
    <t>Condoleezza Rice: We'll be 'just fine' if Trump leaves the Iran deal https://t.co/AJXPKpMeEL</t>
  </si>
  <si>
    <t>Declassified congressional report on Russian meddling in 2016 elections revealed Obama's Dir of Natl Intelligence Clapper, leaked info about the anti-Trump dossier to CNN's Jake Tapper, lied about it to Congress, &amp;amp; then was rewarded with a contract at CNN a few months later.</t>
  </si>
  <si>
    <t>RT @SiddonsDan: “It’s a complete disgrace that there wasn’t a single person on the dais that interrupted that woman [@michelleisawolf] as f…</t>
  </si>
  <si>
    <t>RT @zingars_: https://t.co/hBc3iaZu1t</t>
  </si>
  <si>
    <t>RT @MrsArboe: #Qanon [NK] 🔥@SecPompeo 
"During the visit, Pompeo raised the issue of U.S. detainees.
Choi said he confirmed the news of the…</t>
  </si>
  <si>
    <t>The Leftist Fascists don't even have the courage to show their faces!
#VoteDemsOUT https://t.co/b80oSPbP2L</t>
  </si>
  <si>
    <t>RT @AnnaBD20: Former #CIA Officer and whistleblower Kevin Shipp says 
"The Democrat Party is now made up of Marxists and leftists ...Their…</t>
  </si>
  <si>
    <t>RT @mdj17: https://t.co/z0gBoVliOf</t>
  </si>
  <si>
    <t>RT @President1Trump: “I worked for six different presidents and no one has done more than Donald J Trump for border security and law enforc…</t>
  </si>
  <si>
    <t>He is so full of shit &amp;amp; himself!  #TheCardinal https://t.co/YDtINZeQt4</t>
  </si>
  <si>
    <t>RT @1Romans58: Don't bother deleting your old tweets, we saved them for you... 
Obama Bros. Speechless After Netanyahu Exposes Iran Deal L…</t>
  </si>
  <si>
    <t>THAT is so so stupid!  That's political correctness at its most vile and disgusting. https://t.co/LX6MdnN2vF</t>
  </si>
  <si>
    <t>RT @influx_Divine: "The Values of Millennials and How They are Disconnected in Manifesting Them, Essay for Now" Blog article at https://t.c…</t>
  </si>
  <si>
    <t>RT @AMike4761: Bill Gates is finally admitting that his and Barack Obama’s baby, Common Core, is a failure!  Details in the Colossal waste…</t>
  </si>
  <si>
    <t>CNN Rewarded Obama Official James Clapper with Contract After Leaking Dossier TTo Tapper, Report Says. #CNNSUCKS  https://t.co/RlbXuLzeJr</t>
  </si>
  <si>
    <t>#MeToo Movement Quickly Morphed Into #MeTooBS https://t.co/qvLEwlTcYR</t>
  </si>
  <si>
    <t>'IRAN LIED': Netanyahu Reveals Israel Smuggled 100,000 Nuclear Documents Out Of Iran. Iran Had An Ongoing Nuclear Program. https://t.co/0pbYI3dHwy</t>
  </si>
  <si>
    <t>CULTURE SHIFT: NFL Star Reggie Bush Gets Conservative on Twitter!  Thanks Reggie!  #VoteDemsOUT  https://t.co/HFrw3zm1T5</t>
  </si>
  <si>
    <t>Fascist Maxine Waters Tells Kanye Tto Shut Up: He 'Talks Out of Turn ... Should Maybe Not Have So Much To Say.'  Who the hell is she to tell anyone what they can or cannot say?  https://t.co/hnLAGw4In2</t>
  </si>
  <si>
    <t>WE ALWAYS KNEW Obama's Flawed Iran Deal was built on lies, Muslim lies!  Time to #VoteDemsOUT https://t.co/juE7SEby7R</t>
  </si>
  <si>
    <t>We always knew it --&amp;gt; COMMON CORE IS A FAILURE! https://t.co/GPZNTpMuZ6</t>
  </si>
  <si>
    <t>RT @true_pundit: FBI NIGHTMARE: Supreme Court orders release of audio, video from Las Vegas shooting massacre https://t.co/uTv6vErQIv</t>
  </si>
  <si>
    <t>Exactly.  Why is Germany going doing the Anti-Semitism rabbit hole yet again??? https://t.co/XOq9Ot4M9W</t>
  </si>
  <si>
    <t>I have no interest in what tramps, strippers, hookers, celebrities have to say.  #BraindeadIdiots https://t.co/RFDaulfslV</t>
  </si>
  <si>
    <t>She was gross and not funny. https://t.co/o9Z8YQZwkc</t>
  </si>
  <si>
    <t>RT @w_terrence: Trump Broke up a Fight Between North &amp;amp; South Korea &amp;amp; MSM is Quiet? Obama couldn’t even break up a Turtle Fight!  https://t.…</t>
  </si>
  <si>
    <t>RT @bronco4540: KEANU REEVES: For Me Trump Is The Symbol Of A Successful Man https://t.co/O2lMxuyRcE</t>
  </si>
  <si>
    <t>RT @kensmit78722507: @Farberyanki @UNBORNness  https://t.co/HkxJWEPD8B</t>
  </si>
  <si>
    <t>GOVT REPORT --&amp;gt; Robert Mueller has shown TOTAL LACK OF JUDGMENT.  Isn't it time to #VoteDemsOUT ???</t>
  </si>
  <si>
    <t>DEMOCRAT LIES &amp;amp; why we must #VoteDemsOUT --&amp;gt;
Obama lied about Iran.
Loretta Lynch lied about her tarmac meeting.
Comey lied under oath.
McCabe lied under oath.
Hillary lied about Benghazi.
Eric Holder lied about Fast &amp;amp; Furious.
Susan Rice lied about the video</t>
  </si>
  <si>
    <t>COMEY, the lying criminal! https://t.co/eP6AMPoHfV</t>
  </si>
  <si>
    <t>WHAT were the lying Democrats saying about Comey before the 2016 election? https://t.co/3KlM5HJY7t</t>
  </si>
  <si>
    <t>Obama was the Biggest Fraud! https://t.co/IrXdF8PhMY</t>
  </si>
  <si>
    <t>OBAMA's legacy. https://t.co/uLHbEgqNDK</t>
  </si>
  <si>
    <t>Barack Obama's lies in 2006... https://t.co/9QyvZovEo5</t>
  </si>
  <si>
    <t>Democrats want gun control --&amp;gt; yet they are the ones doing all the mass killings... https://t.co/oxAUb7IGwP</t>
  </si>
  <si>
    <t>DEMOCRATS LIE to America!  Isn't it time we #VoteDemsOUT ??? https://t.co/DAVj8O1OBD</t>
  </si>
  <si>
    <t>Obama was clearly the WORST PRESIDENT IN U.S. HISTORY; did everything he could to hurt America. He doubled our debt, got cops killed, more in poverty. He was a screw-up from Day One.  Didn't know his ass from a hole in the ground! #VoteDemsOUT</t>
  </si>
  <si>
    <t>RT @GrizzleMeister: By the looks of this, there is only one reason that democrats want gun control. We are easier targets if we are unable…</t>
  </si>
  <si>
    <t>RT @alozras411: .@POTUS: “We are a nation of laws. We have to have borders…We need a wall.”
#SecureOurBorder
#BuildTheWall
#NationalGuard…</t>
  </si>
  <si>
    <t>CORRECT!
#VoteDemsOUT https://t.co/UQk7OuKpKY</t>
  </si>
  <si>
    <t>RT @Belle4DJT: Everyday reveals more undeniable proof that Obama’s main goal, along with many others, was to completely destroy America! If…</t>
  </si>
  <si>
    <t>Thank you Candace &amp;amp; Kanye for opening up your hearts and not being afraid to speak your minds! You 2 are Trailblazers!  #FreeThinkers #VoteDemsOUT @RealCandaceO @kanyewest https://t.co/je6ehLqr6L</t>
  </si>
  <si>
    <t>BREAKING: Netanyahu Presents Iran's Own Documents to Prove They Tried to Build a Nuclear Bomb and Lied About It https://t.co/X6UtgkhVN8</t>
  </si>
  <si>
    <t>FBI Officially Becomes a National Joke: Interviews Russian MMA Fighter Trump Knew in 2008.  Time to #VoteDemsOUT https://t.co/YcNFOCsWSM</t>
  </si>
  <si>
    <t>RT @DavidPDuffy25: @redsteeze Look at any hardcore dystopian village, town, county, city, or state in America, and it’s likely under DEMs’…</t>
  </si>
  <si>
    <t>RT @fiona_mccool: @redsteeze And the people drinking it continue to vote Democrat.</t>
  </si>
  <si>
    <t>Our best revenge is to #VoteDemsOUT https://t.co/BwC0lGW0uc</t>
  </si>
  <si>
    <t>Under Obama --&amp;gt; Core constitutional tenets including checks &amp;amp; balances, equality under the law, innocent until proven guilty, &amp;amp; no man is above the law have been replaced with identity politics, victim culture &amp;amp; weakened 1st and 2nd Amendments. #IndictComey #VoteDemsOUT</t>
  </si>
  <si>
    <t>"Since Barack Obama weaponized the FBI, the IRS, the NSA, the FISA court, and the CIA, citizens who believe that America is a nation of laws have been on a collision course with progressives." #VoteDemsOUT  
https://t.co/jh6bfGcCpT</t>
  </si>
  <si>
    <t>Indictments Are Comey...er, Coming!  In going after Trump...the Left ensnared itself! #VoteDemsOUT https://t.co/ZPb3zq0o93</t>
  </si>
  <si>
    <t>RT @tmfbmf: Recap: Democrats discourage fatherhood, deny kids a good education, ship jobs overseas, make college unaffordable, suppress wag…</t>
  </si>
  <si>
    <t>Jill Stein's refusal to turn over documents in the Russia probe is puzzling.  She was in Russia at a dinner with Putin in 2012.  Curious as to why the refusal to produce docs?</t>
  </si>
  <si>
    <t>AMERICA FIRST - RE-UNITE AMERICA.  James Bradley for U.S. Senate. Let's replace Dianne Feinstein!  #VoteDemsOUT
https://t.co/DJnYkCJYik</t>
  </si>
  <si>
    <t>Republican JAMES BRADLEY gaining on Sen. Dianne Feinstein for CA-Senate.  #Bradley4CASenate</t>
  </si>
  <si>
    <t>MATTHEW McConaughey --&amp;gt; "I’ve got a lot of friends who are gun owners. I’ve got a lot of friends who are NRA (National Rifle Association). I grew up hunting. We had responsible gun ownership, but I was taught the right way to respect that tool. "</t>
  </si>
  <si>
    <t>Feminists Attack Tomi Lahren's Appearance --&amp;gt; Because TOMI is GORGEOUS &amp;amp; SMART! https://t.co/GlzYJYVX3U</t>
  </si>
  <si>
    <t>More Mueller Conflicts of Interest - His Former Employer is Manafort's Law Firm!  Shut it Down! https://t.co/W37aaiaJ37</t>
  </si>
  <si>
    <t>WHY SHOULD US ACCEPT ILLEGALS FROM GUATEMALA?   Why don't they stay or seek asylum from Mexico? Guatemalans would do better staying in spanish-speaking Mexico!  Why come to the US?</t>
  </si>
  <si>
    <t>RT @RealJamesWoods: Hank Johnson has the mental acuity of a field mouse. He actually thought Guam would “tip over.” It’s right there on You…</t>
  </si>
  <si>
    <t>Violence Fleeing 'Migrant Caravan' Stalls in Murderous City of Tijuana.  WHY DON'T THESE GUATEMALANS STAY IN MEXICO? SEEK ASYLUM IN SPANISH-SPEAKING MEXICO? They don't need to come to the US.  https://t.co/i2izESSi0L</t>
  </si>
  <si>
    <t>What liberal hags look like. https://t.co/AZCZiTpjxb</t>
  </si>
  <si>
    <t>Our ultimate revenge will be to #VoteDemsOUT https://t.co/MJcJU9zgm1</t>
  </si>
  <si>
    <t>Our ultimate revenge will be to #VoteDemsOUT https://t.co/C1eGJyA7gH</t>
  </si>
  <si>
    <t>Yep!  Joy Reid is a liar and a phony! Our ultimate revenge will be to #VoteDemsOUT! https://t.co/aozO7pfN5X</t>
  </si>
  <si>
    <t>RT @FoxBusiness: .@realDonaldTrump thanked @kanyewest, @chancetherapper and @PastorDScott on Twitter. https://t.co/3qNHOyhBgM</t>
  </si>
  <si>
    <t>The WHCD is proof that JOURNALISM AND COMEDY ARE DEAD!  Our ultimate revenge will be to #VoteDemsOUT! https://t.co/Idwgqik3du</t>
  </si>
  <si>
    <t>RT @realDonaldTrump: Kanye West has performed a great service to the Black Community - Big things are happening and eyes are being opened f…</t>
  </si>
  <si>
    <t>RT @PastorDScott: The POTUS holding up the URC 13 point program model during strategy session in the Oval Office. Great things are on the w…</t>
  </si>
  <si>
    <t>RT @pastormarkburns: In response to the question, what Policy has @realdonaldtrump done to help Black People. "I don't need a special polic…</t>
  </si>
  <si>
    <t>RT @pastormarkburns: I am officially seeking the Republican nomination for South Carolina's 4th Congressional district seat, being vacated…</t>
  </si>
  <si>
    <t>Michelle Woolfe is an example of why JOURNALISM IS DEAD AND COMEDY IS NOT FUNNY ANYMORE.  #VoteDemsOUT</t>
  </si>
  <si>
    <t>CNBC's Santelli on First Quarter GDP: 'Holy Cow, Better Than Expected' | Breitbart https://t.co/ynQl3lXMRM via @BreitbartNews</t>
  </si>
  <si>
    <t>Border Patrol Catches Migrants 'Associated with' Caravan Crossing Illegally --&amp;gt; WHY DON'T THESE MIGRANTS SEEK ASYLUM IN MEXICO.  WHY COME TO THE US? https://t.co/UbXwyGRbKO</t>
  </si>
  <si>
    <t>President Trump Taunts Jerry Brown in Michigan Speech: 'Moonbeam!' | Breitbart. #VoteDemsOUT https://t.co/vAbbsCkIxd</t>
  </si>
  <si>
    <t>Court Seals Documents for Google in James Damore Case --&amp;gt; WHY ARE THEY PROTECTING GOOGLE????  https://t.co/sjlcKxmsMB</t>
  </si>
  <si>
    <t>Israeli Minister: Korean Denuclearization Will Give Trump 'More Power Against Iran Deal' https://t.co/G53PAsfEjn</t>
  </si>
  <si>
    <t>Donald Trump Writes off WHCD Dinner as a 'Big Boring Bust' — 'Greg Gutfeld Should Host Next Year!' https://t.co/nSnACnVRBx</t>
  </si>
  <si>
    <t>SHOWDOWN: Trump Blasts EU 'Formed to Take Advantage' of U.S., Warns U.S. Will 'Not Do Business' With EU Without Reform https://t.co/xmTVLWNEUl</t>
  </si>
  <si>
    <t>Exclusive: Democrats lose ground with millennials - Reuters/Ipsos poll. DEMOCRATS ARE HYPOCRITS &amp;amp; HAVE NOTHING TO OFFER except more taxes, for regulations, less freedom.  https://t.co/2e4QKkmPho</t>
  </si>
  <si>
    <t>WHY DOESN'T MEXICO give asylum to the Guatamalans at the border?  They speak Spanish, so why don't they stay in Mexico.  Why are they clamoring to get into the US? Doesn't make sense. #DeportIllegals</t>
  </si>
  <si>
    <t>#VoteErinCruz for US Senator from California.  Time for Diane Feinstein to go away!  #VoteDemsOUT https://t.co/Ca2svd47Ab</t>
  </si>
  <si>
    <t>Justin Trudeau has turned Canada into a funny farm run by a clown. https://t.co/Zj5Vpie27G</t>
  </si>
  <si>
    <t>The lesson to be learned here is that we must vote Democrats out of office!  Please help by using this hashtag --&amp;gt;  #VoteDemsOUT https://t.co/8wmu8eGOK1</t>
  </si>
  <si>
    <t>RT @usacsmret: Yes, You Can Still Watch ‘Roseanne’ And Enjoy Kanye’s Music https://t.co/vETo2PygJi</t>
  </si>
  <si>
    <t>The media took a hit -- journalism and comedy died on Saturday night -- at the WHCD.  Michelle Woolfe was absolutely disgusting.  She is an example of why most Americans despise THE LEFT. #VoteDemsOUT</t>
  </si>
  <si>
    <t>RT @AmichaiStein1: #BREAKING: Tonight at 20:00: Netanyahu will deliver a "Dramatic speech on Iran" https://t.co/0aqYhVKUFW</t>
  </si>
  <si>
    <t>RT @BFT_Podcast: Donald Trump Jr. Breaks the Internet With Epic Smackdown in Response to #WHCD Attacks on POTUS https://t.co/5Nnn8cFD1k</t>
  </si>
  <si>
    <t>RT @obianuju: This woman is despicable. To makes these jokes about abortion one has to have a heart dripping with poison. This is not comed…</t>
  </si>
  <si>
    <t>RT @realDonaldTrump: The White House Correspondents’ Dinner was a failure last year, but this year was an embarrassment to everyone associa…</t>
  </si>
  <si>
    <t>RT @realDonaldTrump: The White House Correspondents’ Dinner is DEAD as we know it. This was a total disaster and an embarrassment to our gr…</t>
  </si>
  <si>
    <t>RT @hollywoodhillsv: @ShowboatBob @floweredog @RuskyBotskyDA @knkstumpy @MikeFey5 @Hillsiderider1 @TristanJPearson @autumnterrill11 @Kimcla…</t>
  </si>
  <si>
    <t>This is so sick. https://t.co/sLaP3BAw8v</t>
  </si>
  <si>
    <t>RT @ColumbiaBugle: This is pathetic. Illegals are easily climbing our puny fence. Build the damn wall!!! #StopTheCaravan  https://t.co/LnV2…</t>
  </si>
  <si>
    <t>RT @hboulware: A gun is a tool. An inanimate object. Useless without a human operator. https://t.co/meFtTmTzN3</t>
  </si>
  <si>
    <t>RT @Debradelai: Two days before Joint Statement.
House Intel Committee finds FBI agents "did not detect deception in Mike Flynn's interview…</t>
  </si>
  <si>
    <t>Dumb indeed.  This is a man who is blind to the horrors of socialism, despite the endless poverty and corruption of Brazil, Venezuela, Colombia, Argentina, Cuba etc. Socialism leads to poverty, govt corruption and starvation. https://t.co/0N9wGXxi0t</t>
  </si>
  <si>
    <t>RT @steingal2: Hmmmm. https://t.co/I7uGiG8XcR</t>
  </si>
  <si>
    <t>RT @TomFitton: Did Obama CIA director John Brennan Leak Clinton-DNC Dossier Through Dem. Senator Harry Reid? https://t.co/Ao1GQ33Z49 @Judic…</t>
  </si>
  <si>
    <t>#VoteDemsOUT https://t.co/kwyIwc7QB0</t>
  </si>
  <si>
    <t>John Brennan Viciously Attacks POTUS Trump For Labeling James Clapper a "Lying Machine."  CLAPPER, BRENNAN &amp;amp; COMEY - the 3 Lying Deep State Musketeers.  Put them in Prison!  https://t.co/u35YsdQfSp</t>
  </si>
  <si>
    <t>Whiny Jim Acosta Says Trump's Attacks on Fake News Worse Than Nasty Abortion Jokes at #WHCD - Twitter Responds https://t.co/7AhPlgsAuM</t>
  </si>
  <si>
    <t>James Woods Destroys Gutter 'Comedian' Michelle Wolf in Epic Tweetstorm https://t.co/UwjcAHu0xW</t>
  </si>
  <si>
    <t>Fruit Of The Poisonous Tree? Longtime Hillary Clinton Advisor Lays Out Why Mueller Probe Is "Corrupt" (VIDEO) https://t.co/v1Du8alc7p</t>
  </si>
  <si>
    <t>WOW! Deep State Redacted Comey Comments in House Intel Final Report on Trump and Russia That Absolve Gen. Michael Flynn https://t.co/CUWFRNcZ37</t>
  </si>
  <si>
    <t>Nasty LIBERAL Comedienne at WHCD Blasted After She Trashes Sarah Huckabee Sanders With Vile, Disgusting Insults (VIDEO) https://t.co/gRzPsOdu5t</t>
  </si>
  <si>
    <t>Nasty Comedienne at WHCD Blasted After She Trashes Sarah Huckabee Sanders With Vile, Disgusting Insults (VIDEO) https://t.co/gRzPsOdu5t</t>
  </si>
  <si>
    <t>Rep. Lamar Smith: Facebook ‘Hate Speech’ Guidelines Protect Illegal Aliens | Breitbart https://t.co/C0IpovbGrv</t>
  </si>
  <si>
    <t>Facebook Warns Investors that 'Intense Media Coverage' Could Affect User Numbers and Revenue | Breitbart https://t.co/hGhk5LdTT9 via @BreitbartNews</t>
  </si>
  <si>
    <t>Report: Catholics to Outnumber Protestants in Northern Ireland by 2021 https://t.co/2AWtWZJtgp</t>
  </si>
  <si>
    <t>Kanye West Condemns Black America’s Allegiance to the Democrat ‘Plantation’ in Song ‘Ye vs. the People’ https://t.co/CQAz2zo0MU</t>
  </si>
  <si>
    <t>As Her 'Hack' Claim Collapses, Joy Reid's Column Is Suspended at Daily Beast --&amp;gt; PROOF THAT JOY REID IS BOTH A LEFTIST HYPOCRIT &amp;amp; A LIAR!  https://t.co/xdNL2MaSaa</t>
  </si>
  <si>
    <t>Networks Fawn Over Royal Child While Ignoring Dying Toddler Alfie Evans --&amp;gt;  SHAME ON UK GOVT AND SHAMELESS MEDIA!  #Hypocrits https://t.co/lAFIJkzJiv</t>
  </si>
  <si>
    <t>Sinclair TV Stations Rack Up Journalism Awards | Breitbart https://t.co/X8jybTttaI</t>
  </si>
  <si>
    <t>Canada’s Twitter Mobs and Left-Wing Hypocrisy - Quillette https://t.co/QS94YLIJRG via @QuilletteM</t>
  </si>
  <si>
    <t>RT @LisaMei62: Even though the #FakeNews media will never give you credit, REAL Patriots know that YOU made this happen, @realDonaldTrump!…</t>
  </si>
  <si>
    <t>RT @Bertha_S_V: The more words coming out of these neo-marxists --AKA liberals--, the more votes Trump will get in 2020.
Let them talk. Th…</t>
  </si>
  <si>
    <t>RT @LauraLoomer: #MichelleWolfe is a sexist misogynistic bigot, as displayed by her behavior at the #WHCD. 
Is twitter going to un-verify…</t>
  </si>
  <si>
    <t>Obama’s biggest stab at our military was promising our heroes to “fix the broken VA,” but going on to completely ignore that promise, as hundreds of thousands of veterans wd go on 2B forgotten, dying while waiting to be treated at VA hospitals across the nation. #TraitorObama</t>
  </si>
  <si>
    <t>This is ridiculous. https://t.co/lHAk65RBOV</t>
  </si>
  <si>
    <t>RT @Tony__Cook: @pmagn @LeftWingApathy @JodyDahrouge @lamphieryeg You alarmists talk about last time the earth warmed (with no human involv…</t>
  </si>
  <si>
    <t>RT @OtagoGrad: @pmagn @jeannie_wright @lamphieryeg @JodyDahrouge @LeftWingApathy If EVERY Canadian household somehow eliminated ALL their G…</t>
  </si>
  <si>
    <t>RT @lamphieryeg: Five years to acquire a permit for a $4 billion energy project. And still waiting. That's the kind of country we live in t…</t>
  </si>
  <si>
    <t>The only people obsessed with skin color and race are Democrats. They like to put people into group identity to pit one group against another.  We are all humans and we all bleed red.  #VoteDemsOUT</t>
  </si>
  <si>
    <t>Thomas Sowell's Last Word? https://t.co/osxGBb2PE1</t>
  </si>
  <si>
    <t>FORGOTTEN is right!
#VoteDemsOUT https://t.co/M5BkWWI1m5</t>
  </si>
  <si>
    <t>RT @martinl30346020: #GLTG 👸🏼&amp;amp; #RKHK 🧟‍♂️Trump Nation Train🚂🚂🚂🚂🚂🚂
@MimiMayo6 
@Ettan1945 
@M3102537Man 
@CarolynCorneli8 
@Reauxbeaux 
@USA…</t>
  </si>
  <si>
    <t>The Nobel Peace Prize given to Obama is a TOTAL WORTHLESS SHAM! https://t.co/L6fWw5ff1J</t>
  </si>
  <si>
    <t>RT @DrMartyFox: No One Explained That They Took Out #DrRonnyJackson Because He Was Open To Privatizing The Failing #VA 
And The #Swamp Is…</t>
  </si>
  <si>
    <t>RT @mic: NAACP leader who defended Candace Owens from racist trolls shocked to learn she’s conservative now https://t.co/gmi15rNJlY https:/…</t>
  </si>
  <si>
    <t>Leftists believe there is a right to free healthcare (Who pays?)
Yet Leftists do not believe in a right to life! 
Sounds hypocrital, doesn't it?
#VoteDemsOUT</t>
  </si>
  <si>
    <t>Leftists want free healthcare -- but it can't be free unless doctors and nurses are willing to work for free.  It's not a right, if one person has to pay for it, while another gets it free. For something to be a "Right" it must be available to everyone.</t>
  </si>
  <si>
    <t>The Scientific Importance of Free Speech - Quillette https://t.co/bDuhHo4XcE via @QuilletteM</t>
  </si>
  <si>
    <t>We need FREE SPEECH in science b/c it's not really about microscopes, pipettes, test tubes, or Hadron Colliders. They are  tools that help us accomplish a greater mission, which is to choose between rival narratives, in the vicious, no-holds-barred battle of ideas we call SCIENCE</t>
  </si>
  <si>
    <t>FINLAND handed out $685/mo to unemployed people between ages of 25 &amp;amp; 58, which was projected to raise taxes in Finland by 30%. The already over-taxed population finally said enuff is enuff &amp;amp; the welfare system will soon begin to cut benefits to those not seeking employment.</t>
  </si>
  <si>
    <t>#SocializedMedicineKills UK socialized heathcare just murdered an innocent child.  Instead of letting parents seek treatment elsewhere, the govt forced the murder of their child. It's why we must #VoteDemsOUT https://t.co/QzE3wpQcrk</t>
  </si>
  <si>
    <t>FINLAND proves the insanity of massive govt handouts!  --&amp;gt; They're shutting down one of their most extreme programs. https://t.co/zdZE5aQPgJ</t>
  </si>
  <si>
    <t>Candace Owens isn't afraid to speak the truth! Hillary wants you to be scared of Convention of States! https://t.co/H3zYDXATsN</t>
  </si>
  <si>
    <t>@realDonaldTrump Amen!  You are so right Mr. President!  Don't let these nasty countries take advantage of the USA any more! #AmericaFirst</t>
  </si>
  <si>
    <t>RT @realDonaldTrump: The U.S. has put together a STRONG bid w/ Canada &amp;amp; Mexico for the 2026 World Cup. It would be a shame if countries tha…</t>
  </si>
  <si>
    <t>RT @dhrxsol1234: One Seattle man’s quest to cancel his $10.48 monthly donation to Hillary Clinton’s nonprofit | The Seattle Times https://t…</t>
  </si>
  <si>
    <t>Prager accuses the Times of injecting bias into its rankings, keeping conservative and religious books from taking the coveted title of New York Times Best Seller.  #FakeNewsNYT</t>
  </si>
  <si>
    <t>Liberty over Security, Principle over Party.</t>
  </si>
  <si>
    <t>Triggered: New York Times Feuds with Dennis Prager over Bestseller List Manipulation --&amp;gt; NY TIMES ARE PARTISAN HACKS!  #VoteDemsOUT  https://t.co/9MCgwPMJ9a</t>
  </si>
  <si>
    <t>Fact Check: Jim Acosta's Phony Claim He Did Not Insult Trump Voters | Breitbart https://t.co/JwwcdHpmZN</t>
  </si>
  <si>
    <t>Donald Trump Endorses Keeping Senate in Session Seven Days a Week to Get Nominees Approved --&amp;gt; AMERICANS APPROVE ALSO! #VoteDemsOUT https://t.co/gZYx7kaYcC</t>
  </si>
  <si>
    <t>RT @KrisAnneHall: #libertyfirstuniversity - Exposing Media Willful Manipulations
by KrisAnne Hall, April 29th. 2018 https://t.co/cAnQc5PiVw</t>
  </si>
  <si>
    <t>RT @GovMikeHuckabee: Breaking wind from CNN!  Jim Comey has started wearing Depends because he didn’t realize he was leaking. https://t.co/…</t>
  </si>
  <si>
    <t>Crooked DOJ &amp;amp; FBI officials believe they are above the law!  It's why Comey was ridiculed within the FBI, and was often referred to as "The Cardinal." Comey thought he was above the law. https://t.co/6UlEiwUmQL</t>
  </si>
  <si>
    <t>Booker is a Liberal phony!  It's why we must --&amp;gt; 
#VoteDemsOUT https://t.co/es98eJ100c</t>
  </si>
  <si>
    <t>OBAMA promoted everything and everyone that was EVIL. https://t.co/VBSv7k9OjV</t>
  </si>
  <si>
    <t>#ObamaLegacy --&amp;gt; is handing out medals to these 4 Democratic sexual perverts &amp;amp; predators. https://t.co/ZSQ6RlkQxL</t>
  </si>
  <si>
    <t>HILLARY's AGENDA was bigger govt, higher taxes, more regs, more illegals, more poverty, more crime --&amp;gt; and NYT reporter Amy Chozick thinks NYT shd hv promoted her agenda more.  Since when is that the job of the press?</t>
  </si>
  <si>
    <t>RT @PolitixGal: JAKE TAPPER NEEDS TO RESIGN FOR COLLUDING WITH DEMOCRATS TO PEDDLE #FAKENEWS! https://t.co/M7u56C6eCW</t>
  </si>
  <si>
    <t>Tom Brokaw accused of sexual misconduct by ex-NBC reporter Linda Vester, 2nd woman.  BYE BYE TOM BROKAW!  https://t.co/7N0zC4DLOR</t>
  </si>
  <si>
    <t>AMY CHOZICK (NYT reporter) is an example of how derelict journalists have become --&amp;gt; that they believe their role is to "promote" a particular candidate. Since when is that the job of the press??? #FakeNewsNYT</t>
  </si>
  <si>
    <t>NY Times could have plastered more sympathetic stories about Clinton &amp;amp; her policies across the front page says NYT reporter Amy Chozick, who thinks the NYT shd have "promoted" Clinton's agenda more.  I THOUGHT MEDIA IS SUPPOSED TO REPORT FACTS not promote a particular candidate?!</t>
  </si>
  <si>
    <t>New York Times Reporter Amy Chozick Complains Media Failed Hillary Clinton in 2016 ---&amp;gt; MEDIA IS SUPPOSED TO REPORT FACTS, NOT "PROMOTE" HILLARY'S AGENDA! THAT'S NOT THE ROLE OF THE PRESS! #VoteDemsOUT https://t.co/3igTzyzoUx</t>
  </si>
  <si>
    <t>New York Times Reporter Amy Chozick Complains Media Failed Hillary Clinton in 2016 --&amp;gt; HaHaHa! #VoteDemsOUT  https://t.co/3igTzyzoUx</t>
  </si>
  <si>
    <t>Democratic senator Tester making allegations without evidence to back them up. Like any other Dyed-in-the-Wool Democrat. 
 #DemsLie https://t.co/NKM5ojHP8u</t>
  </si>
  <si>
    <t>"Allegations made by Senator Jon Tester against Admiral/Doctor Ron Jackson are proving false... Tester should resign," Trump tweeted on Saturday.  https://t.co/NKM5ojHP8u via @YahooNews</t>
  </si>
  <si>
    <t>RT @StacyLStiles: Retweet if you too believe that Barack Obama was the WORST President in the history of the United States of America. 
#O…</t>
  </si>
  <si>
    <t>RT @replouiegohmert: It was great to hear from @DiamondandSilk today in the @HouseJudiciary hearing re: filtering practices of social media…</t>
  </si>
  <si>
    <t>RT @mikepfingston2: Apparently David Hogg has not recognized the fact that @realDonaldTrump has completely laid Obama's legacy to waste...…</t>
  </si>
  <si>
    <t>RT @TempusSpiritus: Obama gives medals to monsters🎖 
What about their victims?? 🤷‍♀️
👇 #ObamaLegacy 👇 https://t.co/jd5PsXO8FN</t>
  </si>
  <si>
    <t>ALL FOUR WERE SEXUAL PREDATORS.  Proving once again how wrong Obama was for America.  He embraces criminals, terrorists &amp;amp; sexual predators. https://t.co/gQVbzFQxIZ</t>
  </si>
  <si>
    <t>RT @FoxNews: .@charliekirk11: "Why are black people voting for Democrats at a 95% clip? @TheDemocrats and their policies are the very ones…</t>
  </si>
  <si>
    <t>RT @RealJamesWoods: The ObamaCare “death panels” were modeled on this political infrastructure. My cousin’s husband was diagnosed with canc…</t>
  </si>
  <si>
    <t>RT @Belle4DJT: Enough...This Fraud &amp;amp; his entire Admin. need to face Military Tribunals...Americans deserve JUSTICE! #TREASON #GreatAwakenin…</t>
  </si>
  <si>
    <t>indeed!  Americans deserve to see this man be held accountable for his crimes against America. #IndictObama https://t.co/N3g1vjqvHX</t>
  </si>
  <si>
    <t>RT @FoxNews: President @realDonaldTrump: "I'll be watching people that failed so badly over the last 25 years explaining to me how to make…</t>
  </si>
  <si>
    <t>RT @SharylAttkisson: Allegations that some authorities are trying to tamp down an important alleged cybersecurity breach affecting dozens o…</t>
  </si>
  <si>
    <t>JAKE TAPPER NEEDS TO RESIGN FOR COLLUDING WITH DEMOCRATS TO PEDDLE #FAKENEWS! https://t.co/M7u56C6eCW</t>
  </si>
  <si>
    <t>RT @w_terrence: North and South Korea is no longer beefing! Trump deserves the Nobel Peace Prize. Prove me Wrong! https://t.co/avcxp7jPyF</t>
  </si>
  <si>
    <t>RT @realDonaldTrump: KOREAN WAR TO END! The United States, and all of its GREAT people, should be very proud of what is now taking place in…</t>
  </si>
  <si>
    <t>This Is Why We Elected Trump.  #VoteDemsOUT https://t.co/JtSlYM1LNA</t>
  </si>
  <si>
    <t>Conservatives have options to cable #FakeNews CNN, MSNBC --&amp;gt; Fox, FoxBusiness, OANN, NewsmaxTV and Blaze TV networks.  I get all of these on FIOS TV (available on DirectTV also.)</t>
  </si>
  <si>
    <t>Hillary calls conservatives --&amp;gt; "Deplorables"
CA Dem Gov Jerry Brown calls them --&amp;gt; "Low Lifes"
CNN's Jim Acosta calls them --&amp;gt; "Inferior"
This kind of elitism shd drive only one course of action ---&amp;gt;&amp;gt;&amp;gt; to #VoteDemsOUT</t>
  </si>
  <si>
    <t>Associated Press (AP) last Sun claimed Donald Trump was inaccurate when he tweeted that North Korea had agreed to “denuclearization” ahead of a future summit between himself &amp;amp; Kim Jong Un. Today, Trump’s tweet was proven to be true!  Proof that AP is #FakeNews</t>
  </si>
  <si>
    <t>AP 'Fact Checker' Humiliated After North Korea Announces Plans to Denuclearize!  YOU CAN ADD "AP" TO YOUR #FAKENEWS LIST!  https://t.co/DXzrHSXeg9</t>
  </si>
  <si>
    <t>Donald Trump Celebrates End of House Intelligence Investigation: We Should 'Get On with Our Lives' https://t.co/KyKNxCgn9C</t>
  </si>
  <si>
    <t>Dimon to CEOs: Use Tax Reform Benefit to 'Do Something for Your People.'  PERSUASION, NOT LEGISLATION, WORKS BEST. 
 https://t.co/8MNuZ5lUWR</t>
  </si>
  <si>
    <t>RT @RealCandaceO: The plantation supervisors are out in full force. 
They want their slaves back. https://t.co/8KbMBJRt3e</t>
  </si>
  <si>
    <t>RT @RealCandaceO: The worst thing that could ever happen to the Democratic Party, would be the the accidental red-pilling of the Kardashian…</t>
  </si>
  <si>
    <t>RT @RealCandaceO: I love how this article says “Kanye made her famous”. 
He really did though! How many people do you know could write 7 wo…</t>
  </si>
  <si>
    <t>.@JOHNLEGEND is too scared to debate you Candace!  You know your history,  He doesn't!  I say we #VoteDemsOUT https://t.co/Vu9XYBy3mH</t>
  </si>
  <si>
    <t>RT @FoxNews: .@RealCandaceO on @realDonaldTrump support: "For so long they have told us that because there was a black president, this mean…</t>
  </si>
  <si>
    <t>RT @FoxNews: .@RealCandaceO on Chicago: "It's a war zone, and @POTUS offered to send the National Guard and the Democrats majorly opposed h…</t>
  </si>
  <si>
    <t>POLL:  Do you believe Special Counsel Mueller shd follow the House Intel Committee's lead &amp;amp; end his year-long Russia probe that has so far uncovered no evidence of collusion?  94% SAID YES!</t>
  </si>
  <si>
    <t>RT @RealCandaceO: Thank you, Jack! I fully accept your apology. It’s important that despite political differences, we remember the human be…</t>
  </si>
  <si>
    <t>If people are stupid enough to get hooked on legal or illegal drugs --&amp;gt;  it will lead to fewer stupid people on the planet. Isn't that what Darwin preached? Survival of the fittest?</t>
  </si>
  <si>
    <t>Isn't John Brennan the Obama ally that converted to Islam?  Brennan's a known liar, just like Obama. Both should be thrown in jail. https://t.co/PRqnfmMwyt</t>
  </si>
  <si>
    <t>NBC protects sexual predators, liars, plagiarizers, illegals, anti-Americans.  Who would want to associate with a wretched criminal organization like that? https://t.co/0Ngp7lV8XD</t>
  </si>
  <si>
    <t>UK and its SOCIALIZED HEALTHCARE system suck. Socialism KILLS!
#VoteDemsOUT https://t.co/bw97z8aBJS</t>
  </si>
  <si>
    <t>Ayaan Hirsi Ali remarked: “Free speech is the bedrock of liberty and a free society, and yes, it includes the right to blaspheme and offend.”</t>
  </si>
  <si>
    <t>PRESIDENT TRUMP deserves the NOBEL PEACE PRIZE for what is going on with North and South Korea.
#VoteDemsOUT</t>
  </si>
  <si>
    <t>RT @Bud_Doggin: The "Korean War" has ended because of this man!!! #KAG   #standindivisible #Resist #TRMS #Indivisible #TheResistance #NotMy…</t>
  </si>
  <si>
    <t>RT @fed_upwithobama: Democrats will never say that but that’s what they really want. https://t.co/BZH4HaZjSe</t>
  </si>
  <si>
    <t>Get rid of these 2 hate-filled, hate-spewing Bozos! https://t.co/c0ZTBbb9GA</t>
  </si>
  <si>
    <t>Congratulations to MIKE POMPEO, Secy of State!
#VoteDemsOUT https://t.co/y6e74KPVME</t>
  </si>
  <si>
    <t>Hillary calls conservatives --&amp;gt; "Deplorables"
CA Dem Gov Jerry Brown calls CA conservatives --&amp;gt; "Low Lifes"
CNN's Jim Acosta calls conservatives --&amp;gt; "Inferior"
This kind of elitism shd drive only one course of action ---&amp;gt;&amp;gt;&amp;gt; #VoteDemsOUT</t>
  </si>
  <si>
    <t>Acosta suffers from little man syndrome because he always has to put people down in order to feel superior.  He is no journalist. #VoteDemsOUT https://t.co/VbMqFZO09I</t>
  </si>
  <si>
    <t>Watching NEWSMAX TV on right now on FIOS Ch. 115.  Eric Bolling guests.</t>
  </si>
  <si>
    <t>SOCIALISM kills innovation, productivity and new job creation.  It is a jobs killer!  SAY NO TO SOCIALISM!  #VoteDemsOUT</t>
  </si>
  <si>
    <t>VENEZUELA started out a vibrant economy. Chavez brought Socialism and the economy continues to tank. People are starving and socialism has robbed people of their livelihoods, forcing barter economy. #SocialismStarves #SocialismKills</t>
  </si>
  <si>
    <t>RT @ArthurSchwartz: What the hell is going on over there, @brianstelter? You going to cover this on your Sunday show? https://t.co/6CRRaSfz…</t>
  </si>
  <si>
    <t>RT @NRATV: .@johnlegend claims "NRA is a danger to this nation and to the police." @SheriffClarke feels differently: "We are Americans and…</t>
  </si>
  <si>
    <t>RT @charliekirk11: Obama's policies created ISIS, did nothing to stop N. Korea from getting nukes, allowed Putin to do whatever he wanted,…</t>
  </si>
  <si>
    <t>RT @kwilli1046: Bernie Sanders is set to announce a plan that guarantees every American “who wants or needs one” a lifetime government job…</t>
  </si>
  <si>
    <t>Big bloated bureaucracies never work.  Useless govt employees don't produce anything.  If anything should be done, we should fire more govt workers, eliminating at least 50% of the Federal bureaucracy - people accountable to no one that wd be responsible to run &amp;amp; ruin our lives! https://t.co/HRec0RZh0R</t>
  </si>
  <si>
    <t>Last year the California State Legislature passed SB 1, “The Gas Tax”, by a 2/3rds majority vote. It was overwhelmingly unpopular with Californians, but they did it anyway.  Time to REPEAL the GAS TAX, Prop 69, and #VoteDemsOUT</t>
  </si>
  <si>
    <t>@marklevinshow Please invite TRAVIS ALLEN on your show.  He is running for CA Governor and is only 2 pts. behind John Cox, and is the better conservative candidate! #ElectTravisAllenforCAGov</t>
  </si>
  <si>
    <t>@KatiePavlich Please invite TRAVIS ALLEN on your show.  He is running for CA Governor and is only 2 pts. behind John Cox, and is the better conservative candidate! #ElectTravisAllenforCAGov</t>
  </si>
  <si>
    <t>@GrahamLedger Please invite TRAVIS ALLEN on your show.  He is running for CA Governor and is only 2 pts. behind John Cox, and is the better conservative candidate! #ElectTravisAllenforCAGov</t>
  </si>
  <si>
    <t>@OANN Please invite TRAVIS ALLEN on your show.  He is running for CA Governor and is only 2 pts. behind John Cox, and is the better conservative candidate! #ElectTravisAllenforCAGov</t>
  </si>
  <si>
    <t>.@IngrahamAngle Please invite TRAVIS ALLEN on your show.  He is running for CA Governor and is only 2 pts. behind John Cox, and is the better conservative candidate! #ElectTravisAllenforCAGov</t>
  </si>
  <si>
    <t>.@TuckerCarlson Please invite TRAVIS ALLEN on your show.  He is running for CA Governor and is only 2 pts. behind John Cox, and is the better conservative candidate! #ElectTravisAllenforCAGov</t>
  </si>
  <si>
    <t>.@seanhannity Please invite TRAVIS ALLEN on your show.  He is running for CA Governor and is only 2 pts. behind John Cox, and is the better conservative candidate! #ElectTravisAllenforCAGov</t>
  </si>
  <si>
    <t>'DEATH WITH DIGNITY' --&amp;gt; Withholding Water And Life Support From A Sick Toddler Has Nothing To Do With Dignity. UK's socialized medicine KILLS!  https://t.co/5aYqAex2hR</t>
  </si>
  <si>
    <t>Ouch --&amp;gt; Broward deputies vote 534-94 that they have no confidence in Sheriff Scott Israel https://t.co/RBSiSzhj3d</t>
  </si>
  <si>
    <t>UC Berkeley’s request to throw out a civil rights lawsuit that wd hold the school accountable 4 its blatant viewpoint discrimination &amp;amp; unreasonable restrictions &amp;amp; fees on conservative speakers like David Horowitz &amp;amp; Ann Coulter was REFUSED by the federal judge hearing the case!</t>
  </si>
  <si>
    <t>RT @larryelder: “Houston, we’ve got a problem...”
#TheAwakening https://t.co/doJcWH1OZA</t>
  </si>
  <si>
    <t>CONSERVATIVES should sell RESPONSIBILITY to young people, because that's where your life has meaning. The more responsibility you take, the more meaning and the richer your life will be! 
https://t.co/Rcr7eDtC2v</t>
  </si>
  <si>
    <t>People should be talking to their children about RESPONSIBILITY!
https://t.co/Rcr7eDtC2v</t>
  </si>
  <si>
    <t>PARENTS are there to provide standards for their children.
https://t.co/Rcr7eDtC2v</t>
  </si>
  <si>
    <t>RT @BoycottBertha: Congress ALLOWED DEMS to Interrogate Diamond &amp;amp; Silk!
McCARTHYISM! Against Innocent Americans!
 It's a Congressional DN…</t>
  </si>
  <si>
    <t>#RapistBillClinton
#ArrestClinton
#VoteDemsOUT https://t.co/nuskiRPVh6</t>
  </si>
  <si>
    <t>RT @ClintonMSix14: I can tell you one thing for sure no SWAT Officer would ever carry a weapon like this.
What is the chances that a respo…</t>
  </si>
  <si>
    <t>Cities are clearly the biggest polluters! https://t.co/lqF9c0716z</t>
  </si>
  <si>
    <t>Does this mean Kenya is bigoted and anti-gay??? https://t.co/MRwy7fWu7w</t>
  </si>
  <si>
    <t>RT @AlertNet: For a more secure world, cities must share information on cyber-attacks - experts https://t.co/FuWI7ggvXF #resilientcities</t>
  </si>
  <si>
    <t>MSNBC in tough spot as NBC News legend Tom Brokaw, a regular contributor, faces sex misconduct allegations.  FIRE THE PHONY LEFTIST!   https://t.co/TkkYxMLciq #FoxNews</t>
  </si>
  <si>
    <t>.@Citi  Stop the bullshit politicization of loans to gun manufacturers.  If you continue to insert politics into business practices, I will be moving all business away from Citigroup &amp;amp; urging all my followers to do the same!  SHAME ON YOU!</t>
  </si>
  <si>
    <t>.@BankofAmerica  Stop the bullshit politicization of loans to gun manufacturers.  If you continue to insert politics into business practices, I will be moving all business away from BofA &amp;amp; urging all my followers to do the same!  SHAME ON YOU!</t>
  </si>
  <si>
    <t>Time to BOYCOTT BofA and Citigroup for politicizing loans to guns manufacturers. Banks should be available to ALL PEOPLE &amp;amp; BUSINESSES!   #BoycottBofA #BoycottCitigroup</t>
  </si>
  <si>
    <t>RT @FoxNews: House panel’s Russia report finds 'no evidence' of collusion, Trump says probe ‘MUST END NOW’ - via @brookefoxnews @JuddBerger…</t>
  </si>
  <si>
    <t>Schiff is a scumbag.  Just look at those beady eyes --&amp;gt; sign of a guilty conscience! #DrainTheSwamp https://t.co/ORzpWVqdoC</t>
  </si>
  <si>
    <t>RT @DineshDSouza: Trump made this happen. It seems like having a half-crazed white supremacist neo-Nazi in the White House isn’t so bad aft…</t>
  </si>
  <si>
    <t>OBAMA represents Socialism that seeks to control your Money, your Behavior, your Healthcare &amp;amp; your Education, because Leftist Socialists think they know what's best for you!  They think you are too stupid to think for yourself! #VoteDemsOUT https://t.co/EH8miWp9HR …</t>
  </si>
  <si>
    <t>WHY DID IT TAKE over a year for FBI to turn over Comey memos, only after Congress, Judicial Watch &amp;amp; the public were demanding they be released?  Because FBI &amp;amp; DOJ believe they are above the law!  I say they all go to jail! #DrainTheSwamp and #VoteDemsOUT</t>
  </si>
  <si>
    <t>I hope President Trump rejects the Iran nuclear deal!  Obama literally was the worst foreign policy president --&amp;gt; giving everything away to our enemies inc. a cargo plane full of cash (over $400 million).  Obama showed no allegiance to America &amp;amp; our Constitution. #ObamaIsScum</t>
  </si>
  <si>
    <t>According to George Orwell --&amp;gt;
“If liberty means anything at all, it means the right to tell people what they do not want to hear.” 
#VoteDemsOUT</t>
  </si>
  <si>
    <t>MENTAL PRISONS are breaking down =&amp;gt; Chance the Rapper Joins Kanye West, Tweets "Black People Don't Have to be Democrats!" https://t.co/dR47iumXFI …</t>
  </si>
  <si>
    <t>LEARN about the executive branch in Article II; how Progressives contrived new, wide-ranging powers for the executive; &amp;amp; what it would take to restore limited govt. Free course on the Presidency from Hillsdale College. https://t.co/OR2tdVSMeM</t>
  </si>
  <si>
    <t>#SocialismKills https://t.co/XXa5Xh7eFz</t>
  </si>
  <si>
    <t>RT @realDailyWire: House Intelligence Committee's Final Report Finds No Trump-Russia Collusion https://t.co/jTfEyCxKvO</t>
  </si>
  <si>
    <t>Democrats in the USA want this kind of control and healthcare in America -- where govt bureaucrats make all life and death decisions for you so you don't have to think for yourself.  They just want you to vote them back into power!  STOP THEM! #VoteDemsOUT https://t.co/fIVygWIqgC</t>
  </si>
  <si>
    <t>Thomas Jefferson wrote, "Educate and inform the whole mass of the people... They are the only sure reliance for the preservation of our liberty.”
#VoteDemsOUT</t>
  </si>
  <si>
    <t>President Trump’s election gave voice to the growing conviction of many Americans that their elected officials had strayed from their constitutional obligations—that they had been derelict in allowing the destruction of limited government.</t>
  </si>
  <si>
    <t>The Republican-led House intelligence committee on Friday officially declared the end of its Russia probe, saying in its final report it found no evidence that the Trump campaign colluded with Russia in the 2016 presidential campaign. #VoteDemsOUT</t>
  </si>
  <si>
    <t>GOP-led House panel officially clears Trump in Russia probe   https://t.co/aIi0fwH3bh</t>
  </si>
  <si>
    <t>CA's Gov. Jerry Brown at lowest popularity in his tenure --&amp;gt; DUE TO SANCTUARY STATE STATUS (destruction) &amp;amp; THE GAS TAX HIKE, which hurts the poorest families the most! #VoteDemsOUT</t>
  </si>
  <si>
    <t>COMEY pretends to have high morals --&amp;gt; But what FBI director spies on a presidential candidate using information that he failed to verify?  He did it because of his political hatred for the candidate. That's immoral in my book! #ArrestComey</t>
  </si>
  <si>
    <t>RT @TrumpsBlonde: Thousands of text messages will be delivered to Congressional Investigators after long battle with the Department of Just…</t>
  </si>
  <si>
    <t>RT @bud_cann: Nancy Pelosi defended Democrat attempts at Primary Manipulation after a secret audio tape surfaces of 
Minority Whip ‘Steny H…</t>
  </si>
  <si>
    <t>RT @Corp125Vet: #ErinCruzUSSenateCA  Facebook injected itself into California US Senate race today! Locking an official Fed. Election Acct.…</t>
  </si>
  <si>
    <t>RT @WhiteHouse: For many veterans, returning to civilian life can be a difficult transition. Fortunately, the Wounded Warrior Project is th…</t>
  </si>
  <si>
    <t>RT @RightlyNews: HAPPY BIRTHDAY to the most classy, graceful, &amp;amp; stunning FLOTUS America has ever had! Melania is the first immigrant First…</t>
  </si>
  <si>
    <t>RT @RyanAFournier: If Obama won the Nobel Peace Prize for doing literally nothing then @realDonaldTrump should win ten for eradicating ISIS…</t>
  </si>
  <si>
    <t>RT @RealJamesWoods: This is a momentous event in international diplomacy. It may not bear fruit, but peace is finally at least possible now…</t>
  </si>
  <si>
    <t>RT @LouDobbs: Expose the Corruption- @TomFitton: The DOJ &amp;amp; Mueller are investigating @realDonaldTrump over nothing, no collusion, but you h…</t>
  </si>
  <si>
    <t>RT @PressSec: I pity the fool who doesn’t love 
@MrT! #TeamUSAAwards https://t.co/77hb9YPyXE</t>
  </si>
  <si>
    <t>RT @SharylAttkisson: N. and S. Korea have been at war since 1950. N. Korea has been marching toward the capability to nuke the US. But toda…</t>
  </si>
  <si>
    <t>RT @RealJamesWoods: Winning. Winning. Winning. https://t.co/tuATe3TVYT</t>
  </si>
  <si>
    <t>RT @JoinTravisAllen: Join Travis Allen's press conference TOMORROW at 10am at the Huntington Beach Pier as he announces the collection of o…</t>
  </si>
  <si>
    <t>RT @snowball1926: #WednesdayWisdom  Where is the investigation on Obamagate?  Obama, Hillary, Brenna, Mueller, McCabe, Comey, Lynch, Holder…</t>
  </si>
  <si>
    <t>RT @AllOutOfHope: WOW....The federal judge handling the Michael Cohen case is friends with an admitted NAZI COLLABORATOR.... WOW @realDonal…</t>
  </si>
  <si>
    <t>RT @FoxNews: Mass graves believed to contain more than 2000 bodies discovered in Rwanda https://t.co/fjwgvx8qbq</t>
  </si>
  <si>
    <t>RT @TypeKacee2: Looks like blackmail could easily happen here at Twitter. https://t.co/V5ghBo1tiI</t>
  </si>
  <si>
    <t>RT @Project_Veritas: Our friend @michellemalkin hits the nail on the head! Journalism is an activity, not an identity. The fact that anybod…</t>
  </si>
  <si>
    <t>RT @Project_Veritas: RUSH: "[Laura] is telling everybody, be what you want to be... That's ever so truthful. Do not seek out people who hav…</t>
  </si>
  <si>
    <t>.@jack so Engineers at Twitter are saying you are flagging tweets as offensive for mentioning God or America?  Are you kidding me? Where's our First Amendment rights?  This is our country.</t>
  </si>
  <si>
    <t>RT @Project_Veritas: "We saw Project Veritas reveal the bias behind the scenes at Twitter. Veritas showed how engineers admitted on camera…</t>
  </si>
  <si>
    <t>RT @Project_Veritas: Instead of complaining about the media, we must BE the media. They will say that we aren't journalists. But journalism…</t>
  </si>
  <si>
    <t>RT @Project_Veritas: #DescribeTwitterBadly A free speech platform that would NEVER "ban a way of talking."
FULL VIDEO: https://t.co/aqr0HD…</t>
  </si>
  <si>
    <t>I've always said that --&amp;gt;  WE ARE THE MEDIA.  WE ARE THE JOURNALISTS.  Can't wait for lying leftist POS to publish lies.  Can't watch MSM anymore.  They turn my stomach and turn off my brain. https://t.co/IkvIfpSMna</t>
  </si>
  <si>
    <t>RT @Cernovich: Pro tip for journos: If you want “far right” to have shock value, stop calling normal people far right.</t>
  </si>
  <si>
    <t>RT @Project_Veritas: Congrats on the new gig, Laura! https://t.co/tYwpL6fQYd</t>
  </si>
  <si>
    <t>RT @AnnCoulter: This is why we need free speech on the Internet. The media tell deliberate lies. https://t.co/qfTh7LfHys</t>
  </si>
  <si>
    <t>Liberals Go Ballistic After Kanye West Tweets 'I Love Trump' and 'He's My Brother' https://t.co/8WJJdBbx0M</t>
  </si>
  <si>
    <t>Commie NY Governor Cuomo Issues Cease and Desist Letter to ICE Agents Demanding the Immediate Halt of Their 'Unconstitutional Actions' https://t.co/0ea6MLqBz1</t>
  </si>
  <si>
    <t>Kim Kardashian is Not Here For Liberal Media Slamming Her Husband: 'He's a Free Thinker, is That Not Allowed in America?' https://t.co/uBcav1feSg</t>
  </si>
  <si>
    <t>IT'S SPREADING=&amp;gt; Chance the Rapper Joins Kanye West, Tweets "Black People Don't Have to be Democrats" https://t.co/dR47iumXFI</t>
  </si>
  <si>
    <t>KANYE WEST IS ON A ROLL: Trashes Barack Obama... https://t.co/cTJPSlVQbW</t>
  </si>
  <si>
    <t>Comey Gets Triggered After Anderson Cooper Calls Him a Leaker Over and Over Again (VIDEO) https://t.co/j7KMU5bx6p</t>
  </si>
  <si>
    <t>Rep. Nunes: DOJ Is Stalling on Surrendering Documents to Congress in Hopes That Dems will Win in November (VIDEO) https://t.co/5M7cXv7m2F</t>
  </si>
  <si>
    <t>Donald Trump Jr. SMOKES Comey in Viral Tweet https://t.co/wvdA6jm5kb</t>
  </si>
  <si>
    <t>LEAKER-LIAR COMEY Leaked Private Trump Memos More Broadly Than Initially Reported -- Patrick Fitzgerald Likely Recipient (VIDEO) https://t.co/QqEwIdI54S</t>
  </si>
  <si>
    <t>BOOM! Diamond and Silk Erupt at House Panel on Facebook Censorship (VIDEO) https://t.co/o69sSoD9GN</t>
  </si>
  <si>
    <t>FIREWORKS! Diamond and Silk SHUT DOWN Democrat Sheila Jackson Lee at Facebook Censorship Hearing (VIDEO) https://t.co/SwyoalYiDr</t>
  </si>
  <si>
    <t>IT'S ABOUT TIME=&amp;gt; Senate Confirms Richard Grenell as Ambassador to Germany https://t.co/BXbWIS9IDV</t>
  </si>
  <si>
    <t>POTUS Trump Pleased After Senate Confirms Mike Pompeo as 70th Secretary of State https://t.co/ybnf1j1Cpw</t>
  </si>
  <si>
    <t>Happy Birthday to Our Beautiful First Lady Melania Trump https://t.co/bjfo6WvFt9</t>
  </si>
  <si>
    <t>Weasel Comey Names the THREE People He Gave His Classified Trump Memos To (VIDEO) https://t.co/3LzPDzzeGB</t>
  </si>
  <si>
    <t>AS TGP Reported 2 Days Ago=&amp;gt; Comey Admits He Leaked Memos to former US Attorney Patrick Fitzgerald Last Year https://t.co/5G1VanQDZi</t>
  </si>
  <si>
    <t>BREAKING: Strzok-Page Texts Have Just Been Delivered to Congress "We Hear It Could Be Explosive Stuff" https://t.co/OdbbCGDYrt</t>
  </si>
  <si>
    <t>Get more Republicans voted into office.
#VoteDemsOUT https://t.co/psPdHHNC5F</t>
  </si>
  <si>
    <t>RT @realDonaldTrump: Thank you Kanye, very cool! https://t.co/vRIC87M21X</t>
  </si>
  <si>
    <t>RT @realDonaldTrump: MAGA! https://t.co/jFf5ONASlv</t>
  </si>
  <si>
    <t>Richard Grenell Confirmed, First Openly Gay U.S. Ambassador to Germany | Breitbart https://t.co/XO2yPN0a05</t>
  </si>
  <si>
    <t>Sinclair TV Stations Rack Up Journalism Awards | Breitbart https://t.co/X8jybTttaI via @BreitbartNews</t>
  </si>
  <si>
    <t>Donald Trump Endorses Keeping Senate in Session Seven Days a Week to Get Nominees Approved.  CONGRESS SHOULD DO ITS JOB, INSTEAD OF JUST OBSTRUCTING!  https://t.co/gZYx7kaYcC</t>
  </si>
  <si>
    <t>While DNC  Was Busy Suing Russia - Grifter Hillary Clinton Reportedly Stole $84 Million in Donations https://t.co/bmVKqtttIs</t>
  </si>
  <si>
    <t>RT @Jim_Peoples_: ..While DNC  Was Busy Suing Russia - Grifter Hillary Clinton Reportedly Stole $84 Million in Donations https://t.co/dr6d1…</t>
  </si>
  <si>
    <t>RT @espn: On This Date: In 1976, protesters tried to burn an American flag at Dodger Stadium.
Outfielder Rick Monday wasn't having any of…</t>
  </si>
  <si>
    <t>RT @LisaSmith4680: #TuckerCarlson @TuckerCarlson
You are my Spirit Animal! 
I say "DITTO" to EVERYTHING that comes out of your awesome mout…</t>
  </si>
  <si>
    <t>LEFT engages in intellectual tyranny.  They don't want blacks, hispanics or other minorities to think at all. 
#VoteDemsOUT</t>
  </si>
  <si>
    <t>TRUMP &amp;amp; KANYE = Dragon Energy!  Independent Thinkers.  Love, Action, Solutions.  Not Mental Prisons.
Democrats want everyone to not think at all. Just vote for Dems.
#VoteDemsOUT</t>
  </si>
  <si>
    <t>Tom Fitton: ‘These are the emails Hillary didn’t want you to see’ https://t.co/SvF1AOOrIf via @JudicialWatch</t>
  </si>
  <si>
    <t>Nancy Pelosi Defends Democrat Attempts at Primary Manipulation After Secret Tape Surfaces | Breitbart --&amp;gt; PUT PELOSI INTO A MENTAL INSTITUTION ALREADY! #VoteDemsOUT https://t.co/yv7XpfdnHv</t>
  </si>
  <si>
    <t>'Breathtaking homicidal violence': Latin America in grip of murder crisis https://t.co/OhHXDicafa</t>
  </si>
  <si>
    <t>Breathtaking homicidal violence --&amp;gt; Latin America in grip of murder crisis!
Region has experienced 2.5 million murders since 2000 &amp;amp; report paints bleak picture of extreme violence &amp;amp; lax security. And pope used to brag about Latin America's socialist countries!  #VoteDemsOUT</t>
  </si>
  <si>
    <t>800,000 people are about to flee New York and California because of taxes, say economists!  HaHaHa!  #VoteDemsOUT  https://t.co/VXYPz0aofS</t>
  </si>
  <si>
    <t>RT @thehill: Women accuse Tom Brokaw of unwanted sexual advances: report https://t.co/7i3YaeW61A https://t.co/JV1zKSg1dF</t>
  </si>
  <si>
    <t>RT @IsraelUSAforevr: The Obama Recovery has been the worst of any US President in history.
 #WakeUpAmerica #MAGA https://t.co/Hdxuxvalnw</t>
  </si>
  <si>
    <t>Thank you to Kanye for speaking his mind and heart! That's all he's saying --&amp;gt; Think for yourself! https://t.co/Z1t4rrEIMd</t>
  </si>
  <si>
    <t>RT @KaaawaPJ: He's a liar and a leaker 
He's a slimeball tweeter.
@POTUS fired him because
He knew he was a flake and weak.
#LyinComey ht…</t>
  </si>
  <si>
    <t>CHINA implementing Big Brother cameras to monitor behavior and instill fear of its citizens.  Much like Animal Farm. Really creepy! Let's not bring this philosophy here.  #VoteDemsOut</t>
  </si>
  <si>
    <t>China has over 50% of its people living in abject poverty.  Communist, one-party rule is stifling, seeking to censor speech and punish those who criticize the party or communism in general.</t>
  </si>
  <si>
    <t>@kanyewest Check our renowned internet philosopher and critical thinker, @StefanMolyneux .  His interviews and vlogs are mind-opening! Free thought! Critical thinking. Learning to think for yourself.</t>
  </si>
  <si>
    <t>There's only about 14 people in Washington DC that even know who Joy Reid is, so to blame her problems on the Russians is a very bizarre narrative.  All the left does is BLAME, BLAME, BLAME! They are haters. It's why we must #VoteDemsOUT.</t>
  </si>
  <si>
    <t>HAHAHA!  Crazy Leftist MSNBC's JOY REID now blaming the Russians for hacking her blog and inserting anti-gay remarks!  She must think we are all stupid! She needs to look in the mirror &amp;amp; stop lying to everyone!</t>
  </si>
  <si>
    <t>#ArrestBillClinton https://t.co/91D0quBTCz</t>
  </si>
  <si>
    <t>RT @toby_dorena: 7 mos slow walked because of #Democrat obstruction! 😡😡 @SenMajLdr No Senate recess until all Appointees are approved! Get…</t>
  </si>
  <si>
    <t>In the UK, govt does not value your life, or your child's life. What a disgusting sickening country!</t>
  </si>
  <si>
    <t>In the UK, your baby's life is worth nothing.  OK to kill your child if the govt says so!  This is cruelty of the highest order &amp;amp; has taken over the role of parents!  SHAME ON THE UK HEALTHCARE SYSTEM! Socialism Kills!</t>
  </si>
  <si>
    <t>@kanyewest Democrats want to force all minorities into mental slavery, mental prisons. Don't let them stop you from reading, learning, listening to others with different ideas. #ThinkForYourself  #VoteDemsOUT</t>
  </si>
  <si>
    <t>RT @kanyewest: Free thinkers don't fear retaliation for your thoughts.  The traditional thinkers are only using thoughts and words but they…</t>
  </si>
  <si>
    <t>Yes!  This is was true conservatism is all about.  It's about de-centralized power.  Taking power away from unaccountable, unelected govt bureaucrats and giving it back to the states, and to individuals. #VoteDemsOUT #MAGA https://t.co/5rG30dwr69</t>
  </si>
  <si>
    <t>RT @kanyewest: fear takes strategy   Unlearn linear thinking   Hit you with these zig zag thoughts</t>
  </si>
  <si>
    <t>Fantastic! https://t.co/wm19PzkpCB</t>
  </si>
  <si>
    <t>RT @kanyewest: https://t.co/WMufnBTw8q</t>
  </si>
  <si>
    <t>RT @kanyewest: People usually don't agree with people who don't agree with them</t>
  </si>
  <si>
    <t>RT @kanyewest: I tweeted the John text to show that there are people around me that disagree with me and voice their opinion. I respect eve…</t>
  </si>
  <si>
    <t>RT @kanyewest: try telling people you love them it actually feels weird at first. We're really good at hating each other. We have to get go…</t>
  </si>
  <si>
    <t>RT @kanyewest: https://t.co/v13ATNczjT</t>
  </si>
  <si>
    <t>RT @kanyewest: https://t.co/O7eZVaHZUH</t>
  </si>
  <si>
    <t>RT @Cemoto78: #Comey is sounding like #CrookedHillary when answering questions... I can't recall seems to be their go to answer. The guy is…</t>
  </si>
  <si>
    <t>RT @r_little_finger: Retweet if you're a Trump supporter and you aren’t a racist. Let's shock the Liberals with our numbers.</t>
  </si>
  <si>
    <t>RT @MattWalshBlog: If Alfie Evans Was A Royal Baby Would They Still Be Killing Him In A London Hospital?
https://t.co/GT86oMqqzw</t>
  </si>
  <si>
    <t>IF BERNIE SANDERS were really serious about creating jobs --&amp;gt; he'd be promoting Capitalism, not Socialism. Venezuela is starving under socialism &amp;amp; are forced to eat their pets. Bernie, a lifelong govt employee is nuts.</t>
  </si>
  <si>
    <t>I now use https://t.co/DO8sp2VuqK for searching the Internet, not Google! https://t.co/UqEEu1RcS7</t>
  </si>
  <si>
    <t>Trudeau is smoking a bit too much weed.  Tell him to shove it!  You have the freedom of speech. https://t.co/vtssCTV5Wa</t>
  </si>
  <si>
    <t>The LEFT has no interest in equal opportunity.  They want equal results.  That's a recipe for Communism. Govt robots.</t>
  </si>
  <si>
    <t>RT @RealJamesWoods: What’s fascinating about the many observations, artistically and politically, made by @kanyewest is how solidly his fin…</t>
  </si>
  <si>
    <t>RT @LouDobbs: Deep State Corruption- @RepMattGaetz: James Comey is cunning and was out to get @realDonaldTrump. The fact that Comey was tak…</t>
  </si>
  <si>
    <t>John Legend represents Socialism/Communism ---&amp;gt;&amp;gt; govt runs your life b/c you're a victim.
Kanye West's comments represent Freedom of Thought &amp;amp; person  --&amp;gt; you decide what's best for you and your family, NOT the govt. https://t.co/HzfEi4oeEa</t>
  </si>
  <si>
    <t>UC Berkeley must face lawsuit alleging bias against conservative speakers!  SUE THE BIGOTED COMMIE BASTARDS!   https://t.co/Kgn1tIa7WN via @YahooNews</t>
  </si>
  <si>
    <t>When will Bill Clinton be tried &amp;amp; convicted for his sexual assault crimes against several women??? America deserves equal justice under the law. https://t.co/Z4P8obOlzc</t>
  </si>
  <si>
    <t>I pray that President Trump rejects the Iran nuclear deal.  Obama literally was the worst foreign policy president -- giving everything away to our enemies.  Obama showed no allegiance to America or our Constitution! #VoteDemsOUT</t>
  </si>
  <si>
    <t>RT @marklevinshow: Guilty until proven innocent https://t.co/vcmAQYd8Sq</t>
  </si>
  <si>
    <t>Obama represents the type of Socialism that seeks to control your Money, You Behavior, Your Healthcare, Your Education because Leftist Socialists think they know what's best for you.  They think you are too stupid to think for yourself! #VoteDemsOUT https://t.co/EH8miWp9HR</t>
  </si>
  <si>
    <t>RT @THEHermanCain: Heh. https://t.co/eqtKsQ19CZ</t>
  </si>
  <si>
    <t>THE MOST UN-AMERICAN, ANTI-AMERICAN PRESIDENT.....EVER! https://t.co/36TYDn5nVm</t>
  </si>
  <si>
    <t>John Legend — a Leftist supporter of the Democratic Party tried to intimidate Kanye West.  This is what the Left does.  They can't think of anything positive except to bully people into their brand of Socialism, i.e. govt-controlled groupthink.  No thanks!  #VoteDemsOUT</t>
  </si>
  <si>
    <t>PRISON for all of these anti-Americans! https://t.co/YmwcnHavrl</t>
  </si>
  <si>
    <t>RT @ProgressPolls: Do you think @Comey should see jail time for his leaking of information at the FBI during the election?</t>
  </si>
  <si>
    <t>Acosta is a PROPAGANDIST, not a journalist. https://t.co/IwPuvtgnCu</t>
  </si>
  <si>
    <t>RT @Patriotic_Va: Disgusting that the Dems have had ZERO issue w Ronny Jackson thru Bush &amp;amp; Obama but let Trump nominate him for a position…</t>
  </si>
  <si>
    <t>I too am sick of Dems obstruction.  They have no agenda except to go against anything Trump suggests. Dems couldn't even let Trump give amnesty to DACA recipients. Isn't it time to #VoteDemsOUT ??? https://t.co/jFfeqaI1h2</t>
  </si>
  <si>
    <t>STOP THE ILLEGALS coming in from Honduras -- many are MS-13 gang members!  @realDonaldTrump @AGJeffBSessions  #BuildTheWall #DeportIllegals</t>
  </si>
  <si>
    <t>Daily Beast Suspends Joy Reid Column over Homophobic Remarks. 
 JOY REID -- JUST ANOTHER HYPOCRITICAL LIBERAL! https://t.co/QSLLuy04M7</t>
  </si>
  <si>
    <t>JOBLESS CLAIMS lowest since 1969! #MAGA #Winning #VoteDemsOUT https://t.co/9zEIURp99Z via @YahooFinance</t>
  </si>
  <si>
    <t>RT @MADE__USA: RT if you are a Proud of our Great President and First Lady Melania Trump! @FLOTUS #FirstLadyMelania #TrumpUSA #MelaniaTrump…</t>
  </si>
  <si>
    <t>President Trump is a positive thinker, always looking to create win-win situations for all parties.  It's not politicis. It's how business is done.  It's why he's getting so much done in such a short time.  No time for bullshit.  Only action!  #VoteDemsOUT</t>
  </si>
  <si>
    <t>RT @LouDobbs: Tonight's #QuoteofTheDay comes from President @realDonaldTrump who is at the top of his game, whether it be Foreign Policy or…</t>
  </si>
  <si>
    <t>RT @LouDobbs: #LDTPoll: Has James Comey’s constant hawking of his book only strengthened your view that he was an agent of the Deep State w…</t>
  </si>
  <si>
    <t>RT @LouDobbs: Drain the Deep State Swamp- @RepAndyBiggsAZ: The stench in the DC Swamp can’t get any worse. Mueller is so conflicted. If he…</t>
  </si>
  <si>
    <t>I pray that President Trump rejects the Iran nuclear deal.  Obama literally was the worst foreign policy president -- giving everything away to our enemies.  Obama showed no allegiance to America &amp;amp; our Constitution.</t>
  </si>
  <si>
    <t>This Is the Real Reason Britain Won't Release Alfie Evans to Italy.  GOVT RUN HEALTHCRE KILLS!  https://t.co/WfLYO5S56d</t>
  </si>
  <si>
    <t>Kanye West Isn't Crazy, He's Just Tired of the Liberal BS.  https://t.co/yeXu3b3BYK</t>
  </si>
  <si>
    <t>California Republicans Have Signatures to Put Gas Tax Repeal on Ballot | Breitbart https://t.co/wigqHZv4rs</t>
  </si>
  <si>
    <t>Republican John Cox Could Succeed in California Governor Primary! #VoteJOHNCOX https://t.co/UO3DelSh97</t>
  </si>
  <si>
    <t>Poll: Six-in-Ten Back Trump's Islamic Screening Policies | Breitbart https://t.co/OZuiWt6LV9</t>
  </si>
  <si>
    <t>Chance the Rapper: 'Black People Don't Have to be Democrats'  -- they can and should be encourage to think for themselves.  #VoteDemsOUT https://t.co/KsNUSRXw54</t>
  </si>
  <si>
    <t>Kanye West put his love for Donald Trump on display as he donned his MAGA hat while leaving his ... https://t.co/VjGhI39lI3 via @MailOnline</t>
  </si>
  <si>
    <t>Kanye West leaves studio wearing MAGA hat, criticized Obama for not changing anything while president. https://t.co/YxHSXFGYxg</t>
  </si>
  <si>
    <t>RT @Education4Libs: Am I the only one who doesn’t give a damn what Trump’s social life was like prior to running for office?
How many inte…</t>
  </si>
  <si>
    <t>COMEY shared memos and documents beyond his professor friend. #ArrestComey already!</t>
  </si>
  <si>
    <t>Melania is absolutely gorgeous! https://t.co/ObShRZiv6N</t>
  </si>
  <si>
    <t>RT @carrieksada: Thought Police at it again 🙄
We can think for ourselves, thx👌
Way to go @RealCandaceO and @kanyewest 🙌🏼❤️
#KeepAmericaGre…</t>
  </si>
  <si>
    <t>RT @VP: Really enjoyed time w/ hardworking Americans in Milwaukee talking tax cuts that put America first! W/ the tireless leadership of @P…</t>
  </si>
  <si>
    <t>Homewrecker, adulturess &amp;amp; hothead, @KamalaHarris surrounds herself with people who don't play by the rules.  Arrest them all! https://t.co/MffPadzJJo</t>
  </si>
  <si>
    <t>RT @DonnaWR8: @realDonaldTrump @foxandfriends #OBAMAGATE #MAGA #KAG https://t.co/gnJFeiv5Xe</t>
  </si>
  <si>
    <t>RT @mcgilh: Bill Clinton 'casually encouraged' Trump to run for president before 2016 race: book https://t.co/TDvatsBRPQ #FoxNews</t>
  </si>
  <si>
    <t>Kanye says we have Freedom of Speech but no Freedom of Thought.  The  Democrat Thought Police want to suppress Freedom of Thought.  Dems need to corral all blacks to not think &amp;amp; vote for Dems.  Kanye says "THINK FOR YOURSELF." #VoteDemsOUT</t>
  </si>
  <si>
    <t>RT @623Sis: https://t.co/h5I71FJycs</t>
  </si>
  <si>
    <t>The DEMOCRATIC PARTY stands for nothing, has nothing to offer to working Americans! Let's make sure we #VoteDemsOUT come Nov.</t>
  </si>
  <si>
    <t>That's what Democrats do --&amp;gt; they shit on people they dislike or disagree with.  They are haters!  I can't stand being around those idiots!  #VoteDemsOUT https://t.co/6mUfZIHx6P</t>
  </si>
  <si>
    <t>DEMOCRATS like journalist Jim Acosta are the problem with the elites.  They don't report on news and facts, but spews his worthless opinions criticizing Trump supporters as being dumb.  Acosta's so, so dumb, it frightens me!</t>
  </si>
  <si>
    <t>RT @KimKardashian: Kanye will never run in the race of popular opinion and we know that and that’s why I love him and respect him and in a…</t>
  </si>
  <si>
    <t>RT @Belle4DJT: How Awesome...Celebs Speaking Their Minds &amp;amp; Red Pilling The Masses...Welcome To The #MAGA Family... #FreeThinker #UnitedWeSt…</t>
  </si>
  <si>
    <t>RT @RealJamesWoods: They are afraid of anyone who thinks for him/her self. Both sides are like this btw. Free thinkers are a threat to the…</t>
  </si>
  <si>
    <t>Love you @kanyewest !!! https://t.co/Lmb2EcU5zq</t>
  </si>
  <si>
    <t>RT @FoxNews: During a Twitter storm Wednesday, rapper @kanyewest called out @BarackObama amid several pro-@realDonaldTrump tweets. https://…</t>
  </si>
  <si>
    <t>RT @NinaRobot_bot: https://t.co/zmkxKH5OP1</t>
  </si>
  <si>
    <t>RT @kanyewest: Obama was in office for eight years and nothing in Chicago changed.</t>
  </si>
  <si>
    <t>Thank you Kanye for pointing that out! You are so, so right!  Obama was a terrible president.  He didn't care about Americans, not black ones, white ones, or brown ones. https://t.co/pMZYO6sHD8</t>
  </si>
  <si>
    <t>RT @kanyewest: can't wait to meet https://t.co/i7ixzuFpZC</t>
  </si>
  <si>
    <t>RT @kanyewest: https://t.co/tB8SlAjIfV</t>
  </si>
  <si>
    <t>UK'S socialized medicine is killing an innocent child in need of care.  Why is the govt even allowed to make decisions for parents???  It's the parent's who should decide.  #SocialismKills</t>
  </si>
  <si>
    <t>Here’s A Shocker: Venezuela Bans Guns, Homicides Skyrocket https://t.co/yY9vRuek6X via @BearingArmsCom</t>
  </si>
  <si>
    <t>GOVT BUREAUCRATS LIE --&amp;gt; CDC Allegedly Hid Data Supporting Pro-Gun Claims.  https://t.co/cmTcRVBAaG</t>
  </si>
  <si>
    <t>Dredging the Welfare Swamp – a Very Good Start! https://t.co/OtrB9Pv0Pm</t>
  </si>
  <si>
    <t>Trump’s presidency has been marked by ACTION. He focused on the nation’s problems immediately upon taking office &amp;amp; his economic deregulation &amp;amp; tax reform measures have set America back on track to prosperity &amp;amp; job creation. #MAGA #Winning #VoteDemsOUT</t>
  </si>
  <si>
    <t>Three Ways the Starbucks Apology Tour Will Hurt, Not Help, Black Americans https://t.co/xtSivqZse7</t>
  </si>
  <si>
    <t>Jim Jordan for House speaker https://t.co/e0wnyyOvMb via @worldnetdaily</t>
  </si>
  <si>
    <t>Ex-Clinton aide’s angry tirade against cops on tape https://t.co/cYL5GdbeYi via @worldnetdaily</t>
  </si>
  <si>
    <t>Three Mexican Film Students Were Murdered and Dissolved in Acid https://t.co/s5KZcuoDEy</t>
  </si>
  <si>
    <t>Research Shows Google Search Manipulation Can Swing Nearly 80 Percent of Undecided Voters --&amp;gt; VOTE DEMOCRATS OUT! https://t.co/zbGE5emIVm</t>
  </si>
  <si>
    <t>California's Rich May Leave to Avoid $12 Billion in SALT Tax Hit.  BUT LEFTIST MILLIONAIRES &amp;amp; BILLIONAIRES CLAIM THEY WANT TO PAY MORE IN TAXES!  WHO IS STOPPING THEM?  https://t.co/lOrvx3aXND</t>
  </si>
  <si>
    <t>California's Rich May Leave to Avoid $12 Billion in SALT Tax Hit | Breitbart https://t.co/lOrvx3aXND</t>
  </si>
  <si>
    <t>DELUSIONAL Pelosi: Dems Ready to Push Amnesty, Gun Control ‘When We Win’ in Nov.  #VoteDemsOUT https://t.co/ovuuPbPjZ5</t>
  </si>
  <si>
    <t>California Republicans Have The Signatures to Put Gas Tax Repeal on Ballot | Breitbart https://t.co/wigqHZv4rs</t>
  </si>
  <si>
    <t>NRA Breaks 15-Year Fundraising Record with Nearly $2.5 Million in March https://t.co/T89M8JNMag</t>
  </si>
  <si>
    <t>Exclusive: Poll Shows Americans Side with Trump over Mueller Probe. #EndMuellerWitchhunt https://t.co/UsGr0S5N9S</t>
  </si>
  <si>
    <t>Millennials blame boomers for ruining their lives.  BOOMERS TO BLAME FOR LIBERAL OVERSPENDING BY GOVT. DEBT DOUBLED UNDER OBAMA! MILLENIALS WILL HAVE TO PAY UP!  https://t.co/QVaunYeF7z</t>
  </si>
  <si>
    <t>Leftists who want to deny your Free Speech is ideological fascism!  The leftists are today's FASCISTS!</t>
  </si>
  <si>
    <t>Sharyl Attkisson to Make Film Debut in Doc About Free Speech https://t.co/Rc4cmNQf7q via @thr</t>
  </si>
  <si>
    <t>Hatred of journalists on the rise worldwide, watchdog says. --&amp;gt; AND RIGHTLY SO!  THEY ARE NEVER HELD ACCOUNTABLE FOR SPEWING LIES &amp;amp; HATE!  https://t.co/zmPylkO6ak via @YahooNews</t>
  </si>
  <si>
    <t>Megyn Kelly is struggling at NBC’s ‘Today’ show, an expensive reminder of how the heyday of the star network anchor has passed. I CAN'T STAND THE AGGRESSIVE HATE THAT SPEWS FROM THIS WOMAN! https://t.co/0OA1Ymii9o</t>
  </si>
  <si>
    <t>Terrorism Comes to Toronto --&amp;gt; Are Govt &amp;amp; Fake News outlets already covering up the recent Terror Attack?
https://t.co/CObxRbs2GT</t>
  </si>
  <si>
    <t>MUELLER &amp;amp; COMEY colluded on testimony --&amp;gt;
https://t.co/o3vryqc13p</t>
  </si>
  <si>
    <t>Tim Cook and President Trump have similar views on H1B Visas - importing skilled workers from India, Korea etc.
#VoteDemsOUT</t>
  </si>
  <si>
    <t>CA Gov. Jerry Brown just let out over 300 illegal criminals back out on the streets of San Diego.  He is trying to punish San Diego for challenging his Sanctuary State Law!  #ImpeachBrown #VoteDemsOUT</t>
  </si>
  <si>
    <t>The hideous Democrats who would succeed the great Darrell Issa https://t.co/AO0tnjKscT</t>
  </si>
  <si>
    <t>James Comey is impressing no one: Axios poll.  #IndictComey https://t.co/hcUbH2kRQy</t>
  </si>
  <si>
    <t>Not only did Trump win, but so far he's had the most successful administration since James K. Polk.</t>
  </si>
  <si>
    <t>RT @AmericanThinker: What education in Venezuela? https://t.co/JCV7FTAjuj</t>
  </si>
  <si>
    <t>Top Socialist Leader, Mae TseTong murdered over 76 million of his own people.  Swallow that snowflakes! https://t.co/J24Jxx4esA</t>
  </si>
  <si>
    <t>RT @AmericanThinker: What I Learned in the Peace Corps in Africa: Trump Is Right https://t.co/8TujY6LF75</t>
  </si>
  <si>
    <t>Women are the Fastest Growing Group Getting Their Concealed Carry Licenses Since Parkland Shooting https://t.co/oPvzWchyeW</t>
  </si>
  <si>
    <t>Ted Cruz Owns Beto O'Rourke AGAIN After Learning Elizabeth Warren is Trying to Help Him https://t.co/DWwQmrKZWP</t>
  </si>
  <si>
    <t>WOW --&amp;gt; New Book Details How Part of Hillary Clinton's Debate Prep Included Abusing Aides https://t.co/gvl9KK8cLt</t>
  </si>
  <si>
    <t>An NCIS character said:  "Hey pal, I'm an entertainer. Most of what I say is not true." --&amp;gt; Boy, that sure says alot about Hollywood actors, doesn't it?  #VoteDemsOUT</t>
  </si>
  <si>
    <t>LGBTQ Group Rescinds Award For Joy Reid After Homophobic Blog Posts Revealed. HA! HA! HA!  https://t.co/EX0q4AIKxb via @mediaite</t>
  </si>
  <si>
    <t>NUTJOB Sen. Bernie Sanders to Unveil Plan to Give Every American a Guaranteed Govt Job. MOST GOVT WORKERS DO NOTHING, PRODUCE NOTHING. We should abolish 50% of govt jobs. https://t.co/fqVNYqBQ1L</t>
  </si>
  <si>
    <t>YEP!  No more Catch &amp;amp; Release!  80% of illegals coming here for economic, not political, reasons.  They want our jobs, our welfare and our money.</t>
  </si>
  <si>
    <t>Senate candidate Nick Freitas NAILS the difference between conservatives and progressives!  https://t.co/I5qQRj642d via @ChrisCPandolfo</t>
  </si>
  <si>
    <t>JUST BECAUSE someone wants to enter the US by claiming asylum or saying they are political refugees, DOES NOT MEAN the US must accept them.  We have laws and a process to enter the US legally.</t>
  </si>
  <si>
    <t>Why do these illegals keep wanting to violate our laws by sneaking into our country illegally???  If they want to become US citizens, they need to go thru the legal process. #DeportIllegals #LegalImmigrationOnly</t>
  </si>
  <si>
    <t>The asshole left criticizing Melania Trump's hat! Really??? She is the most beautiful, stunning and stylish First Lady ever to live in the White House! #Flotus #Trump2020</t>
  </si>
  <si>
    <t>FOX &amp;amp; Hannity dominate ratings.  Monday, April 23 https://t.co/IvW3yIRl1J</t>
  </si>
  <si>
    <t>RT @RichardGrenell: We have an unbreakable bond with Europe. We share many of the same values. We just disagree on what the Paris Accord do…</t>
  </si>
  <si>
    <t>RT @ArthurSchwartz: Is there a @StateDept travel advisory on this? Maybe the US Ambassador to Germany can tell us what the hell is going on…</t>
  </si>
  <si>
    <t>RT @senorrinhatch: Excellent news. @RichardGrenell will make an excellent ambassador. https://t.co/SnCnV2gcBs</t>
  </si>
  <si>
    <t>RT @SaraCarterDC: Did McCabe issue ‘Stand-Down’ order on FBI Clinton Email Investigation? via @SaraCarterDC https://t.co/rjJhKztNab</t>
  </si>
  <si>
    <t>RT @TomFitton: And as @SaraCarterDC is reporting, the "missing" text messages are about to be produced to Congress. https://t.co/gNFq5aEmXc</t>
  </si>
  <si>
    <t>SARA CARTER:  Did McCabe issue STAND-DOWN order on FBI's Clinton Email Investigation?</t>
  </si>
  <si>
    <t>Talking heads on CNN and MSNBC sound like immature babies.  Whaaaaa!  Whaaaaa! How anybody could stomach Joe &amp;amp; Mika, Stelter, Cooper, Bash, Madcow, etc. has a screw loose in their brains!</t>
  </si>
  <si>
    <t>RT @John_KissMyBot: GREAT News For Trump Supporters And BAD News For Trump Haters 
Hello To A Trump Second Term 
💥 Gallup: Based on Clint…</t>
  </si>
  <si>
    <t>RT @w_terrence: Me: Listening to @kanyewest after his @RealCandaceO tweet https://t.co/wf6oPQ3nw7</t>
  </si>
  <si>
    <t>Bernie Sanders wants Socialism. https://t.co/qxKpEtoZSv</t>
  </si>
  <si>
    <t>DEMOCRATS-Liberals-Leftists using censorship to shut down free speech and freedom of religion. This is very evil people folks, that must be voted out of office if our Republic is to survive. #VoteDemsOUT</t>
  </si>
  <si>
    <t>CALIFORNIA proposing bill banning Christian books.  I hope the Christian community is in an uproar.  This is pure censorship.</t>
  </si>
  <si>
    <t>Someone please tell Bernie Sanders that SOCIALISM KILLS --&amp;gt; Mao Zedong murdered over 76 million of his own people. #SocialismKills</t>
  </si>
  <si>
    <t>Sanders Unveils 'Plan' To Give Every American A Government Job. There's Only One Problem - no way to pay for it. BESIDES, WHO WANTS EVEN ONE MORE GOVT EMPLOYEE?? They are #Moochers #Parasites</t>
  </si>
  <si>
    <t>Centers for Disease Control conducted, but never released, a bombshell survey which indicated incidents of defensive gun uses in America dwarf those of offensive gun uses.</t>
  </si>
  <si>
    <t>RT @RNRTexas: CDC Buried Survey Indicating Americans Used Guns Defensively 2.4m Times Per Year https://t.co/kTEtbEkxFT #RedNationRising</t>
  </si>
  <si>
    <t>LOVE THIS BIO --&amp;gt; Ex Democrat voted for Trump. The Democrat Party is not the one that we once loved &amp;amp; knew. Democrat Party is filled with hate deceit &amp;amp; liars.</t>
  </si>
  <si>
    <t>RT @Smartassy4now: Thank you Mr. Shaw Jr. You’re a very heroic man.
RT https://t.co/LfmBZWtx88</t>
  </si>
  <si>
    <t>RT @mitchellvii: Amazing. We have the lowest unemployment ever recorded, the economy is blazing and peace with NK is on the horizon.  Yet o…</t>
  </si>
  <si>
    <t>RT @bluepillsheep: Stephen Miller Bitch Slaps CNN Apologist Brian Stelter Stephen Miller Bitch Slaps CNN Apologist Brian Stelter
#TuesdayTh…</t>
  </si>
  <si>
    <t>RT @RobertMueIIer: We are very concerned over reports from 2024 about suspected collusion between Kanye West and the Russians. We will inve…</t>
  </si>
  <si>
    <t>Love you Elder!  Keep up the great work you are doing for America! #MAGA https://t.co/ds48hU912r</t>
  </si>
  <si>
    <t>RT @PrisonPlanet: Sweden.
Pro-migrant campaigner goes home with two Afghan migrants to prove xenophobes wrong.
Ends up being raped.
Main…</t>
  </si>
  <si>
    <t>RT @TomFitton: Comey illegally took &amp;amp; leaked FBI documents to get a Special Counsel appointed to target @RealDonaldTrump. @JudicialWatch is…</t>
  </si>
  <si>
    <t>And Jim Acosta is not the sharpest knife in the drawer.  Who wants to listen to a supposed unbiased journalist spew hatred for the current president and his supporters.  ACOSTA is a bigot, not a journalist. https://t.co/tTu9V7q0rF</t>
  </si>
  <si>
    <t>FAR LEFT JOURNALISTS Join Angry Mob - Chase Milo Yiannopoulos from NYC Bar, Chanting: "Nazi Scum Get Out" --&amp;gt; Calling a gay Jew a Nazi shows that leftists zombies have no idea what the word means. https://t.co/uQ7girGRzL …</t>
  </si>
  <si>
    <t>In the 3 yrs following implementation of FDR's policies, wages in 11 key industries averaged 25% higher than they otherwise would have done, the economists calculate. But Unemployment was also 25% higher than it should have been.</t>
  </si>
  <si>
    <t>Three Mexican Film Students Were Murdered and Dissolved in Acid https://t.co/s5KZcuoDEy via @BreitbartTexas</t>
  </si>
  <si>
    <t>Nearly 300 Bangladeshis Arrested After Illegally Crossing Texas Border in Fiscal Year https://t.co/hh6QrTJLSV</t>
  </si>
  <si>
    <t>Tijuana: 147 Killed in April — 691 in 2018 https://t.co/c7jbMiiSYa</t>
  </si>
  <si>
    <t>Petition Calling for Professor Randa Jarrar's Termination from Fresno State Has Nearly 30,000 Signatures | Breitbart https://t.co/vhQGYBNCqf</t>
  </si>
  <si>
    <t>I am in favor of:
Immediate termination of professor Randa Jarrar, at Fresno State, for racism and inflammatory comments regarding a former First Lady of the United States, Barbara Bush.</t>
  </si>
  <si>
    <t>#ArrestObama https://t.co/lwjApAYqA7</t>
  </si>
  <si>
    <t>UK healthcare system kills babies, apparently.  Parents have no say so.  How barbaric! https://t.co/FZNdOtMARF</t>
  </si>
  <si>
    <t>RT @PoliticallyRYT: Planned Parenthood lawsuit against Indiana over new abortion law-
By Lexy 👣
#AbortionIsMurder
#Abortion
#LifeIsPreciou…</t>
  </si>
  <si>
    <t>Sacramento Bee, SF Examiner and NY Times reported Newsom had gone to rehab for his alcoholism problem.  Newsom denies it -- so why aren't these publications being sued for libel? #TheTruth</t>
  </si>
  <si>
    <t>ADULTERESS &amp;amp; HOMEWRECKER Kamala Harris Endorses illegal criminal protector, Oakland Mayor Libby Schaaf  https://t.co/9GgZxcfnfQ</t>
  </si>
  <si>
    <t>Embattled California #MeToo Leader Made Anti-Asian Comments --&amp;gt; SHOWING THE WORLD HER RACIST, BIGOTED ROOTS. https://t.co/XeAxiWzqfm</t>
  </si>
  <si>
    <t>Fashion Notes: Melania Trump Steals the Show in Michael Kors Hat, Suit --&amp;gt; Absolutely Gorgeous!  https://t.co/fVtQW5Vuhy via @BreitbartNews</t>
  </si>
  <si>
    <t>Cleared: Memo Slams Fake News About First Woman Nominated to Head CIA https://t.co/D7EU8948eU via @BreitbartNews</t>
  </si>
  <si>
    <t>Man Who Wrestled Gun Away from Waffle House Shooter Raises over $45,000 for Victims' Families.  https://t.co/PzF1b7jkyX</t>
  </si>
  <si>
    <t>AG Sessions Builds Legal Wall Against Caravan's Economic Migrants!  THANK YOU AG SESSIONS!  https://t.co/6T9xiE6QI8</t>
  </si>
  <si>
    <t>Facebook Spent More on Swamp Lobbyists in 1Q than Ever Before | Breitbart https://t.co/VwbBleGVc6</t>
  </si>
  <si>
    <t>RT @RubinReport: 4. Through intersectional groupthink they believe they own all minorities be it black, gay, Muslim or other. This actually…</t>
  </si>
  <si>
    <t>Groupthink! https://t.co/OOi9YZX8zc</t>
  </si>
  <si>
    <t>RT @RubinReport: 7. Now they’ll call Candace far-right and anti-gay, all the while waking up millions to how they are the ones who practice…</t>
  </si>
  <si>
    <t>RT @RealCandaceO: All I said was that I wanted black people to embrace a victor mentality and now the Left is out to assasinate my characte…</t>
  </si>
  <si>
    <t>RT @RealCandaceO: This chapter in Black history will be remembered as the greatest example of Stockholm syndrome ever. We have grown to lov…</t>
  </si>
  <si>
    <t>RT @RealCandaceO: The left will dead serious have black people debating whether or not Kylie Jenner wearing corn rows in her hair is “appro…</t>
  </si>
  <si>
    <t>RT @RealCandaceO: I will be on with @seanhannity tonight, 9:45pmET.
May the black, ideological civil war commence. 
It’s time.
#TickTock</t>
  </si>
  <si>
    <t>RT @RealCandaceO: 500 million dollars of tax payer dollars go to slaughtering 800 black babies per a day. 
Not a SINGLE WORD from Black Liv…</t>
  </si>
  <si>
    <t>RT @RealCandaceO: I find it hilarious that the media thinks it can tell Kanye West, of all people, what he is allowed to think. Here’s a qu…</t>
  </si>
  <si>
    <t>RT @RealCandaceO: Here is the 2nd part of my smack down with Black Lives Matter. Spent today laughing at the clowns who are LYING to black…</t>
  </si>
  <si>
    <t>RT @RealCandaceO: Far right? Allow me to clarify: I believe the black community can do it without hand-outs. I believe the Democrats have s…</t>
  </si>
  <si>
    <t>RT @FiveRights: Media people,
We have an intelligent, elegant woman as our First Lady.
Your TDS forces you to hate her of course, but why m…</t>
  </si>
  <si>
    <t>RT @RealTT2020: THE PLATFORM
#LessTax
#LessGovernment
#LessRegulation
#CrushCorruption
Follow @RealErinCruz 
#ErinCruzUSSenateCA 
https://…</t>
  </si>
  <si>
    <t>CA-26 District - SAVE CALIFORNIA from Democrats who have destroyed our once golden state. Vote for ANTONIO SABATO! CA has worst schools, highest poverty, highest homeless problem, highest taxes. https://t.co/RcbGmdu7dL</t>
  </si>
  <si>
    <t>RT @Cernovich: Motives are irrelevant, we are all evil and good and have mixed motives. Outcomes matter. People will become bored with thou…</t>
  </si>
  <si>
    <t>Trudeau is as nutty as the former Toronto mayor,  Ford. https://t.co/EAZWvBPYyR</t>
  </si>
  <si>
    <t>RT @RealJamesWoods: Interesting strategy by @POTUS, because civil court allows for greater latitude during discovery and low tolerance for…</t>
  </si>
  <si>
    <t>Cop-killing is the #ObamaLegacy.  Just shameful! https://t.co/u4q8vPv3AO</t>
  </si>
  <si>
    <t>RT @RealJamesWoods: #lol I can’t wait for the countersuit against these weasels.  https://t.co/WvqsLaDspD</t>
  </si>
  <si>
    <t>RT @RealJamesWoods: Your corruption was not a flesh wound,  but a systemic rot of your entire being. YOU were never going to let you be pre…</t>
  </si>
  <si>
    <t>CNN is scum -- trying to influence a US presidential election. Shameful.  It's why we must #VoteDemsOUT https://t.co/anEqhrbz7L</t>
  </si>
  <si>
    <t>RT @RealJamesWoods: Hillary’s elitist circuit of pansies from the Hamptons to Silicon Valley chortled over her stump speech zinger about th…</t>
  </si>
  <si>
    <t>RT @RealJamesWoods: Simply can’t get enough of #LiberalTears... https://t.co/fRqHblwzgE</t>
  </si>
  <si>
    <t>RT @RealJamesWoods: So much fun. Why are #Democrats so pathetic? https://t.co/TI4nnGktrV</t>
  </si>
  <si>
    <t>Wow --&amp;gt; comparing London violence to that of South Africa!  Frightening. https://t.co/HLteK6Rzyj</t>
  </si>
  <si>
    <t>RT @RealJamesWoods: So #Kanye leaves the public arena and returns a sage! Who could have imagined this? I love his music. Now he’s my new g…</t>
  </si>
  <si>
    <t>RT @RealJamesWoods: “Free” is a magic word for you socialists, isn’t it? https://t.co/G5fq6kwwdr</t>
  </si>
  <si>
    <t>RT @RealJamesWoods: After three years of incessant, hysterical pummeling by #Democrats and their cronies in the media, #PresidentTrump has…</t>
  </si>
  <si>
    <t>RT @RealJamesWoods: It is utterly ridiculous. #Democrats have historically been the racists our nation abhors in actual fact. From slavery…</t>
  </si>
  <si>
    <t>RT @RealJamesWoods: Defeat of ISIS, burdensome regulatory relief, border integrity, census integrity, denuclearization of the Korean Penins…</t>
  </si>
  <si>
    <t>RT @PolitixGal: DEMOCRAT PARTY cannot afford to have blacks start to think for themselves. Thank you @RealCandaceO for speaking the truth!…</t>
  </si>
  <si>
    <t>DEMOCRAT PARTY cannot afford to have blacks start to think for themselves. Thank you @RealCandaceO for speaking the truth!
#VoteDemsOUT</t>
  </si>
  <si>
    <t>CANDACE OWENS --&amp;gt; Blacks are ideological slaves and pawns of the Left and Democratic Party. Time to walk away from them. #VoteDemsOUT</t>
  </si>
  <si>
    <t>RT @TomShadilay: Wow, I am so tired of these far alt-right wing media outlets giving platforms to conspiracies about sex traffik.... Wait.…</t>
  </si>
  <si>
    <t>The old adage..."Actions speak louder..." https://t.co/vwd6YRYq7b</t>
  </si>
  <si>
    <t>RT @SebGorka: That is CORRECT. 
According to our Constitution, it’s not the AG or the director of the FBI who are the nation’s chief law e…</t>
  </si>
  <si>
    <t>RT @MarkDice: The Truth About the #ComeyMemos  https://t.co/sGC5EIiUXi https://t.co/57QJtkNG8x</t>
  </si>
  <si>
    <t>RT @MarkDice: I totally get why Trump called Debbie Worcestershire Sauce - Wendy Wasserman Schultz -- she is so insignificant in today's so…</t>
  </si>
  <si>
    <t>RT @MarkDice: The last photo that alleged human trafficker and sex cult leader Allison Mack tweeted is of the Spirit Cooker, and Podesta fr…</t>
  </si>
  <si>
    <t>RT @MarkDice: A conservative black woman is labeled "Far-Right" by Twitter's 'moments' after Kanye West gives her a shout-out.   God forbid…</t>
  </si>
  <si>
    <t>RT @MarkDice: Poor guy got triggered because a black conservative woman got a shout-out by Kanye West.  Can't black women think for themsel…</t>
  </si>
  <si>
    <t>RT @MarkDice: Fact check: True.  It's about black men being 7% of the U.S. population, but committing 50% of the murders, thus encountering…</t>
  </si>
  <si>
    <t>Agree.  A lot of liberals like Alyssa Milano, are dumb as rocks. https://t.co/oC7gYo41Xk</t>
  </si>
  <si>
    <t>RT @MarkDice: No, liberals.  Facts aren't 'racist' no matter how much they hurt your feelings or reflect poorly on your peer group.</t>
  </si>
  <si>
    <t>RT @MarkDice: Someone voices public support for President Trump.  Liberals freakout with so much hate, Shania Twain becomes the number one…</t>
  </si>
  <si>
    <t>RT @MarkDice: I can’t wait to see Twitter CEO @Jack Dorsey grilled by Congress about why he allowed Tom Arnold to sexually harass Candace O…</t>
  </si>
  <si>
    <t>RT @MarkDice: I guess it's okay for Tom Arnold to sexually harass a woman on Twitter if she's a black conservative, right @Jack? https://t.…</t>
  </si>
  <si>
    <t>RT @MarkDice: Liberals Lose Their Minds after Kanye West Endorses Black Trump Supporter 😆  https://t.co/1r6yEtw7uy https://t.co/cRrnlgofMa</t>
  </si>
  <si>
    <t>TOM ARNOLD is a foul-mouthed a-hole, always was. https://t.co/6JP5IcsNPS</t>
  </si>
  <si>
    <t>LEFT are the new Nazis --&amp;gt;
3) Goebbels burned books like Socialists at YouTube are deleting channels.
4) Hitler confiscated guns.
5) Hitler used children for political propaganda, just like Dems.
6) Goebbels censored all media that was threating or dangerous to the nazi regime.</t>
  </si>
  <si>
    <t>FAR LEFTISTS are the new Nazis. They do everything Hitler's brownshirts did:
1) Hitler had "brown-shirts" just like "antifa" that went around beating up people with opposing views.
2) Hitler had rallies to drum up support to take away people's rights.</t>
  </si>
  <si>
    <t>FAR LEFT JOURNALISTS Join Angry Mob - Chase Milo Yiannopoulos from NYC Bar, Chanting: "Nazi Scum Get Out" --&amp;gt; Calling a gay Jew a Nazi shows that leftists zombies have know idea what the word means. https://t.co/uQ7girGRzL</t>
  </si>
  <si>
    <t>FAR LEFT JOURNALISTS Join Angry Mob - Chase Milo Yiannopoulos from NYC Bar, Chanting: "Nazi Scum Get Out" --&amp;gt; Leftists are the ones using NAZI TACTICS! https://t.co/uQ7girGRzL</t>
  </si>
  <si>
    <t>RT @RedPillReport: I’m convinced leftists have no conscience. To me, some things just make sense:
• Abortion feels so wrong
• The #2A prote…</t>
  </si>
  <si>
    <t>RT @my2006bmw: Scott Uehlinger PA Congress seen with Dr. Gorka who has endorsed Scott! Retired USN Commander! Former CIA Station Chief ! De…</t>
  </si>
  <si>
    <t>RT @SKYRIDER4538: #LiberalLogic asks 4 banning objects yet makes excuses 4 the crazies mishandling them!
Ban #2A
Ban #1A
Ban everything t…</t>
  </si>
  <si>
    <t>#IndictComey https://t.co/V06EFX3rbH</t>
  </si>
  <si>
    <t>RT @spartanwarriors: A sublime marble statue in Berlin of the ancient #Greek god, Hermes (Mercury) and the beautiful Psyche (Reinhold Begas…</t>
  </si>
  <si>
    <t>God bless Candace Owens @RealCandaceO  and Kanye West @kanyewest for speaking their minds &amp;amp; not swallowing the pablum fed by Democrat overlords who are trying to keep blacks on the liberal plantation.  It's modern day #Slavery &amp;amp; Kanye &amp;amp; Candace are choosing to be free! https://t.co/0EL8q14X5Q</t>
  </si>
  <si>
    <t>CALIFORNIA has more registered voters than it has residents.  That smells like VOTER FRAUD! Yet California refuses to clean up it's voter rolls of non-citizens &amp;amp; deceased voters.  Time to #VoteDemsOUT in CA!</t>
  </si>
  <si>
    <t>DAVID NUNES SAYS the FBI Russia investigation was not based on any official intel. Sid Blumenthal was giving info from Hillary to the FBI. No official intel was used! It was all a #LiberalHoax</t>
  </si>
  <si>
    <t>RT @RealJamesWoods: This... https://t.co/TRDw8xV7JW</t>
  </si>
  <si>
    <t>RT @RealJamesWoods: What’s the point of vaccinations for our children, when #Democrats enable millions of illegal aliens to violate our bor…</t>
  </si>
  <si>
    <t>POTUS Trump RIPS "Liar and Leaker" James Comey Over Classified Memos AGAIN 'He Broke the Law!' https://t.co/0lBQxhyFOe</t>
  </si>
  <si>
    <t>James Woods Ignites Twitter After He Drops a MOAB on Hillary Clinton https://t.co/QEDSFdHWFH</t>
  </si>
  <si>
    <t>Candace Owens Responds to CNN Hater: "Look It's CNN, I Don't Think Anyone Takes Them Seriously Anymore" (VIDEO) https://t.co/BnO2xiqANk</t>
  </si>
  <si>
    <t>PAY DIRT=&amp;gt; Rep. Nunes: There Was NO OFFICIAL INTELLIGENCE USED When DOJ Started Spying on Trump -- All Politics (VIDEO) https://t.co/ZsqVODprQt</t>
  </si>
  <si>
    <t>Facebook Blocks Prominent Gun Rights Organization.  ZUCKEBERG USES FASCISTS TACTICS TO BLOCK PPL &amp;amp; GROUPS HE DESPISES. https://t.co/dxhVEBKzL5</t>
  </si>
  <si>
    <t>Dirty Cop Mueller Has Yet to Contact Russian Attorney or Wikileaks in Collusion Witch Hunt of Trump https://t.co/jGJhLXJWIW</t>
  </si>
  <si>
    <t>Kanye West Continues to Red-Pill the Masses - Tweets String of Scott Adams Videos https://t.co/7I1wLdIaSf</t>
  </si>
  <si>
    <t>O'Keefe Fires Warning Shot to Corrupt Officials 'Update Your Resumés Because We Are Releasing Videos Next Week' https://t.co/G4CzehaJlv</t>
  </si>
  <si>
    <t>UPDATE: SHE LIED=&amp;gt; MSNBC Crank Joy Reid Says Her Homophobic Posts Were Fabricated -- BUT WAYBACK MACHINE SHOWS IT IN ORIGINAL TEXT https://t.co/IrEOinYS2f</t>
  </si>
  <si>
    <t>TGP's Lucian Wintrich To Speak At University of Illinois, Premiere Art Film "Perils Of An Open Border" On April 27th! https://t.co/yKnMEBac4F</t>
  </si>
  <si>
    <t>"Keep America Great" KANYE WEST 2024 POSTERS Hit Streets of LA, Chicago and New York City ...Updated https://t.co/HSZomcWloB</t>
  </si>
  <si>
    <t>Los Zetas-Linked Human Stash House Raided in Texas, Millions in Drugs Seized https://t.co/XjbA3QTiEB</t>
  </si>
  <si>
    <t>UCSB Students 'Shocked' that Pres Obama Deployed Troops to Border --&amp;gt; Proving students don't know history, are unaware politically &amp;amp; ignorant of current events.  https://t.co/H81Z6n73TK</t>
  </si>
  <si>
    <t>Expert: Venezuela’s Hezbollah-Linked, 'Drug Kingpin' VP 'Runs the Country' https://t.co/RVcxl1IB4d</t>
  </si>
  <si>
    <t>Indiana University Professor Pens Journal Piece on Analingus Practices of Celebrities | Breitbart https://t.co/WV0wG8S2dK</t>
  </si>
  <si>
    <t>More Joy Reid Anti-Gay Writings Discovered -- MSNBC Host Claims Site was Hacked https://t.co/p4LT9pxQl6 via @BreitbartNews</t>
  </si>
  <si>
    <t>Fact Check: The Far Left WaPo Falsely Claims Memos Prove James Comey Did Not Leak Classified Information. #FakeNews https://t.co/zTdgSh3y09</t>
  </si>
  <si>
    <t>AG Sessions Builds Legal Wall Against Caravan's Economic Migrants | Breitbart https://t.co/6T9xiE6QI8</t>
  </si>
  <si>
    <t>First Lady Melania Trump Honors Tradition at First State Dinner but Blazes Trail as Lead Planner https://t.co/3TVsvoy6iN via @BreitbartNews</t>
  </si>
  <si>
    <t>CIA Director, John Brennan, did more than anyone to push the phony dossier around DC.  Was that the purpose when he secretly visited with Russian intel officials in Moscow in March of 2016? #Traitor</t>
  </si>
  <si>
    <t>Obama's CIA director, John Brennan, visited Moscow in March 2016.  He met with Russian intel officials. He was a known hater of Trump.  Was he there to drum up phony intel to use against Trump? #RussianCollusionbyDemocrats #IndictBrennan</t>
  </si>
  <si>
    <t>Our president is brilliant --&amp;gt; Sanctions, plus threat of force, and N. Korea is willing to meet with Trump and denuclearize his country.  Obama would never have attempted anything like this!  Obama was a lazy prez.</t>
  </si>
  <si>
    <t>@EyeVey Excellent point!  I agree.</t>
  </si>
  <si>
    <t>President Trump has accomplished more in his first 15 months than any president in modern American history!  #MAGA #VoteDemsOUT</t>
  </si>
  <si>
    <t>DEMOCRATS have abdicated their role to govern when the only groups they seem to embrace are illegals &amp;amp; snowflakes. They've abandoned the majority of American workers &amp;amp; taxpayers. Who needs them?  #VoteDemsOUT</t>
  </si>
  <si>
    <t>TRIBALISM makes people stupid. Internet Mob mentality reduces leftists to imbeciles (those criticizing Kanye West), those incapable of critical thinking. #LiberalismIsAMentalDisorder</t>
  </si>
  <si>
    <t>DOJ and FBI have no business getting involved in the political process to begin with.  This is Obama's fault --&amp;gt; he made it political when he asked the IRS to go after conservative groups &amp;amp; asked the FBI to protect Hillary. I HATE OBAMA for politicizing law enforcement agencies.</t>
  </si>
  <si>
    <t>COMEY made multiple false statements.  McCABE made multiple false statements. Both these lying creeps deserve to go to jail.  Both felt they were above the law!  Shame on them!</t>
  </si>
  <si>
    <t>Since colleges &amp;amp; universities have lowered standards to qualify academically, it seems leftist professors are more easily able to brainwash less educated students into accepting a 1-world leftist view, fomenting disrespect for free speech &amp;amp; religious freedoms.</t>
  </si>
  <si>
    <t>Academia's Latest Attempt to Censor Conservatives --&amp;gt; Leftist academics do not want to give a platform to any ideas that go against their left-wing agenda.</t>
  </si>
  <si>
    <t>RT @TheNYevening: #Soros Humiliated After Attempt To Rig #Hungarian Election Fails https://t.co/V6HTe5I89S https://t.co/o3lYQLT9BZ</t>
  </si>
  <si>
    <t>College students, instead of learning critical thinking, are fed a pablum of liberal groupthink in order to keep them uninformed &amp;amp; not thinking.</t>
  </si>
  <si>
    <t>I just ordered NYU political scientist  Ian Bremmer's new bestseller --&amp;gt; US v. THEM, THE FAILURE OF GLOBALISM.  
https://t.co/JN6ZDheDFQ</t>
  </si>
  <si>
    <t>RT @w_terrence: BOOM‼️ A Rapper went off on Singer R.Kelly for being a Pedophile and running a Human Trafficking Ring. The interviewer told…</t>
  </si>
  <si>
    <t>RT @ianbremmer: % of population who believe immigration is their country’s biggest issue
2012:
France 12%
Germany 9%
Italy 3%
EU overall…</t>
  </si>
  <si>
    <t>WHAT?  No confiscation of vans or new laws controlling on who is qualified to own and operate a van? https://t.co/9WoFW5ObC2</t>
  </si>
  <si>
    <t>RT @FoxNews: Louisiana teens stop basketball game, kneel 'out of honor' for passing funeral procession https://t.co/zkzbrgDkUy</t>
  </si>
  <si>
    <t>What terrifies Liberals the most? A Black Conservative. 
Kanye West said he likes how Candace Owens think and liberals freak out!</t>
  </si>
  <si>
    <t>Census Bureau:  Immigrants on Welfare Triples, those on Medicaid also triples.</t>
  </si>
  <si>
    <t>RT @AviFollman: Girl, you couldn't even 'protect' stupid debate questions https://t.co/iQVri2Nhqi</t>
  </si>
  <si>
    <t>Immigrants Overburden the American economy.
2007:  4% used food stamps
2017:  12% used food stamps</t>
  </si>
  <si>
    <t>Mass killing hits peaceful, polite Canada.  Canadians always blamed US mass shootings on NRA and gun culture.  What do you blame this attack on?  Poor manners? #Terror #PeopleKill</t>
  </si>
  <si>
    <t>RT @mitchellvii: FOSTA is the most significant anti-trafficking law Congress has passed in nearly 20 years. But it is just the latest of ma…</t>
  </si>
  <si>
    <t>TRUMP doesn't want to start wars or make enemies of the U.S.  He is uniting nations and bringing them to the peace table like no one before him ever has:  Saudis, Japan, N. Korea, UK, Israel.  Trump is the best president we've had in decades! #Winning</t>
  </si>
  <si>
    <t>All foreign leaders want to meet President Trump and do business with the US.  Saudis rolled out the red carpet for him. France &amp;amp; UK joined with Trump to bomb Syria. STUPID MEDIA PRINTING JUST THE OPPOSITE. Trump's Foreign Policy is Winning!  #MAGA</t>
  </si>
  <si>
    <t>RT @w_terrence: https://t.co/jkleVy2PMw</t>
  </si>
  <si>
    <t>Paul backs Pompeo, ensuring confirmation as secretary of state https://t.co/swKORiM8xF via @politico</t>
  </si>
  <si>
    <t>10 dead after van strikes pedestrians in Toronto, suspect identified as Alek Minassian. IT WAS ONLY A MATTER OF TIME B4 CANADA GOT HIT WITH TERRORISM! But will Canadians demand vans be abolished or confiscated? Or will they start to think?  https://t.co/bEcQJIm8Xb</t>
  </si>
  <si>
    <t>RT @kanyewest: new ideas will no longer be condemned by the masses. We are on the frontier of massive change. Starting from breaking out of…</t>
  </si>
  <si>
    <t>LIBERALS have to be the most fu**ed up people on the planet.  LOOK AT THE MESS THEY CREATED ON EARTH DAY &amp;amp; refused to clean up after themselves!  #Hypocrits https://t.co/dPKm7bh7dO</t>
  </si>
  <si>
    <t>RT @gr8tjude: President Trump is our President🇺🇸
Making America Great one day at a time!
I trust Trump more than anyone in Washington!
#Tru…</t>
  </si>
  <si>
    <t>TIME TO leave the liberal plantation, get out of the mental prison that liberals foist onto students, and start thinking for yourselves.  Don't let the LEFT or their hateful media hurl insults at you for being an independent thinker! https://t.co/EgJN30dDDm</t>
  </si>
  <si>
    <t>GOOD RIDDANCE to another Swamp Rat! #DrainTheSwamp https://t.co/yaC0W1BSs0</t>
  </si>
  <si>
    <t>Simply beautiful and gracious! https://t.co/tUeHrzSimQ</t>
  </si>
  <si>
    <t>RT @Thomas1774Paine: VIDEO: Nunes Fingers Hillary Clinton Cartel For Leaking Anti-Trump Intel to Comey, McCabe, FBI to Spy on Trump Campaig…</t>
  </si>
  <si>
    <t>WHY is Mueller getting taped conversations of Trump's conversations with his lawyer?  This is very dangerous ground.</t>
  </si>
  <si>
    <t>Yes!  Get those dangerous vans off the street!  I wouldn't be surprised to see Canadians vote on something so idiotic! https://t.co/1SbMwNd5p4</t>
  </si>
  <si>
    <t>WHAT DOES MICHAEL COHEN have to do with Russia collusion of the 2016 election??? #LiberalismIsAMentalDisorder</t>
  </si>
  <si>
    <t>TRUMP'S foreign policy has been nothing short of spectacular -- from getting along with all world leaders, getting them to pony up from NATO defense dollars, success in Syria strikes, changes in Saudi Arabia et al.</t>
  </si>
  <si>
    <t>LIBERALS live in a Mental Prison - told what to think and when to think it.  The establishment wants to keep the status quo and depends on GROUPTHINK and their Media Nazis to attack any who digress from the Leftist Agenda! https://t.co/aO41IW7fDR</t>
  </si>
  <si>
    <t>RT @kachninja: Thank you @ChrisCoons and @RandPaul for flipping your vote last minute to get Pompeo through committee! #MAGA</t>
  </si>
  <si>
    <t>My hubby &amp;amp; I were planning a trip to London this year -- but have changed our minds.  No plans till Sadiq Khan is out of office.  He is destroying a once great city! #ArrestSadiq https://t.co/sDIBfEFSR3</t>
  </si>
  <si>
    <t>#MAGA https://t.co/WJWkkvVRPw</t>
  </si>
  <si>
    <t>RT @hale_razor: D- https://t.co/V6PJKAwkHk</t>
  </si>
  <si>
    <t>RT @Cernovich: Candace Owens was in Silenced.
Alan Dershowitz was in Silenced.
Scott Adams was in Silenced.
https://t.co/pCO8tN4u5a</t>
  </si>
  <si>
    <t>RT @Pappiness: I saved this tweet from Trump supporter Scott Adams, aka "The Dilbert Guy," for posterity.
It's been 14 months and the only…</t>
  </si>
  <si>
    <t>Thank you to Kanye West, Candace Owens and Scott Adams.  These are free-thinking people! https://t.co/CMuAjlmOa2</t>
  </si>
  <si>
    <t>RT @austin_walker: Kanye and Scott Adams linking up is absolutely the opening of one of the seven seals.</t>
  </si>
  <si>
    <t>RT @2christian: After taking heat for tweeting praise of conservative pundit Candace Owens, Kanye West has doubled down &amp;amp; tweeted a string…</t>
  </si>
  <si>
    <t>Mediaite is part of the LEFTIST MENTAL PRISON they try to force everyone into GROUPTHINK  doesn't work on thinking people. Liberal Nazis are ready to shut down any not complying to the Leftist Mantra. https://t.co/pVxskEbndJ</t>
  </si>
  <si>
    <t>RT @PrisonPlanet: Kanye now tweeting out Scott Adams videos. What a time to be alive. 🤗 https://t.co/bEYI6EsGRl</t>
  </si>
  <si>
    <t>RT @ScottAdamsSays: "Keep America Great" KANYE WEST 2024 POSTERS Hit Streets of LA, Chicago and New York City https://t.co/cV8jAWLylw</t>
  </si>
  <si>
    <t>It's really quite sick how the Liberal Mind Prison thinks! https://t.co/ukL2eyOtDu</t>
  </si>
  <si>
    <t>RT @thebradfordfile: Kanye West is a Scott Adams fan. The prison doors are swinging open--quickly.
Be RED PILLED.
Be MAGA.
Be FREE.</t>
  </si>
  <si>
    <t>Manchin Explains Why He's Supporting Pompeo.  THANK YOU SEN. JOE MANCHIN for letting the Democrat Groupthink Prison tell you how to vote! https://t.co/5Y1q7gAkkx</t>
  </si>
  <si>
    <t>Bill Hicks declared: “Freedom of speech means you support the right of people to say exactly those ideas which you do not agree with”. #FreeSpeech is something the Left Hates!</t>
  </si>
  <si>
    <t>Ayaan Hirsi Ali remarked: “Free speech is the bedrock of liberty and a free society, and yes, it includes the right to blaspheme and offend.” #FreeSpeech</t>
  </si>
  <si>
    <t>Brutal Column By Fired Conservative Writer: When the Mob Came For Me.  The LEFT wants to corral all of us into their MENTAL PRISON of repression.  https://t.co/qJ0VjZTOda</t>
  </si>
  <si>
    <t>Guns Prevent Crime --&amp;gt;&amp;gt; Newly Unearthed Government Data Undermine Anti-Gun Arguments About Self Defense!  https://t.co/1Rh7fguSow</t>
  </si>
  <si>
    <t>Jesus was unique in that he was not confined to the Mental Prison of the times. He thought outside the box, and lived a way in which new possibilities where love and respect was possible for the world.</t>
  </si>
  <si>
    <t>Candice Owen @RealCandaceO is a prime example of critical thinking, of not being bullied into the Liberal Mental Prison of Groupthink, Herd Mentality, Censorship, Big Govt, High Taxes, Unfettered Immigration.</t>
  </si>
  <si>
    <t>A quick Google search suggests that FREE SPEECH is regarded as an important virtue for a functional, enlightened society.  Leftist academics preach the opposite.  They preach censorship.Time to break free of Liberal Mental Prison aka "Groupthink."  Time for critical thinking.</t>
  </si>
  <si>
    <t>According to George Orwell --&amp;gt; “If liberty means anything at all, it means the right to tell people what they do not want to hear.” 
Time to break out of Liberal Groupthink and Leftist Mental Prison! #VoteDemsOUT</t>
  </si>
  <si>
    <t>Here's a list of the 21 books GQ doesn't think we should read anymore &amp;amp; added them to my reading list! Thanks GQ!  --&amp;gt; GQ promoting a brand of censorship, a mental prison of liberal groupthink. https://t.co/9kN8PatfjR</t>
  </si>
  <si>
    <t>RT @Cernovich: Taking away someone’s livelihood for free speech is the same mindset as putting political enemies in gulags.
Those who atta…</t>
  </si>
  <si>
    <t>RT @mike_Zollo: RETWEET if you are sick and tired of Ann Coulter, Mike Cernovich, &amp;amp; Stefan Molyneux acting like they are the leaders of Tru…</t>
  </si>
  <si>
    <t>RT @Cernovich: ABC’s Roseanne revival continued its ratings dominance last week, even beating the season finale of perennial ratings giant…</t>
  </si>
  <si>
    <t>I am gluten free due to a gluten sensitivity and when I try to explain it, people seem surprised that I no longer experience migraines, bloat, &amp;amp; joint pain. They can't handle that I stopped eating bread. https://t.co/kZmfDcRxsD</t>
  </si>
  <si>
    <t>Freedom is good --&amp;gt; 
Freedom of Speech is Good.
Freedom of Religion is Good.
Freedom to Defend Yourself is Good. https://t.co/oNxMrwaudA</t>
  </si>
  <si>
    <t>Pedophilia in govt. https://t.co/EVDL7VHQn3</t>
  </si>
  <si>
    <t>RT @Cernovich: Another mass shooter that the FBI knew about. 
- Omar Mateen known in 2013
- Vegas shooter was FBI asset 
- Parkland shoo…</t>
  </si>
  <si>
    <t>RT @Cernovich: Why does dark state want us to forget about Vegas?</t>
  </si>
  <si>
    <t>WHAT'S SO GREAT ABOUT PRESIDENT TRUMP? He thinks outside the box. He's not confined to the mental prison created by both Establishment Parties --&amp;gt; Tax Cuts, North Korea, Cutting Govt Red Tape --&amp;gt; is all a part of THINKING OUTSIDE THE MENTAL PRISON of govt bureaucracy.</t>
  </si>
  <si>
    <t>NONE of the DOOMSDAY predictions by Paul Erhlich &amp;amp; Leftists since the 1960s have materialized as environmental wackos predicted (wrongly).  Time to escape the Liberal Mental Prison!  #ThinkAbundance</t>
  </si>
  <si>
    <t>Kanye West's tweets support for controversial YouTuber Candace Owens. KANYE ESCAPES DEMOCRATS' MENTAL PRISON by thinking for himself.  https://t.co/wONXAwnX8k</t>
  </si>
  <si>
    <t>RT @KatiePavlich: Thanks for the PSA about why homeschooling is a good idea https://t.co/w3EBIS8Ke7</t>
  </si>
  <si>
    <t>@benshapiro  Listen to Scott Adams talk about "Mental Prisons" and this poignant analysis of "GroupThink" by Neema Parvini. Would love you to address this issue!
https://t.co/kPD3a91PIk</t>
  </si>
  <si>
    <t>Shania attempted to break out of the LIBERAL MENTAL PRISON by saying she wd hv voted for Trump.  But liberal GROUPTHINK NAZIS quickly attacked her for thinking for herself &amp;amp; not subscribing to the Leftist Bullshit Agenda. https://t.co/NiDac2Rerw</t>
  </si>
  <si>
    <t>@ddale8 YOu should have started counting the lies of CLINTONS &amp;amp; OBAMA.  Why start now?  Because you disagree with freedom, free speech and opportunity for all American workers?  Canadians no nothing of what it means to be an American.</t>
  </si>
  <si>
    <t>I've disavowed the foul mouth of Tom Arnold long ago! https://t.co/HF3efAY8qD</t>
  </si>
  <si>
    <t>RT @StefanMolyneux: Bananas are a fairly good source of fiber, which may help with constipation for a news network, which just happens to b…</t>
  </si>
  <si>
    <t>RT @StefanMolyneux: Child ‘Beaten in Unprovoked Attack’, Police Say Not ‘Cost Effective’ to Investigate  https://t.co/xFPVRol8m8</t>
  </si>
  <si>
    <t>@ScottAdamsSays Have you seen and read this article on "Groupthink?" It very much coincides with your "mental prison" arguments. Worth a read. https://t.co/kPD3a91PIk</t>
  </si>
  <si>
    <t>Between 1995 &amp;amp; 2010 viewpoint diversity practically collapsed in most of our higher educational institutions across US, Canada, UK &amp;amp; Australia. #Groupthink
https://t.co/kPD3a91PIk</t>
  </si>
  <si>
    <t>The LEFT's blind allegiance to GROUPTHINK shows how desperate &amp;amp; fascist they are:  
-No diverse opinions allowed w/in the group.
-Dissenters are pressured to think like the group, be silent.
-Majority View is assumed 2B unanimous.
-Mind Guards are appointed to keep ppl in line.</t>
  </si>
  <si>
    <t>FIRE THE BASTARD #DirtyCop now @AGJeffBSessions . https://t.co/LBqNjDfbYH</t>
  </si>
  <si>
    <t>RT @KMGGaryde: OMG! No official intel used to start FBI probe into Trump campaign-Russia collusion: Rep. Nunes. America How can this stand?…</t>
  </si>
  <si>
    <t>#CrazyJoeBiden https://t.co/LX3GyIGxJF</t>
  </si>
  <si>
    <t>RT @SteveHusker: @realDonaldTrump  https://t.co/LCyiHGljnm</t>
  </si>
  <si>
    <t>#MAGA  Trump economic policies working!  #TrumpTaxCuts putting more money into pockets of working Americans and growing jobs! https://t.co/p0aKoIBpD0</t>
  </si>
  <si>
    <t>Love, love, love @realCandaceO https://t.co/pVx0IANGRx</t>
  </si>
  <si>
    <t>#BuildTheWall https://t.co/0RyTFDkU6f</t>
  </si>
  <si>
    <t>RT @Education4Libs: Net worth BEFORE holding public office....
The Obamas — $3 Million
The Clintons — $500,000
The Trumps — $4.5 Billion…</t>
  </si>
  <si>
    <t>Excellent analysis and observation Scott!  #TheGoldenAge
Time to smash the liberal groupthink mental prison that media is bent on perpetuating. https://t.co/AD9M7jqw1g</t>
  </si>
  <si>
    <t>If you think that history doesn't repeat --&amp;gt; then you can become president without ever having been a politician.</t>
  </si>
  <si>
    <t>TRUMP is a person who does not live in a mental prison (where most of the establishment, Democrats &amp;amp; the Media) live. They are trapped into thinking that only politicians should run the country. This is a MENTAL PRISON in which they try to coerce us into believing. #VoteDemsOUT</t>
  </si>
  <si>
    <t>History repeats is an example of a mental prison.  History never repeats, because the variables are always changing.</t>
  </si>
  <si>
    <t>If you live in the Mental Prison that believes history repeats, than a man who has never been a politician cannot become president.  And yet it happened with Trump's election. --S.Adams</t>
  </si>
  <si>
    <t>History does not repeat.  It never repeats.  That's a mental prison elites have created to control us.  Circumstances are always different, the starting pt is always different, even tho events looks similar.</t>
  </si>
  <si>
    <t>We are entering a Golden Age where something big is happening, notes Mike Cernovich &amp;amp; Scott Adams --&amp;gt; People are beginning to break out of their mental prisons; things that used to limit us &amp;amp; our thinking were just psychological.</t>
  </si>
  <si>
    <t>We are entering a Golden Age. Since the election of Trump, we are seeing things that were once thought impossible (e.g. N. Korea)- the old saying that "history repeats" is a false one.  It doesn't.  --Scott Adams</t>
  </si>
  <si>
    <t>RT @joelpollak: “So Comey, at Clapper’s expressed behest, told Trump that @CNN was ‘looking for a news hook’to publish dossier allegations.…</t>
  </si>
  <si>
    <t>RT @Cernovich: Wikileaks is using the Democrats and it’s only April. https://t.co/ubYHhkM8NI</t>
  </si>
  <si>
    <t>RT @ScottAdamsSays: #GoldenAge: There's a science-backed treatment for opioid addiction that works — and the Trump administration could imp…</t>
  </si>
  <si>
    <t>RT @RealCandaceO: Tomorrow morning I am back on @foxandfriends at 9:20amET. We will be discussing my recent clash with Black Lives Matter p…</t>
  </si>
  <si>
    <t>THINK ABOUT IT ---&amp;gt; In the year before the Civil War, the only people owning SLAVES were DEMOCRATS!  Republican President Lincoln was voted in, freed the slaves and was assassinated for it by a Democrat actor!</t>
  </si>
  <si>
    <t>RT @ARedPillReport: Judge Questions Robert Mueller’s Authority to Go After Manafort https://t.co/q7Ag514hLf</t>
  </si>
  <si>
    <t>DEMOCRATS &amp;amp; Hillary voters are furious because they bought into the skewed polls put out by the media, as if they were true -- then blame Trump &amp;amp; Republicans for their loss &amp;amp; their stupidity. #VoteDemsOUT</t>
  </si>
  <si>
    <t>MSM is experiencing cognitive dissonance ever since election night. They pushed an anti-Trump narrative &amp;amp; reported on skewed polls. They believed their own BS &amp;amp; we are now seeing the consequential meltdown of media groupthink. Why?  Because they can't admit they were wrong.</t>
  </si>
  <si>
    <t>"since the twin earthquakes of Brexit &amp;amp; Trump in 2016, which the entire expert class predicted wrongly, how many of those who made such predictions hv suffered a serious loss of reputation for being so stunningly wrong? Did anyone even lose their job? https://t.co/kPD3a91PIk</t>
  </si>
  <si>
    <t>From the USSR to Fidel Castro’s Cuba to Robert Mugabe’s Zimbabwe to Hugo Chavez’s Venezuela, it is difficult to find a despotic regime that did not attract the widespread support of supposed ‘intellectuals’ at the time.</t>
  </si>
  <si>
    <t>Thomas Sowell points out that academics &amp;amp; journalists – unlike army generals, judges or investment portfolio mgrs – have faced ‘little to no consequential feedback when they are wrong, no matter how wrong or for how long.’</t>
  </si>
  <si>
    <t>GROUPTHINK also:
*Puts Direct pressure on dissenters. Members are under pressure not to express arguments against the group’s views.
*Self-censorship. Doubts &amp;amp; deviations from the group consensus are not expressed.
*Illusion of unanimity. The majority view is assumed 3B unanimous</t>
  </si>
  <si>
    <t>Democrats/the Left exhibit signs of GROUPTHINK:
*Illusion of invulnerability. 
*Collective rationalization. 
*Belief in inherent morality. 
*Hold Negative views of the "enemy" (anyone disagreeing w/them).
IT'S WHY WE MUST #VoteDemsOUT</t>
  </si>
  <si>
    <t>THE LEFT ENGAGES IN GROUPTHINK --&amp;gt;Groupthink leads to increased polarisation &amp;amp; a tendency to pull towards extremes because views within the group are repeated routinely, and countervailing views are not heard because they have been shut out.</t>
  </si>
  <si>
    <t>RT @RealJamesWoods: Hmmm... #SpiritCooking #Podesta https://t.co/5R6dG25a04</t>
  </si>
  <si>
    <t>RT @RitaPanahi: That’s one hell of an opening par.👊🏽
 https://t.co/NHaJkU1OWt https://t.co/pyOI8XUwm5</t>
  </si>
  <si>
    <t>For me, stopping eating gluten changed my life.  I got tested as gluten-sensitive &amp;amp; sufferred from migraines, joint stiffness, brain fog, bloating, gas &amp;amp; heartburn. Within 30 days of eliminating GLUTEN, all symptoms disappeared. I haven't had a headache in over 3 yrs! https://t.co/YWgsX3Mm6D</t>
  </si>
  <si>
    <t>Share This If You Don’t Drink And Are Sick Of... https://t.co/K997OW63j5 via @thoughtcatalog</t>
  </si>
  <si>
    <t>RT @Cernovich: Right? Like, “But how will you socialize your kids!” 
As if most schools aren’t kid prisons where dreams go to die. https:/…</t>
  </si>
  <si>
    <t>Joining clubs or doing activities or sports you enjoy was a better way of finding like minded friends.  I joined the Libertarian Party, skied and mountain biked, read a lot and went back to school.  Met lots of great smart people along the way! https://t.co/lCZh3CGkwH</t>
  </si>
  <si>
    <t>I knew teachers like that and they make me sick.  These kinds of people should never be around children.  They are a danger to society. https://t.co/LHjm3i7fp7</t>
  </si>
  <si>
    <t>RT @MarkDice: How many black men shot each other in Chicago this weekend?  At least eight on Sunday afternoon alone.  I haven't tallied the…</t>
  </si>
  <si>
    <t>RT @FoxNews: .@RealCandaceOwens, communications director for @TPUSA, said she believes an "ideological civil war" is happening with African…</t>
  </si>
  <si>
    <t>RT @hredriders: When I first saw this picture I was very moved! It says it all! Mr President Donald J. Trump this is how we see you and how…</t>
  </si>
  <si>
    <t>#LiberalismIsAMentalDisorder
#VoteDemsOUT https://t.co/CbWvpM2XDD</t>
  </si>
  <si>
    <t>RT @realDonaldTrump: Thank you to the incredible Law Enforcement Officers from the Palm Beach County Sheriff’s Office. They keep us safe an…</t>
  </si>
  <si>
    <t>RT @The_Trump_Train: First, Kanye praised Candace Owens. Now, Shania Twain says she would have voted for Trump... People are waking up to t…</t>
  </si>
  <si>
    <t>@cher Nobody cares what you think. https://t.co/oB6fXjw6Zs</t>
  </si>
  <si>
    <t>RT @CharlieDaniels: The democratic party is suing, Karl Marx, Groucho Marx, Harpo Marx, Vladimir Lenin, John Lenin, the Lennon Sisters, the…</t>
  </si>
  <si>
    <t>FBI leadership (Comey, McCabe, Strzok, Page, Yates et al.) all worked against Trump.  These hacks are supposed to be unbiased. But they accountable to no one.  It's not a good idea to keep people like this working for the govt. They act as if they are above the law. #Jail</t>
  </si>
  <si>
    <t>RT @wikileaks: An in-depth interview with lawyer Jennifer Robinson (@suigenerisjen) 
On @JulianAssange, free speech, human rights and her w…</t>
  </si>
  <si>
    <t>RT @DiEM_25: "Julian lives in us. He lives through us and he's fighting for us. So yes, you are all guilty if you don't do something. Julia…</t>
  </si>
  <si>
    <t>RT @wikileaks: The Democrats are suing @WikiLeaks and @JulianAssange for revealing how the DNC rigged the Democratic primaries. Help us cou…</t>
  </si>
  <si>
    <t>Dick Morris: COMEY MEMOS show nothing and vindicate Trump completely. Comey &amp;amp; McCabe are now the subject of DOJ investigations.  --&amp;gt; Good thing both of these treasonous characters were fired. #DrainTheSwamp</t>
  </si>
  <si>
    <t>RT @w_terrence: What if I get suspended from Twitter and Facebook? How will we stay in touch? If you follow me can you PLEASE subscribe jus…</t>
  </si>
  <si>
    <t>RT @JulianAssange: Julian Assange has been gagged and isolated from visitors and communications after heightened pressure. This is on top o…</t>
  </si>
  <si>
    <t>Donovan to propose bill that targets sanctuary city funding https://t.co/aM2G39djhn via @nypost</t>
  </si>
  <si>
    <t>Ex-Trump adviser Carter Page:  Released memo is vindication.  It proves the COMEY WAS AND IS A LIAR!  https://t.co/1H3eSZGnKb</t>
  </si>
  <si>
    <t>Yet another way Obama's spies apparently exploited the Trump 'dossier.'  #VoteDemsOUT  https://t.co/npowX0EHcl via @nypost</t>
  </si>
  <si>
    <t>Cutting welfare to illegal aliens would pay for Trump's wall.  #BuildTheWall  https://t.co/5I2F1BiAlt via @nypost</t>
  </si>
  <si>
    <t>Obama bureaucracy left our private data more vulnerable than ever.  https://t.co/nHt8IZxsrN via @nypost</t>
  </si>
  <si>
    <t>Democrats are getting desperate as Mueller stalls.  Time to #VoteDemsOUT  https://t.co/RD3YWDUnTP via @nypost</t>
  </si>
  <si>
    <t>@cher Hillary Clinton deserved to lose.  Now James Comey has singlehandedly destroyed the reputation of the FBI, corrupting several of its members to do Hillary's bidding. Shame on all of them for violating ethics and the Constitution!</t>
  </si>
  <si>
    <t>@cher Leftists like yourself are the con artists.  We want freedom, limited government, lower taxes, less regulation.  Those are the principles America was founded on, not a corrupt press or presidents &amp;amp; candidate that lie, like Obama &amp;amp; Hillary. Good she lost.</t>
  </si>
  <si>
    <t>Leftist Democrats are destroying the nation. Obama &amp;amp; his lying crooks at the DOJ &amp;amp; FBI tried to rig an election.  Media prints nothing but lies.  Time to clean up the mess!  #MAGA #Trump2020 https://t.co/6s6fj6igFo</t>
  </si>
  <si>
    <t>Marijuana Cultivation IS Damaging California's Water Supply | Breitbart https://t.co/SuODOza1Qs</t>
  </si>
  <si>
    <t>James Shaw Jr. Identified as 'Hero' Who Took Away Waffle House Attacker's Rifle | Breitbart https://t.co/2fIZKzpbFj</t>
  </si>
  <si>
    <t>I STAND WITH TRUMP in making America safe and prosperous once again!  #MAGA #VoteDemsOUT</t>
  </si>
  <si>
    <t>DEMOCRATS are the party of Slavery, the KKK, lynchings, and segregation.  Who would want to be a part of a hateful party like that?
#VoteDemsOUT</t>
  </si>
  <si>
    <t>Says the fat professor who has never worked an honest day in her life.
#VoteDemsOUT https://t.co/PV0CeGPnOh</t>
  </si>
  <si>
    <t>RT @battleofever: Loretta Lynch used an alias while conducting DOJ business.
What?!? https://t.co/9u0iKwf5Db</t>
  </si>
  <si>
    <t>RT @MaureenShilaly: Students Bash Trump&amp;amp;#8217;s Border Patrol Decision, Silenced After Learning Obama Did the Same Thing https://t.co/getZK…</t>
  </si>
  <si>
    <t>RT @alozras411: “Funny how all the Pundits that couldn’t come close to making a deal on North Korea are now all over the place telling me h…</t>
  </si>
  <si>
    <t>DEMS &amp;amp; Hillary voters are furious because they bought into the skewed polls put out by the media, as if they were true -- then blame Trump &amp;amp; Republicans for their loss &amp;amp; their stupidity. #VoteDemsOUT</t>
  </si>
  <si>
    <t>RT @aaronjcarpenter: I am truly honored to announce that I have been chosen to be an intern for US Congressman Jim Jordan this summer in Oh…</t>
  </si>
  <si>
    <t>RT @mitchellvii: Trump is achieving so many great things for America, one really has to wonder about the agenda of those who claim he is "d…</t>
  </si>
  <si>
    <t>RT @mitchellvii: The #DemocratParty has become the opposite of the movie, "Liar, Liar." Only in their version, they were cursed and can't t…</t>
  </si>
  <si>
    <t>It's why every thinking person knows that #LiberalismIsAMentalDisorder
#VoteDemsOut https://t.co/cRMepYyi9w</t>
  </si>
  <si>
    <t>RT @PolitixGal: Erin Cruz for Senate!  #BeatDianneFeinstein #ErinCruzUSSenateCA https://t.co/MRMnbYmEzB</t>
  </si>
  <si>
    <t>RT @AmericasDrum: @DrMickLethal @Germantownrunne @sheilasheila58 @BlueelvisEric @1shawnster @OrtaineDevian @GeanineC @kstewskisAZ @chetbtes…</t>
  </si>
  <si>
    <t>RT @netanyahu: Thank you to all our friends around the world who illuminated buildings in blue and white in honor of Israel’s Independence…</t>
  </si>
  <si>
    <t>#MAGA #AmericaFirst #Trump2020
#VoteDemsOUT https://t.co/qilA24eb0j</t>
  </si>
  <si>
    <t>Erin Cruz for Senate!  #BeatDianneFeinstein #ErinCruzUSSenateCA https://t.co/MRMnbYmEzB</t>
  </si>
  <si>
    <t>RT @greta: PS..I would not have indicted Martha Stewart either. That would have been my prosecutorial judgment. She was investigated for in…</t>
  </si>
  <si>
    <t>RT @exposeliberals: Waffle House shooter arrested at White House in 2017 (anti-Trump leftist) https://t.co/VGEZzPRwua #tcot #tlot #maga htt…</t>
  </si>
  <si>
    <t>#DumpRosenstein  or better yet --&amp;gt; he should resign. https://t.co/PaYwChzGx1</t>
  </si>
  <si>
    <t>Good for him! #MAGA #Winning #Trump2020 https://t.co/0EcP3jXZNR</t>
  </si>
  <si>
    <t>About time! Why is Mueller investigating things not related to the 2016 election? https://t.co/f64ccp8IUh</t>
  </si>
  <si>
    <t>Under attack, the FBI becomes a partisan battleground.  Comey, McCabe destroyed the FBI when they protected Hillary Clinton.  They are partisan hacks, lying sacks of shit! #Prison</t>
  </si>
  <si>
    <t>RT @SharylAttkisson: Another shooter who was on FBI (and Secret Service) radar prior to the shooting. If we can't figure out who the real r…</t>
  </si>
  <si>
    <t>RT @RealJamesWoods: Can anyone imagine the group orgasm the liberal media would have had, if this amazing proclamation had been made by Oba…</t>
  </si>
  <si>
    <t>RT @Trey_VonDinkis: #LeftistTerrorism #LeftistSedition #Illegals #DACA #MS13
.
.
🏰SANCTUARY CALIFORNIA - MORE CA PEOPLE MOVING TO TRUMP :…</t>
  </si>
  <si>
    <t>RT @alozras411: 💥Please Retweet💥 If you believe The CORRUPT #Democrats will be prosecuted and incarcerated and the #FakeNewsMedia will be E…</t>
  </si>
  <si>
    <t>THINK ABOUT IT ---&amp;gt;&amp;gt;&amp;gt; In the year before the Civil War, the only people owning SLAVES were DEMOCRATS!  Republican President Lincoln was voted in, freed the slaves and was assasinated for it by a Democrat actor!</t>
  </si>
  <si>
    <t>Comey &amp;amp; McCabe are two corrupt FBI officials that prove only one thing --&amp;gt; power corrupts.  These are non-elected, appointed bureaucrats who thought they were above the law &amp;amp; could help Hillary win the election! They were supposed to be non-partisan! Shameful!</t>
  </si>
  <si>
    <t>RT @SharylAttkisson: Our viewership is up another 30%+ over last year. #ThankYou @FullMeasureNews (Catch us Sunday and see what you have be…</t>
  </si>
  <si>
    <t>RT @realDonaldTrump: James Comey’s Memos are Classified, I did not Declassify them. They belong to our Government! Therefore, he broke the…</t>
  </si>
  <si>
    <t>RT @kwilli1046: The #DNC lawsuit against the #Trump campaign, Russia, WikiLeaks founder Julian Assange and others is a political stunt. If…</t>
  </si>
  <si>
    <t>RT @wikileaks: Democrats have gone all Scientology against @WikiLeaks. We read the DNC lawsuit. Its primary claim against @WikiLeaks is tha…</t>
  </si>
  <si>
    <t>RT @RealEagleWings: .@michellemalkin thoughts on DNC suing Team Trump, Russia, Wikileaks 
This lawsuit is a very cynically and expediently…</t>
  </si>
  <si>
    <t>RT @wikileaks: @TheDemocrats We're counter suing you for fun -- and also because you're lame. "Voters! WikiLeaks took away our right to lie…</t>
  </si>
  <si>
    <t>DEPOSE THE WHOLE ROTTEN BUNCH of Libtards.
#VoteDemsOUT and #ArrestHillary https://t.co/9efuGf69Di</t>
  </si>
  <si>
    <t>Morrissey Backs Sharia Watch Chief's 'For Britain' Party: 'Labour and Tories Have Sold You Down the River' | Breitbart https://t.co/yCSaV30Avl</t>
  </si>
  <si>
    <t>Delingpole: Progressives' Heads Explode as Morrissey Praises Brexit, Attacks Halal Meat https://t.co/ZjP2iKD48v</t>
  </si>
  <si>
    <t>Diamond and Silk to Testify Before House Judiciary Committee over Facebook Censorship | Breitbart https://t.co/lSHOXf8gwq</t>
  </si>
  <si>
    <t>Pompeo Discussed American Prisoners with Kim Jong-Un in Surprise Easter Meeting https://t.co/Yoz9BfL1vm</t>
  </si>
  <si>
    <t>Kanye West Praises Conservative Firebrand Candace Owens saying he loves how she thinks. Roseanne replied "Bingo." https://t.co/NCj3ndqtGZ</t>
  </si>
  <si>
    <t>Comedian Who Asked for Free Starbucks Coffee as 'Reparations for Racism': I'm Tired of Liberals Victimizing Blacks | Breitbart https://t.co/GUEESIF2Pl</t>
  </si>
  <si>
    <t>Fact Check: WaPo Falsely Claims Memos Prove James Comey Did Not Leak Classified Information . WAPO IS JEFF BEZOS &amp;amp; HE IS A LYING SOB!  #BoycottWAPO #BoycottAmazon https://t.co/zTdgSh3y09</t>
  </si>
  <si>
    <t>Unpublished CDC Study Confirms over 2 Million Annual Defensive Gun Uses.  Over 2 million lives were saved because someone used a gun to defend themselves &amp;amp; their loved ones. #2A #NRA https://t.co/8HUVaGXyqf</t>
  </si>
  <si>
    <t>Trump Tax Reform Is Already Fueling State Growth!  #MAGA #Winning
 https://t.co/22RX5dew3u</t>
  </si>
  <si>
    <t>A new rept released Tuesday by the American Legislative Exchange Council  found that closed loopholes &amp;amp; deductions at the federal level are resulting in increased revenue at the state level, which when invested properly could provide for greater economic dividends down the line.</t>
  </si>
  <si>
    <t>TAX CUTS WORK!  @SenFeinstein @NancyPelosi @SenKamalaHarris  You Democrats don't want to see American workers and American businesses succeed.  You people need to go away. Resign. Shame on you &amp;amp; your hate! https://t.co/yzVZpnbsBq</t>
  </si>
  <si>
    <t>RT @RealJamesWoods: Oh. This is going to be more fun than Disneyland when you were a kid!   https://t.co/oBbTdYanW0</t>
  </si>
  <si>
    <t>Dumb &amp;amp; Dumber!  Love it! https://t.co/0CfL5shZpd</t>
  </si>
  <si>
    <t>Gorka: audience was asked to think about how, under President Barack Obama, the government determined which sex can use which bathroom “and that boys could shower with girls if they felt they were a girl.”</t>
  </si>
  <si>
    <t>“We as a country have been frozen over for the last 30 yrs. There’s a massive, thick layer of permafrost, which was called Political Correctness … in media, education, in politics, even some parts of business,” Gorka told 200 grassroots groups.  https://t.co/k0utUzWGGk</t>
  </si>
  <si>
    <t>RT @w_terrence: Thanks for having me on and sharing my story! Court case coming soon 
•Terrence Williams Vs Facebook Inc •
Can’t stop won…</t>
  </si>
  <si>
    <t>Fearing Chaos, National Democrats Plunge Into Midterm Primary Fights - They don't know their ass from a hole in the ground! #VoteDemsOUT https://t.co/6Lyt5MkGFv</t>
  </si>
  <si>
    <t>Fresno State's Randa Jarrar: I Hate the White Patriarchy but I Still Suck White D*ck 
 --&amp;gt; WHO WOULD EVEN GO NEAR HER? https://t.co/VTSSvOq98z</t>
  </si>
  <si>
    <t>FIRE to Fresno State: The First Amendment Doesn't Have a 'Disrespectful' Exception | Breitbart https://t.co/7WEuRxMQoX</t>
  </si>
  <si>
    <t>CALIFORNIA'S water supply is suffering serious degradation from the 99% of Unlicensed Marijuana Cultivators that remain unlicensed to avoid taxes &amp;amp; environmental regulation. https://t.co/Cj9RIR3LDb</t>
  </si>
  <si>
    <t>Marijuana Cultivation Damaging California Water Supply | Breitbart https://t.co/SuODOza1Qs</t>
  </si>
  <si>
    <t>Exclusive – Harmeet Dhillon: Silicon Valley ‘Actively Trying to Blacklist’ Conservatives ‘Through Some Hiring Engines’ https://t.co/DapXJc6xOv</t>
  </si>
  <si>
    <t>RT @kanyewest: I love the way Candace Owens thinks</t>
  </si>
  <si>
    <t>Kanye West Praises Conservative Firebrand Candace Owens!  THANK YOU KANYE! https://t.co/NCj3ndqtGZ</t>
  </si>
  <si>
    <t>ABC News Cuts Off Comey Criticism of Obama's Actions During Clinton Investigation https://t.co/dLntjU38E8</t>
  </si>
  <si>
    <t>Bernie Sanders: 'Trump Agenda Is Dead' if Democrats Win Majority in 2018 https://t.co/cvk6uVxISc via @BreitbartNews</t>
  </si>
  <si>
    <t>Facebook and Google don’t show us what we want.  THEY ARE PLAYING GOD AND CENSORING YOUR CONTENT. They show us what they want you to see. They are out of control and accountable to no one! ISN'T IT TIME TO STOP THESE LEFTIST FASCISTS???</t>
  </si>
  <si>
    <t>Facebook and Google lied to us --&amp;gt; They said they would protect our personal information, but for years, they’ve stolen everything we do online and sold it to political campaigns and advertisers to abuse it.</t>
  </si>
  <si>
    <t>Irvine Man Charged With Anti-Semitic Hate Crimes After Being Turned In By Family Member https://t.co/xaQDgPRL1q</t>
  </si>
  <si>
    <t>'Smallville' actress Allison Mack pleads not guilty to sex trafficking https://t.co/LDQWHSjSAm via @pagesix</t>
  </si>
  <si>
    <t>#ArrestHillary
#VoteDemsOUT https://t.co/K4YLDXDHWX</t>
  </si>
  <si>
    <t>Former AG Mukasey says that the most damaging thing that James Comey did while at the FBI was how he mis-handled the Clinton Email Investigation, all to protect Hillary &amp;amp; Obama.</t>
  </si>
  <si>
    <t>#MyPresident https://t.co/IGzp5UyQ4V</t>
  </si>
  <si>
    <t>RT @_YvonneBurton: Developing: Obama CIA Chief John Brennan Made Secret Visit to Russia Around Same Time as Fusion GPS Produced anti-Trump…</t>
  </si>
  <si>
    <t>RT @consmover: Are the Democrats so ignorant that they didn't take into consideration that in suing Trump, Russia, and Wikileaks law enforc…</t>
  </si>
  <si>
    <t>COMEY &amp;amp; McCABE are proof that FBI is not an unbiased, apolitical actor, but quite the opposite.  Comey wrote his book and doing book tour because he is politically motivated, harbors animus towards our president and has an axe to grind.  #FBIscumbags</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</si>
</sst>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201"/>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HYPERLINK("http://www.twitter.com/NathanBLawrence/status/998963759694594048", "998963759694594048")</f>
        <v/>
      </c>
      <c r="B2" s="2" t="n">
        <v>43242.68627314815</v>
      </c>
      <c r="C2" t="n">
        <v>4</v>
      </c>
      <c r="D2" t="n">
        <v>4</v>
      </c>
      <c r="E2" t="s">
        <v>13</v>
      </c>
      <c r="F2" t="s"/>
      <c r="G2" t="s"/>
      <c r="H2" t="s"/>
      <c r="I2" t="s"/>
      <c r="J2" t="n">
        <v>0.751</v>
      </c>
      <c r="K2" t="n">
        <v>0.105</v>
      </c>
      <c r="L2" t="n">
        <v>0.6850000000000001</v>
      </c>
      <c r="M2" t="n">
        <v>0.211</v>
      </c>
    </row>
    <row r="3" spans="1:13">
      <c r="A3" s="1">
        <f>HYPERLINK("http://www.twitter.com/NathanBLawrence/status/998963198312136704", "998963198312136704")</f>
        <v/>
      </c>
      <c r="B3" s="2" t="n">
        <v>43242.68472222222</v>
      </c>
      <c r="C3" t="n">
        <v>0</v>
      </c>
      <c r="D3" t="n">
        <v>723</v>
      </c>
      <c r="E3" t="s">
        <v>14</v>
      </c>
      <c r="F3">
        <f>HYPERLINK("http://pbs.twimg.com/media/DdxAE5zVQAATi_e.jpg", "http://pbs.twimg.com/media/DdxAE5zVQAATi_e.jpg")</f>
        <v/>
      </c>
      <c r="G3" t="s"/>
      <c r="H3" t="s"/>
      <c r="I3" t="s"/>
      <c r="J3" t="n">
        <v>-0.7269</v>
      </c>
      <c r="K3" t="n">
        <v>0.225</v>
      </c>
      <c r="L3" t="n">
        <v>0.775</v>
      </c>
      <c r="M3" t="n">
        <v>0</v>
      </c>
    </row>
    <row r="4" spans="1:13">
      <c r="A4" s="1">
        <f>HYPERLINK("http://www.twitter.com/NathanBLawrence/status/998961795015491586", "998961795015491586")</f>
        <v/>
      </c>
      <c r="B4" s="2" t="n">
        <v>43242.68085648148</v>
      </c>
      <c r="C4" t="n">
        <v>4</v>
      </c>
      <c r="D4" t="n">
        <v>1</v>
      </c>
      <c r="E4" t="s">
        <v>15</v>
      </c>
      <c r="F4" t="s"/>
      <c r="G4" t="s"/>
      <c r="H4" t="s"/>
      <c r="I4" t="s"/>
      <c r="J4" t="n">
        <v>0.4246</v>
      </c>
      <c r="K4" t="n">
        <v>0.081</v>
      </c>
      <c r="L4" t="n">
        <v>0.755</v>
      </c>
      <c r="M4" t="n">
        <v>0.163</v>
      </c>
    </row>
    <row r="5" spans="1:13">
      <c r="A5" s="1">
        <f>HYPERLINK("http://www.twitter.com/NathanBLawrence/status/998961257825759232", "998961257825759232")</f>
        <v/>
      </c>
      <c r="B5" s="2" t="n">
        <v>43242.679375</v>
      </c>
      <c r="C5" t="n">
        <v>2</v>
      </c>
      <c r="D5" t="n">
        <v>1</v>
      </c>
      <c r="E5" t="s">
        <v>16</v>
      </c>
      <c r="F5" t="s"/>
      <c r="G5" t="s"/>
      <c r="H5" t="s"/>
      <c r="I5" t="s"/>
      <c r="J5" t="n">
        <v>0.3923</v>
      </c>
      <c r="K5" t="n">
        <v>0.098</v>
      </c>
      <c r="L5" t="n">
        <v>0.72</v>
      </c>
      <c r="M5" t="n">
        <v>0.183</v>
      </c>
    </row>
    <row r="6" spans="1:13">
      <c r="A6" s="1">
        <f>HYPERLINK("http://www.twitter.com/NathanBLawrence/status/998960813309227015", "998960813309227015")</f>
        <v/>
      </c>
      <c r="B6" s="2" t="n">
        <v>43242.67814814814</v>
      </c>
      <c r="C6" t="n">
        <v>7</v>
      </c>
      <c r="D6" t="n">
        <v>2</v>
      </c>
      <c r="E6" t="s">
        <v>17</v>
      </c>
      <c r="F6" t="s"/>
      <c r="G6" t="s"/>
      <c r="H6" t="s"/>
      <c r="I6" t="s"/>
      <c r="J6" t="n">
        <v>-0.3612</v>
      </c>
      <c r="K6" t="n">
        <v>0.077</v>
      </c>
      <c r="L6" t="n">
        <v>0.923</v>
      </c>
      <c r="M6" t="n">
        <v>0</v>
      </c>
    </row>
    <row r="7" spans="1:13">
      <c r="A7" s="1">
        <f>HYPERLINK("http://www.twitter.com/NathanBLawrence/status/998958549614051328", "998958549614051328")</f>
        <v/>
      </c>
      <c r="B7" s="2" t="n">
        <v>43242.67189814815</v>
      </c>
      <c r="C7" t="n">
        <v>4</v>
      </c>
      <c r="D7" t="n">
        <v>1</v>
      </c>
      <c r="E7" t="s">
        <v>18</v>
      </c>
      <c r="F7" t="s"/>
      <c r="G7" t="s"/>
      <c r="H7" t="s"/>
      <c r="I7" t="s"/>
      <c r="J7" t="n">
        <v>0.3182</v>
      </c>
      <c r="K7" t="n">
        <v>0</v>
      </c>
      <c r="L7" t="n">
        <v>0.927</v>
      </c>
      <c r="M7" t="n">
        <v>0.073</v>
      </c>
    </row>
    <row r="8" spans="1:13">
      <c r="A8" s="1">
        <f>HYPERLINK("http://www.twitter.com/NathanBLawrence/status/998958166275575809", "998958166275575809")</f>
        <v/>
      </c>
      <c r="B8" s="2" t="n">
        <v>43242.67084490741</v>
      </c>
      <c r="C8" t="n">
        <v>3</v>
      </c>
      <c r="D8" t="n">
        <v>2</v>
      </c>
      <c r="E8" t="s">
        <v>19</v>
      </c>
      <c r="F8" t="s"/>
      <c r="G8" t="s"/>
      <c r="H8" t="s"/>
      <c r="I8" t="s"/>
      <c r="J8" t="n">
        <v>0</v>
      </c>
      <c r="K8" t="n">
        <v>0</v>
      </c>
      <c r="L8" t="n">
        <v>1</v>
      </c>
      <c r="M8" t="n">
        <v>0</v>
      </c>
    </row>
    <row r="9" spans="1:13">
      <c r="A9" s="1">
        <f>HYPERLINK("http://www.twitter.com/NathanBLawrence/status/998957700716183552", "998957700716183552")</f>
        <v/>
      </c>
      <c r="B9" s="2" t="n">
        <v>43242.66956018518</v>
      </c>
      <c r="C9" t="n">
        <v>2</v>
      </c>
      <c r="D9" t="n">
        <v>0</v>
      </c>
      <c r="E9" t="s">
        <v>20</v>
      </c>
      <c r="F9" t="s"/>
      <c r="G9" t="s"/>
      <c r="H9" t="s"/>
      <c r="I9" t="s"/>
      <c r="J9" t="n">
        <v>0</v>
      </c>
      <c r="K9" t="n">
        <v>0</v>
      </c>
      <c r="L9" t="n">
        <v>1</v>
      </c>
      <c r="M9" t="n">
        <v>0</v>
      </c>
    </row>
    <row r="10" spans="1:13">
      <c r="A10" s="1">
        <f>HYPERLINK("http://www.twitter.com/NathanBLawrence/status/998957549301846016", "998957549301846016")</f>
        <v/>
      </c>
      <c r="B10" s="2" t="n">
        <v>43242.66914351852</v>
      </c>
      <c r="C10" t="n">
        <v>2</v>
      </c>
      <c r="D10" t="n">
        <v>3</v>
      </c>
      <c r="E10" t="s">
        <v>21</v>
      </c>
      <c r="F10" t="s"/>
      <c r="G10" t="s"/>
      <c r="H10" t="s"/>
      <c r="I10" t="s"/>
      <c r="J10" t="n">
        <v>0.3004</v>
      </c>
      <c r="K10" t="n">
        <v>0.144</v>
      </c>
      <c r="L10" t="n">
        <v>0.64</v>
      </c>
      <c r="M10" t="n">
        <v>0.215</v>
      </c>
    </row>
    <row r="11" spans="1:13">
      <c r="A11" s="1">
        <f>HYPERLINK("http://www.twitter.com/NathanBLawrence/status/998957197869531136", "998957197869531136")</f>
        <v/>
      </c>
      <c r="B11" s="2" t="n">
        <v>43242.6681712963</v>
      </c>
      <c r="C11" t="n">
        <v>0</v>
      </c>
      <c r="D11" t="n">
        <v>0</v>
      </c>
      <c r="E11" t="s">
        <v>22</v>
      </c>
      <c r="F11" t="s"/>
      <c r="G11" t="s"/>
      <c r="H11" t="s"/>
      <c r="I11" t="s"/>
      <c r="J11" t="n">
        <v>0.1779</v>
      </c>
      <c r="K11" t="n">
        <v>0</v>
      </c>
      <c r="L11" t="n">
        <v>0.876</v>
      </c>
      <c r="M11" t="n">
        <v>0.124</v>
      </c>
    </row>
    <row r="12" spans="1:13">
      <c r="A12" s="1">
        <f>HYPERLINK("http://www.twitter.com/NathanBLawrence/status/998957100578492416", "998957100578492416")</f>
        <v/>
      </c>
      <c r="B12" s="2" t="n">
        <v>43242.6679050926</v>
      </c>
      <c r="C12" t="n">
        <v>0</v>
      </c>
      <c r="D12" t="n">
        <v>2</v>
      </c>
      <c r="E12" t="s">
        <v>23</v>
      </c>
      <c r="F12" t="s"/>
      <c r="G12" t="s"/>
      <c r="H12" t="s"/>
      <c r="I12" t="s"/>
      <c r="J12" t="n">
        <v>0</v>
      </c>
      <c r="K12" t="n">
        <v>0</v>
      </c>
      <c r="L12" t="n">
        <v>1</v>
      </c>
      <c r="M12" t="n">
        <v>0</v>
      </c>
    </row>
    <row r="13" spans="1:13">
      <c r="A13" s="1">
        <f>HYPERLINK("http://www.twitter.com/NathanBLawrence/status/998957077107113986", "998957077107113986")</f>
        <v/>
      </c>
      <c r="B13" s="2" t="n">
        <v>43242.66783564815</v>
      </c>
      <c r="C13" t="n">
        <v>0</v>
      </c>
      <c r="D13" t="n">
        <v>1281</v>
      </c>
      <c r="E13" t="s">
        <v>24</v>
      </c>
      <c r="F13" t="s"/>
      <c r="G13" t="s"/>
      <c r="H13" t="s"/>
      <c r="I13" t="s"/>
      <c r="J13" t="n">
        <v>0.6124000000000001</v>
      </c>
      <c r="K13" t="n">
        <v>0</v>
      </c>
      <c r="L13" t="n">
        <v>0.783</v>
      </c>
      <c r="M13" t="n">
        <v>0.217</v>
      </c>
    </row>
    <row r="14" spans="1:13">
      <c r="A14" s="1">
        <f>HYPERLINK("http://www.twitter.com/NathanBLawrence/status/998957000305266688", "998957000305266688")</f>
        <v/>
      </c>
      <c r="B14" s="2" t="n">
        <v>43242.66762731481</v>
      </c>
      <c r="C14" t="n">
        <v>12</v>
      </c>
      <c r="D14" t="n">
        <v>5</v>
      </c>
      <c r="E14" t="s">
        <v>25</v>
      </c>
      <c r="F14" t="s"/>
      <c r="G14" t="s"/>
      <c r="H14" t="s"/>
      <c r="I14" t="s"/>
      <c r="J14" t="n">
        <v>-0.4767</v>
      </c>
      <c r="K14" t="n">
        <v>0.141</v>
      </c>
      <c r="L14" t="n">
        <v>0.8070000000000001</v>
      </c>
      <c r="M14" t="n">
        <v>0.052</v>
      </c>
    </row>
    <row r="15" spans="1:13">
      <c r="A15" s="1">
        <f>HYPERLINK("http://www.twitter.com/NathanBLawrence/status/998956712274026496", "998956712274026496")</f>
        <v/>
      </c>
      <c r="B15" s="2" t="n">
        <v>43242.6668287037</v>
      </c>
      <c r="C15" t="n">
        <v>1</v>
      </c>
      <c r="D15" t="n">
        <v>0</v>
      </c>
      <c r="E15" t="s">
        <v>26</v>
      </c>
      <c r="F15" t="s"/>
      <c r="G15" t="s"/>
      <c r="H15" t="s"/>
      <c r="I15" t="s"/>
      <c r="J15" t="n">
        <v>0</v>
      </c>
      <c r="K15" t="n">
        <v>0</v>
      </c>
      <c r="L15" t="n">
        <v>1</v>
      </c>
      <c r="M15" t="n">
        <v>0</v>
      </c>
    </row>
    <row r="16" spans="1:13">
      <c r="A16" s="1">
        <f>HYPERLINK("http://www.twitter.com/NathanBLawrence/status/998817440912965632", "998817440912965632")</f>
        <v/>
      </c>
      <c r="B16" s="2" t="n">
        <v>43242.28251157407</v>
      </c>
      <c r="C16" t="n">
        <v>1</v>
      </c>
      <c r="D16" t="n">
        <v>2</v>
      </c>
      <c r="E16" t="s">
        <v>27</v>
      </c>
      <c r="F16" t="s"/>
      <c r="G16" t="s"/>
      <c r="H16" t="s"/>
      <c r="I16" t="s"/>
      <c r="J16" t="n">
        <v>0.128</v>
      </c>
      <c r="K16" t="n">
        <v>0.143</v>
      </c>
      <c r="L16" t="n">
        <v>0.6879999999999999</v>
      </c>
      <c r="M16" t="n">
        <v>0.169</v>
      </c>
    </row>
    <row r="17" spans="1:13">
      <c r="A17" s="1">
        <f>HYPERLINK("http://www.twitter.com/NathanBLawrence/status/998817161450668033", "998817161450668033")</f>
        <v/>
      </c>
      <c r="B17" s="2" t="n">
        <v>43242.28174768519</v>
      </c>
      <c r="C17" t="n">
        <v>7</v>
      </c>
      <c r="D17" t="n">
        <v>9</v>
      </c>
      <c r="E17" t="s">
        <v>28</v>
      </c>
      <c r="F17" t="s"/>
      <c r="G17" t="s"/>
      <c r="H17" t="s"/>
      <c r="I17" t="s"/>
      <c r="J17" t="n">
        <v>-0.7096</v>
      </c>
      <c r="K17" t="n">
        <v>0.313</v>
      </c>
      <c r="L17" t="n">
        <v>0.505</v>
      </c>
      <c r="M17" t="n">
        <v>0.182</v>
      </c>
    </row>
    <row r="18" spans="1:13">
      <c r="A18" s="1">
        <f>HYPERLINK("http://www.twitter.com/NathanBLawrence/status/998812875220176897", "998812875220176897")</f>
        <v/>
      </c>
      <c r="B18" s="2" t="n">
        <v>43242.26991898148</v>
      </c>
      <c r="C18" t="n">
        <v>3</v>
      </c>
      <c r="D18" t="n">
        <v>3</v>
      </c>
      <c r="E18" t="s">
        <v>29</v>
      </c>
      <c r="F18" t="s"/>
      <c r="G18" t="s"/>
      <c r="H18" t="s"/>
      <c r="I18" t="s"/>
      <c r="J18" t="n">
        <v>0</v>
      </c>
      <c r="K18" t="n">
        <v>0</v>
      </c>
      <c r="L18" t="n">
        <v>1</v>
      </c>
      <c r="M18" t="n">
        <v>0</v>
      </c>
    </row>
    <row r="19" spans="1:13">
      <c r="A19" s="1">
        <f>HYPERLINK("http://www.twitter.com/NathanBLawrence/status/998811299814428672", "998811299814428672")</f>
        <v/>
      </c>
      <c r="B19" s="2" t="n">
        <v>43242.26556712963</v>
      </c>
      <c r="C19" t="n">
        <v>0</v>
      </c>
      <c r="D19" t="n">
        <v>5</v>
      </c>
      <c r="E19" t="s">
        <v>30</v>
      </c>
      <c r="F19">
        <f>HYPERLINK("http://pbs.twimg.com/media/Ddv728KU0AEj393.jpg", "http://pbs.twimg.com/media/Ddv728KU0AEj393.jpg")</f>
        <v/>
      </c>
      <c r="G19" t="s"/>
      <c r="H19" t="s"/>
      <c r="I19" t="s"/>
      <c r="J19" t="n">
        <v>0</v>
      </c>
      <c r="K19" t="n">
        <v>0</v>
      </c>
      <c r="L19" t="n">
        <v>1</v>
      </c>
      <c r="M19" t="n">
        <v>0</v>
      </c>
    </row>
    <row r="20" spans="1:13">
      <c r="A20" s="1">
        <f>HYPERLINK("http://www.twitter.com/NathanBLawrence/status/998811174366986240", "998811174366986240")</f>
        <v/>
      </c>
      <c r="B20" s="2" t="n">
        <v>43242.26521990741</v>
      </c>
      <c r="C20" t="n">
        <v>0</v>
      </c>
      <c r="D20" t="n">
        <v>1</v>
      </c>
      <c r="E20" t="s">
        <v>31</v>
      </c>
      <c r="F20" t="s"/>
      <c r="G20" t="s"/>
      <c r="H20" t="s"/>
      <c r="I20" t="s"/>
      <c r="J20" t="n">
        <v>0.3595</v>
      </c>
      <c r="K20" t="n">
        <v>0</v>
      </c>
      <c r="L20" t="n">
        <v>0.737</v>
      </c>
      <c r="M20" t="n">
        <v>0.263</v>
      </c>
    </row>
    <row r="21" spans="1:13">
      <c r="A21" s="1">
        <f>HYPERLINK("http://www.twitter.com/NathanBLawrence/status/998811135800324096", "998811135800324096")</f>
        <v/>
      </c>
      <c r="B21" s="2" t="n">
        <v>43242.26511574074</v>
      </c>
      <c r="C21" t="n">
        <v>0</v>
      </c>
      <c r="D21" t="n">
        <v>71</v>
      </c>
      <c r="E21" t="s">
        <v>32</v>
      </c>
      <c r="F21">
        <f>HYPERLINK("http://pbs.twimg.com/media/DdsLkOuU0AAYWTL.jpg", "http://pbs.twimg.com/media/DdsLkOuU0AAYWTL.jpg")</f>
        <v/>
      </c>
      <c r="G21" t="s"/>
      <c r="H21" t="s"/>
      <c r="I21" t="s"/>
      <c r="J21" t="n">
        <v>-0.6705</v>
      </c>
      <c r="K21" t="n">
        <v>0.209</v>
      </c>
      <c r="L21" t="n">
        <v>0.791</v>
      </c>
      <c r="M21" t="n">
        <v>0</v>
      </c>
    </row>
    <row r="22" spans="1:13">
      <c r="A22" s="1">
        <f>HYPERLINK("http://www.twitter.com/NathanBLawrence/status/998810998533382144", "998810998533382144")</f>
        <v/>
      </c>
      <c r="B22" s="2" t="n">
        <v>43242.2647337963</v>
      </c>
      <c r="C22" t="n">
        <v>0</v>
      </c>
      <c r="D22" t="n">
        <v>2563</v>
      </c>
      <c r="E22" t="s">
        <v>33</v>
      </c>
      <c r="F22" t="s"/>
      <c r="G22" t="s"/>
      <c r="H22" t="s"/>
      <c r="I22" t="s"/>
      <c r="J22" t="n">
        <v>-0.5106000000000001</v>
      </c>
      <c r="K22" t="n">
        <v>0.248</v>
      </c>
      <c r="L22" t="n">
        <v>0.752</v>
      </c>
      <c r="M22" t="n">
        <v>0</v>
      </c>
    </row>
    <row r="23" spans="1:13">
      <c r="A23" s="1">
        <f>HYPERLINK("http://www.twitter.com/NathanBLawrence/status/998810386139787264", "998810386139787264")</f>
        <v/>
      </c>
      <c r="B23" s="2" t="n">
        <v>43242.26304398148</v>
      </c>
      <c r="C23" t="n">
        <v>0</v>
      </c>
      <c r="D23" t="n">
        <v>1</v>
      </c>
      <c r="E23" t="s">
        <v>34</v>
      </c>
      <c r="F23" t="s"/>
      <c r="G23" t="s"/>
      <c r="H23" t="s"/>
      <c r="I23" t="s"/>
      <c r="J23" t="n">
        <v>0.2144</v>
      </c>
      <c r="K23" t="n">
        <v>0</v>
      </c>
      <c r="L23" t="n">
        <v>0.911</v>
      </c>
      <c r="M23" t="n">
        <v>0.089</v>
      </c>
    </row>
    <row r="24" spans="1:13">
      <c r="A24" s="1">
        <f>HYPERLINK("http://www.twitter.com/NathanBLawrence/status/998810320196927495", "998810320196927495")</f>
        <v/>
      </c>
      <c r="B24" s="2" t="n">
        <v>43242.2628587963</v>
      </c>
      <c r="C24" t="n">
        <v>0</v>
      </c>
      <c r="D24" t="n">
        <v>1</v>
      </c>
      <c r="E24" t="s">
        <v>35</v>
      </c>
      <c r="F24" t="s"/>
      <c r="G24" t="s"/>
      <c r="H24" t="s"/>
      <c r="I24" t="s"/>
      <c r="J24" t="n">
        <v>0</v>
      </c>
      <c r="K24" t="n">
        <v>0</v>
      </c>
      <c r="L24" t="n">
        <v>1</v>
      </c>
      <c r="M24" t="n">
        <v>0</v>
      </c>
    </row>
    <row r="25" spans="1:13">
      <c r="A25" s="1">
        <f>HYPERLINK("http://www.twitter.com/NathanBLawrence/status/998810289268142082", "998810289268142082")</f>
        <v/>
      </c>
      <c r="B25" s="2" t="n">
        <v>43242.26277777777</v>
      </c>
      <c r="C25" t="n">
        <v>0</v>
      </c>
      <c r="D25" t="n">
        <v>1</v>
      </c>
      <c r="E25" t="s">
        <v>36</v>
      </c>
      <c r="F25" t="s"/>
      <c r="G25" t="s"/>
      <c r="H25" t="s"/>
      <c r="I25" t="s"/>
      <c r="J25" t="n">
        <v>0</v>
      </c>
      <c r="K25" t="n">
        <v>0</v>
      </c>
      <c r="L25" t="n">
        <v>1</v>
      </c>
      <c r="M25" t="n">
        <v>0</v>
      </c>
    </row>
    <row r="26" spans="1:13">
      <c r="A26" s="1">
        <f>HYPERLINK("http://www.twitter.com/NathanBLawrence/status/998810235660746753", "998810235660746753")</f>
        <v/>
      </c>
      <c r="B26" s="2" t="n">
        <v>43242.26262731481</v>
      </c>
      <c r="C26" t="n">
        <v>0</v>
      </c>
      <c r="D26" t="n">
        <v>3</v>
      </c>
      <c r="E26" t="s">
        <v>37</v>
      </c>
      <c r="F26" t="s"/>
      <c r="G26" t="s"/>
      <c r="H26" t="s"/>
      <c r="I26" t="s"/>
      <c r="J26" t="n">
        <v>-0.8689</v>
      </c>
      <c r="K26" t="n">
        <v>0.329</v>
      </c>
      <c r="L26" t="n">
        <v>0.671</v>
      </c>
      <c r="M26" t="n">
        <v>0</v>
      </c>
    </row>
    <row r="27" spans="1:13">
      <c r="A27" s="1">
        <f>HYPERLINK("http://www.twitter.com/NathanBLawrence/status/998810114369798144", "998810114369798144")</f>
        <v/>
      </c>
      <c r="B27" s="2" t="n">
        <v>43242.26229166667</v>
      </c>
      <c r="C27" t="n">
        <v>0</v>
      </c>
      <c r="D27" t="n">
        <v>1</v>
      </c>
      <c r="E27" t="s">
        <v>38</v>
      </c>
      <c r="F27" t="s"/>
      <c r="G27" t="s"/>
      <c r="H27" t="s"/>
      <c r="I27" t="s"/>
      <c r="J27" t="n">
        <v>0.4588</v>
      </c>
      <c r="K27" t="n">
        <v>0</v>
      </c>
      <c r="L27" t="n">
        <v>0.75</v>
      </c>
      <c r="M27" t="n">
        <v>0.25</v>
      </c>
    </row>
    <row r="28" spans="1:13">
      <c r="A28" s="1">
        <f>HYPERLINK("http://www.twitter.com/NathanBLawrence/status/998809831052984320", "998809831052984320")</f>
        <v/>
      </c>
      <c r="B28" s="2" t="n">
        <v>43242.2615162037</v>
      </c>
      <c r="C28" t="n">
        <v>0</v>
      </c>
      <c r="D28" t="n">
        <v>5</v>
      </c>
      <c r="E28" t="s">
        <v>39</v>
      </c>
      <c r="F28" t="s"/>
      <c r="G28" t="s"/>
      <c r="H28" t="s"/>
      <c r="I28" t="s"/>
      <c r="J28" t="n">
        <v>0.4572</v>
      </c>
      <c r="K28" t="n">
        <v>0</v>
      </c>
      <c r="L28" t="n">
        <v>0.88</v>
      </c>
      <c r="M28" t="n">
        <v>0.12</v>
      </c>
    </row>
    <row r="29" spans="1:13">
      <c r="A29" s="1">
        <f>HYPERLINK("http://www.twitter.com/NathanBLawrence/status/998809749977100289", "998809749977100289")</f>
        <v/>
      </c>
      <c r="B29" s="2" t="n">
        <v>43242.2612962963</v>
      </c>
      <c r="C29" t="n">
        <v>0</v>
      </c>
      <c r="D29" t="n">
        <v>3</v>
      </c>
      <c r="E29" t="s">
        <v>40</v>
      </c>
      <c r="F29" t="s"/>
      <c r="G29" t="s"/>
      <c r="H29" t="s"/>
      <c r="I29" t="s"/>
      <c r="J29" t="n">
        <v>0.607</v>
      </c>
      <c r="K29" t="n">
        <v>0</v>
      </c>
      <c r="L29" t="n">
        <v>0.669</v>
      </c>
      <c r="M29" t="n">
        <v>0.331</v>
      </c>
    </row>
    <row r="30" spans="1:13">
      <c r="A30" s="1">
        <f>HYPERLINK("http://www.twitter.com/NathanBLawrence/status/998809696818511872", "998809696818511872")</f>
        <v/>
      </c>
      <c r="B30" s="2" t="n">
        <v>43242.26114583333</v>
      </c>
      <c r="C30" t="n">
        <v>0</v>
      </c>
      <c r="D30" t="n">
        <v>7</v>
      </c>
      <c r="E30" t="s">
        <v>41</v>
      </c>
      <c r="F30" t="s"/>
      <c r="G30" t="s"/>
      <c r="H30" t="s"/>
      <c r="I30" t="s"/>
      <c r="J30" t="n">
        <v>-0.8898</v>
      </c>
      <c r="K30" t="n">
        <v>0.367</v>
      </c>
      <c r="L30" t="n">
        <v>0.597</v>
      </c>
      <c r="M30" t="n">
        <v>0.036</v>
      </c>
    </row>
    <row r="31" spans="1:13">
      <c r="A31" s="1">
        <f>HYPERLINK("http://www.twitter.com/NathanBLawrence/status/998809619144179712", "998809619144179712")</f>
        <v/>
      </c>
      <c r="B31" s="2" t="n">
        <v>43242.26092592593</v>
      </c>
      <c r="C31" t="n">
        <v>4</v>
      </c>
      <c r="D31" t="n">
        <v>1</v>
      </c>
      <c r="E31" t="s">
        <v>42</v>
      </c>
      <c r="F31" t="s"/>
      <c r="G31" t="s"/>
      <c r="H31" t="s"/>
      <c r="I31" t="s"/>
      <c r="J31" t="n">
        <v>0.6239</v>
      </c>
      <c r="K31" t="n">
        <v>0</v>
      </c>
      <c r="L31" t="n">
        <v>0.595</v>
      </c>
      <c r="M31" t="n">
        <v>0.405</v>
      </c>
    </row>
    <row r="32" spans="1:13">
      <c r="A32" s="1">
        <f>HYPERLINK("http://www.twitter.com/NathanBLawrence/status/998809479100612608", "998809479100612608")</f>
        <v/>
      </c>
      <c r="B32" s="2" t="n">
        <v>43242.26054398148</v>
      </c>
      <c r="C32" t="n">
        <v>1</v>
      </c>
      <c r="D32" t="n">
        <v>0</v>
      </c>
      <c r="E32" t="s">
        <v>43</v>
      </c>
      <c r="F32" t="s"/>
      <c r="G32" t="s"/>
      <c r="H32" t="s"/>
      <c r="I32" t="s"/>
      <c r="J32" t="n">
        <v>0</v>
      </c>
      <c r="K32" t="n">
        <v>0</v>
      </c>
      <c r="L32" t="n">
        <v>1</v>
      </c>
      <c r="M32" t="n">
        <v>0</v>
      </c>
    </row>
    <row r="33" spans="1:13">
      <c r="A33" s="1">
        <f>HYPERLINK("http://www.twitter.com/NathanBLawrence/status/998809254415876096", "998809254415876096")</f>
        <v/>
      </c>
      <c r="B33" s="2" t="n">
        <v>43242.25991898148</v>
      </c>
      <c r="C33" t="n">
        <v>0</v>
      </c>
      <c r="D33" t="n">
        <v>5</v>
      </c>
      <c r="E33" t="s">
        <v>44</v>
      </c>
      <c r="F33" t="s"/>
      <c r="G33" t="s"/>
      <c r="H33" t="s"/>
      <c r="I33" t="s"/>
      <c r="J33" t="n">
        <v>0</v>
      </c>
      <c r="K33" t="n">
        <v>0</v>
      </c>
      <c r="L33" t="n">
        <v>1</v>
      </c>
      <c r="M33" t="n">
        <v>0</v>
      </c>
    </row>
    <row r="34" spans="1:13">
      <c r="A34" s="1">
        <f>HYPERLINK("http://www.twitter.com/NathanBLawrence/status/998807136086851584", "998807136086851584")</f>
        <v/>
      </c>
      <c r="B34" s="2" t="n">
        <v>43242.25407407407</v>
      </c>
      <c r="C34" t="n">
        <v>0</v>
      </c>
      <c r="D34" t="n">
        <v>1790</v>
      </c>
      <c r="E34" t="s">
        <v>45</v>
      </c>
      <c r="F34">
        <f>HYPERLINK("http://pbs.twimg.com/media/Ddxds71VQAEreOJ.jpg", "http://pbs.twimg.com/media/Ddxds71VQAEreOJ.jpg")</f>
        <v/>
      </c>
      <c r="G34" t="s"/>
      <c r="H34" t="s"/>
      <c r="I34" t="s"/>
      <c r="J34" t="n">
        <v>0.4019</v>
      </c>
      <c r="K34" t="n">
        <v>0</v>
      </c>
      <c r="L34" t="n">
        <v>0.891</v>
      </c>
      <c r="M34" t="n">
        <v>0.109</v>
      </c>
    </row>
    <row r="35" spans="1:13">
      <c r="A35" s="1">
        <f>HYPERLINK("http://www.twitter.com/NathanBLawrence/status/998807093225209856", "998807093225209856")</f>
        <v/>
      </c>
      <c r="B35" s="2" t="n">
        <v>43242.25395833333</v>
      </c>
      <c r="C35" t="n">
        <v>0</v>
      </c>
      <c r="D35" t="n">
        <v>7</v>
      </c>
      <c r="E35" t="s">
        <v>46</v>
      </c>
      <c r="F35" t="s"/>
      <c r="G35" t="s"/>
      <c r="H35" t="s"/>
      <c r="I35" t="s"/>
      <c r="J35" t="n">
        <v>0</v>
      </c>
      <c r="K35" t="n">
        <v>0</v>
      </c>
      <c r="L35" t="n">
        <v>1</v>
      </c>
      <c r="M35" t="n">
        <v>0</v>
      </c>
    </row>
    <row r="36" spans="1:13">
      <c r="A36" s="1">
        <f>HYPERLINK("http://www.twitter.com/NathanBLawrence/status/998807001680363520", "998807001680363520")</f>
        <v/>
      </c>
      <c r="B36" s="2" t="n">
        <v>43242.2537037037</v>
      </c>
      <c r="C36" t="n">
        <v>0</v>
      </c>
      <c r="D36" t="n">
        <v>83</v>
      </c>
      <c r="E36" t="s">
        <v>47</v>
      </c>
      <c r="F36" t="s"/>
      <c r="G36" t="s"/>
      <c r="H36" t="s"/>
      <c r="I36" t="s"/>
      <c r="J36" t="n">
        <v>0</v>
      </c>
      <c r="K36" t="n">
        <v>0</v>
      </c>
      <c r="L36" t="n">
        <v>1</v>
      </c>
      <c r="M36" t="n">
        <v>0</v>
      </c>
    </row>
    <row r="37" spans="1:13">
      <c r="A37" s="1">
        <f>HYPERLINK("http://www.twitter.com/NathanBLawrence/status/998804962237759490", "998804962237759490")</f>
        <v/>
      </c>
      <c r="B37" s="2" t="n">
        <v>43242.24807870371</v>
      </c>
      <c r="C37" t="n">
        <v>5</v>
      </c>
      <c r="D37" t="n">
        <v>3</v>
      </c>
      <c r="E37" t="s">
        <v>48</v>
      </c>
      <c r="F37" t="s"/>
      <c r="G37" t="s"/>
      <c r="H37" t="s"/>
      <c r="I37" t="s"/>
      <c r="J37" t="n">
        <v>0</v>
      </c>
      <c r="K37" t="n">
        <v>0</v>
      </c>
      <c r="L37" t="n">
        <v>1</v>
      </c>
      <c r="M37" t="n">
        <v>0</v>
      </c>
    </row>
    <row r="38" spans="1:13">
      <c r="A38" s="1">
        <f>HYPERLINK("http://www.twitter.com/NathanBLawrence/status/998804690925060100", "998804690925060100")</f>
        <v/>
      </c>
      <c r="B38" s="2" t="n">
        <v>43242.24732638889</v>
      </c>
      <c r="C38" t="n">
        <v>0</v>
      </c>
      <c r="D38" t="n">
        <v>2</v>
      </c>
      <c r="E38" t="s">
        <v>49</v>
      </c>
      <c r="F38" t="s"/>
      <c r="G38" t="s"/>
      <c r="H38" t="s"/>
      <c r="I38" t="s"/>
      <c r="J38" t="n">
        <v>0.4019</v>
      </c>
      <c r="K38" t="n">
        <v>0</v>
      </c>
      <c r="L38" t="n">
        <v>0.597</v>
      </c>
      <c r="M38" t="n">
        <v>0.403</v>
      </c>
    </row>
    <row r="39" spans="1:13">
      <c r="A39" s="1">
        <f>HYPERLINK("http://www.twitter.com/NathanBLawrence/status/998804485882265600", "998804485882265600")</f>
        <v/>
      </c>
      <c r="B39" s="2" t="n">
        <v>43242.24675925926</v>
      </c>
      <c r="C39" t="n">
        <v>0</v>
      </c>
      <c r="D39" t="n">
        <v>73</v>
      </c>
      <c r="E39" t="s">
        <v>50</v>
      </c>
      <c r="F39" t="s"/>
      <c r="G39" t="s"/>
      <c r="H39" t="s"/>
      <c r="I39" t="s"/>
      <c r="J39" t="n">
        <v>-0.4404</v>
      </c>
      <c r="K39" t="n">
        <v>0.139</v>
      </c>
      <c r="L39" t="n">
        <v>0.861</v>
      </c>
      <c r="M39" t="n">
        <v>0</v>
      </c>
    </row>
    <row r="40" spans="1:13">
      <c r="A40" s="1">
        <f>HYPERLINK("http://www.twitter.com/NathanBLawrence/status/998803731071172609", "998803731071172609")</f>
        <v/>
      </c>
      <c r="B40" s="2" t="n">
        <v>43242.2446875</v>
      </c>
      <c r="C40" t="n">
        <v>7</v>
      </c>
      <c r="D40" t="n">
        <v>0</v>
      </c>
      <c r="E40" t="s">
        <v>51</v>
      </c>
      <c r="F40" t="s"/>
      <c r="G40" t="s"/>
      <c r="H40" t="s"/>
      <c r="I40" t="s"/>
      <c r="J40" t="n">
        <v>0.1177</v>
      </c>
      <c r="K40" t="n">
        <v>0.135</v>
      </c>
      <c r="L40" t="n">
        <v>0.774</v>
      </c>
      <c r="M40" t="n">
        <v>0.091</v>
      </c>
    </row>
    <row r="41" spans="1:13">
      <c r="A41" s="1">
        <f>HYPERLINK("http://www.twitter.com/NathanBLawrence/status/998802426403536897", "998802426403536897")</f>
        <v/>
      </c>
      <c r="B41" s="2" t="n">
        <v>43242.24107638889</v>
      </c>
      <c r="C41" t="n">
        <v>0</v>
      </c>
      <c r="D41" t="n">
        <v>513</v>
      </c>
      <c r="E41" t="s">
        <v>52</v>
      </c>
      <c r="F41" t="s"/>
      <c r="G41" t="s"/>
      <c r="H41" t="s"/>
      <c r="I41" t="s"/>
      <c r="J41" t="n">
        <v>0</v>
      </c>
      <c r="K41" t="n">
        <v>0</v>
      </c>
      <c r="L41" t="n">
        <v>1</v>
      </c>
      <c r="M41" t="n">
        <v>0</v>
      </c>
    </row>
    <row r="42" spans="1:13">
      <c r="A42" s="1">
        <f>HYPERLINK("http://www.twitter.com/NathanBLawrence/status/998802296312971265", "998802296312971265")</f>
        <v/>
      </c>
      <c r="B42" s="2" t="n">
        <v>43242.24071759259</v>
      </c>
      <c r="C42" t="n">
        <v>0</v>
      </c>
      <c r="D42" t="n">
        <v>132</v>
      </c>
      <c r="E42" t="s">
        <v>53</v>
      </c>
      <c r="F42">
        <f>HYPERLINK("http://pbs.twimg.com/media/Ddfp91pV0AE3S5u.jpg", "http://pbs.twimg.com/media/Ddfp91pV0AE3S5u.jpg")</f>
        <v/>
      </c>
      <c r="G42" t="s"/>
      <c r="H42" t="s"/>
      <c r="I42" t="s"/>
      <c r="J42" t="n">
        <v>0</v>
      </c>
      <c r="K42" t="n">
        <v>0</v>
      </c>
      <c r="L42" t="n">
        <v>1</v>
      </c>
      <c r="M42" t="n">
        <v>0</v>
      </c>
    </row>
    <row r="43" spans="1:13">
      <c r="A43" s="1">
        <f>HYPERLINK("http://www.twitter.com/NathanBLawrence/status/998802001977790464", "998802001977790464")</f>
        <v/>
      </c>
      <c r="B43" s="2" t="n">
        <v>43242.23990740741</v>
      </c>
      <c r="C43" t="n">
        <v>4</v>
      </c>
      <c r="D43" t="n">
        <v>3</v>
      </c>
      <c r="E43" t="s">
        <v>54</v>
      </c>
      <c r="F43" t="s"/>
      <c r="G43" t="s"/>
      <c r="H43" t="s"/>
      <c r="I43" t="s"/>
      <c r="J43" t="n">
        <v>-0.4479</v>
      </c>
      <c r="K43" t="n">
        <v>0.269</v>
      </c>
      <c r="L43" t="n">
        <v>0.731</v>
      </c>
      <c r="M43" t="n">
        <v>0</v>
      </c>
    </row>
    <row r="44" spans="1:13">
      <c r="A44" s="1">
        <f>HYPERLINK("http://www.twitter.com/NathanBLawrence/status/998801813359902720", "998801813359902720")</f>
        <v/>
      </c>
      <c r="B44" s="2" t="n">
        <v>43242.23938657407</v>
      </c>
      <c r="C44" t="n">
        <v>0</v>
      </c>
      <c r="D44" t="n">
        <v>559</v>
      </c>
      <c r="E44" t="s">
        <v>55</v>
      </c>
      <c r="F44" t="s"/>
      <c r="G44" t="s"/>
      <c r="H44" t="s"/>
      <c r="I44" t="s"/>
      <c r="J44" t="n">
        <v>0</v>
      </c>
      <c r="K44" t="n">
        <v>0</v>
      </c>
      <c r="L44" t="n">
        <v>1</v>
      </c>
      <c r="M44" t="n">
        <v>0</v>
      </c>
    </row>
    <row r="45" spans="1:13">
      <c r="A45" s="1">
        <f>HYPERLINK("http://www.twitter.com/NathanBLawrence/status/998801496677404672", "998801496677404672")</f>
        <v/>
      </c>
      <c r="B45" s="2" t="n">
        <v>43242.23851851852</v>
      </c>
      <c r="C45" t="n">
        <v>29</v>
      </c>
      <c r="D45" t="n">
        <v>12</v>
      </c>
      <c r="E45" t="s">
        <v>56</v>
      </c>
      <c r="F45" t="s"/>
      <c r="G45" t="s"/>
      <c r="H45" t="s"/>
      <c r="I45" t="s"/>
      <c r="J45" t="n">
        <v>-0.6618000000000001</v>
      </c>
      <c r="K45" t="n">
        <v>0.153</v>
      </c>
      <c r="L45" t="n">
        <v>0.847</v>
      </c>
      <c r="M45" t="n">
        <v>0</v>
      </c>
    </row>
    <row r="46" spans="1:13">
      <c r="A46" s="1">
        <f>HYPERLINK("http://www.twitter.com/NathanBLawrence/status/998799200497291264", "998799200497291264")</f>
        <v/>
      </c>
      <c r="B46" s="2" t="n">
        <v>43242.23217592593</v>
      </c>
      <c r="C46" t="n">
        <v>8</v>
      </c>
      <c r="D46" t="n">
        <v>3</v>
      </c>
      <c r="E46" t="s">
        <v>57</v>
      </c>
      <c r="F46" t="s"/>
      <c r="G46" t="s"/>
      <c r="H46" t="s"/>
      <c r="I46" t="s"/>
      <c r="J46" t="n">
        <v>-0.2695</v>
      </c>
      <c r="K46" t="n">
        <v>0.074</v>
      </c>
      <c r="L46" t="n">
        <v>0.926</v>
      </c>
      <c r="M46" t="n">
        <v>0</v>
      </c>
    </row>
    <row r="47" spans="1:13">
      <c r="A47" s="1">
        <f>HYPERLINK("http://www.twitter.com/NathanBLawrence/status/998798411561226240", "998798411561226240")</f>
        <v/>
      </c>
      <c r="B47" s="2" t="n">
        <v>43242.23</v>
      </c>
      <c r="C47" t="n">
        <v>6</v>
      </c>
      <c r="D47" t="n">
        <v>3</v>
      </c>
      <c r="E47" t="s">
        <v>58</v>
      </c>
      <c r="F47" t="s"/>
      <c r="G47" t="s"/>
      <c r="H47" t="s"/>
      <c r="I47" t="s"/>
      <c r="J47" t="n">
        <v>-0.7441</v>
      </c>
      <c r="K47" t="n">
        <v>0.201</v>
      </c>
      <c r="L47" t="n">
        <v>0.799</v>
      </c>
      <c r="M47" t="n">
        <v>0</v>
      </c>
    </row>
    <row r="48" spans="1:13">
      <c r="A48" s="1">
        <f>HYPERLINK("http://www.twitter.com/NathanBLawrence/status/998797025146691584", "998797025146691584")</f>
        <v/>
      </c>
      <c r="B48" s="2" t="n">
        <v>43242.22618055555</v>
      </c>
      <c r="C48" t="n">
        <v>5</v>
      </c>
      <c r="D48" t="n">
        <v>2</v>
      </c>
      <c r="E48" t="s">
        <v>59</v>
      </c>
      <c r="F48" t="s"/>
      <c r="G48" t="s"/>
      <c r="H48" t="s"/>
      <c r="I48" t="s"/>
      <c r="J48" t="n">
        <v>-0.9042</v>
      </c>
      <c r="K48" t="n">
        <v>0.337</v>
      </c>
      <c r="L48" t="n">
        <v>0.663</v>
      </c>
      <c r="M48" t="n">
        <v>0</v>
      </c>
    </row>
    <row r="49" spans="1:13">
      <c r="A49" s="1">
        <f>HYPERLINK("http://www.twitter.com/NathanBLawrence/status/998796622174633984", "998796622174633984")</f>
        <v/>
      </c>
      <c r="B49" s="2" t="n">
        <v>43242.22506944444</v>
      </c>
      <c r="C49" t="n">
        <v>0</v>
      </c>
      <c r="D49" t="n">
        <v>739</v>
      </c>
      <c r="E49" t="s">
        <v>60</v>
      </c>
      <c r="F49" t="s"/>
      <c r="G49" t="s"/>
      <c r="H49" t="s"/>
      <c r="I49" t="s"/>
      <c r="J49" t="n">
        <v>0</v>
      </c>
      <c r="K49" t="n">
        <v>0</v>
      </c>
      <c r="L49" t="n">
        <v>1</v>
      </c>
      <c r="M49" t="n">
        <v>0</v>
      </c>
    </row>
    <row r="50" spans="1:13">
      <c r="A50" s="1">
        <f>HYPERLINK("http://www.twitter.com/NathanBLawrence/status/998796544080887808", "998796544080887808")</f>
        <v/>
      </c>
      <c r="B50" s="2" t="n">
        <v>43242.22484953704</v>
      </c>
      <c r="C50" t="n">
        <v>5</v>
      </c>
      <c r="D50" t="n">
        <v>4</v>
      </c>
      <c r="E50" t="s">
        <v>61</v>
      </c>
      <c r="F50" t="s"/>
      <c r="G50" t="s"/>
      <c r="H50" t="s"/>
      <c r="I50" t="s"/>
      <c r="J50" t="n">
        <v>0</v>
      </c>
      <c r="K50" t="n">
        <v>0</v>
      </c>
      <c r="L50" t="n">
        <v>1</v>
      </c>
      <c r="M50" t="n">
        <v>0</v>
      </c>
    </row>
    <row r="51" spans="1:13">
      <c r="A51" s="1">
        <f>HYPERLINK("http://www.twitter.com/NathanBLawrence/status/998796363096776705", "998796363096776705")</f>
        <v/>
      </c>
      <c r="B51" s="2" t="n">
        <v>43242.22435185185</v>
      </c>
      <c r="C51" t="n">
        <v>6</v>
      </c>
      <c r="D51" t="n">
        <v>4</v>
      </c>
      <c r="E51" t="s">
        <v>62</v>
      </c>
      <c r="F51" t="s"/>
      <c r="G51" t="s"/>
      <c r="H51" t="s"/>
      <c r="I51" t="s"/>
      <c r="J51" t="n">
        <v>0.0762</v>
      </c>
      <c r="K51" t="n">
        <v>0</v>
      </c>
      <c r="L51" t="n">
        <v>0.9389999999999999</v>
      </c>
      <c r="M51" t="n">
        <v>0.061</v>
      </c>
    </row>
    <row r="52" spans="1:13">
      <c r="A52" s="1">
        <f>HYPERLINK("http://www.twitter.com/NathanBLawrence/status/998795645396828161", "998795645396828161")</f>
        <v/>
      </c>
      <c r="B52" s="2" t="n">
        <v>43242.22237268519</v>
      </c>
      <c r="C52" t="n">
        <v>0</v>
      </c>
      <c r="D52" t="n">
        <v>5</v>
      </c>
      <c r="E52" t="s">
        <v>63</v>
      </c>
      <c r="F52">
        <f>HYPERLINK("http://pbs.twimg.com/media/DdxvJG7W0AAZXUE.png", "http://pbs.twimg.com/media/DdxvJG7W0AAZXUE.png")</f>
        <v/>
      </c>
      <c r="G52" t="s"/>
      <c r="H52" t="s"/>
      <c r="I52" t="s"/>
      <c r="J52" t="n">
        <v>0</v>
      </c>
      <c r="K52" t="n">
        <v>0</v>
      </c>
      <c r="L52" t="n">
        <v>1</v>
      </c>
      <c r="M52" t="n">
        <v>0</v>
      </c>
    </row>
    <row r="53" spans="1:13">
      <c r="A53" s="1">
        <f>HYPERLINK("http://www.twitter.com/NathanBLawrence/status/998795580561211395", "998795580561211395")</f>
        <v/>
      </c>
      <c r="B53" s="2" t="n">
        <v>43242.2221875</v>
      </c>
      <c r="C53" t="n">
        <v>3</v>
      </c>
      <c r="D53" t="n">
        <v>1</v>
      </c>
      <c r="E53" t="s">
        <v>64</v>
      </c>
      <c r="F53" t="s"/>
      <c r="G53" t="s"/>
      <c r="H53" t="s"/>
      <c r="I53" t="s"/>
      <c r="J53" t="n">
        <v>0</v>
      </c>
      <c r="K53" t="n">
        <v>0</v>
      </c>
      <c r="L53" t="n">
        <v>1</v>
      </c>
      <c r="M53" t="n">
        <v>0</v>
      </c>
    </row>
    <row r="54" spans="1:13">
      <c r="A54" s="1">
        <f>HYPERLINK("http://www.twitter.com/NathanBLawrence/status/998795382451724288", "998795382451724288")</f>
        <v/>
      </c>
      <c r="B54" s="2" t="n">
        <v>43242.22164351852</v>
      </c>
      <c r="C54" t="n">
        <v>10</v>
      </c>
      <c r="D54" t="n">
        <v>6</v>
      </c>
      <c r="E54" t="s">
        <v>65</v>
      </c>
      <c r="F54" t="s"/>
      <c r="G54" t="s"/>
      <c r="H54" t="s"/>
      <c r="I54" t="s"/>
      <c r="J54" t="n">
        <v>-0.7845</v>
      </c>
      <c r="K54" t="n">
        <v>0.251</v>
      </c>
      <c r="L54" t="n">
        <v>0.67</v>
      </c>
      <c r="M54" t="n">
        <v>0.08</v>
      </c>
    </row>
    <row r="55" spans="1:13">
      <c r="A55" s="1">
        <f>HYPERLINK("http://www.twitter.com/NathanBLawrence/status/998794869303689216", "998794869303689216")</f>
        <v/>
      </c>
      <c r="B55" s="2" t="n">
        <v>43242.22023148148</v>
      </c>
      <c r="C55" t="n">
        <v>4</v>
      </c>
      <c r="D55" t="n">
        <v>1</v>
      </c>
      <c r="E55" t="s">
        <v>66</v>
      </c>
      <c r="F55" t="s"/>
      <c r="G55" t="s"/>
      <c r="H55" t="s"/>
      <c r="I55" t="s"/>
      <c r="J55" t="n">
        <v>0</v>
      </c>
      <c r="K55" t="n">
        <v>0</v>
      </c>
      <c r="L55" t="n">
        <v>1</v>
      </c>
      <c r="M55" t="n">
        <v>0</v>
      </c>
    </row>
    <row r="56" spans="1:13">
      <c r="A56" s="1">
        <f>HYPERLINK("http://www.twitter.com/NathanBLawrence/status/998794592676859904", "998794592676859904")</f>
        <v/>
      </c>
      <c r="B56" s="2" t="n">
        <v>43242.21946759259</v>
      </c>
      <c r="C56" t="n">
        <v>0</v>
      </c>
      <c r="D56" t="n">
        <v>1062</v>
      </c>
      <c r="E56" t="s">
        <v>67</v>
      </c>
      <c r="F56">
        <f>HYPERLINK("https://video.twimg.com/ext_tw_video/971013503602405376/pu/vid/640x360/Tv5cUgQjEM2dJGUp.mp4", "https://video.twimg.com/ext_tw_video/971013503602405376/pu/vid/640x360/Tv5cUgQjEM2dJGUp.mp4")</f>
        <v/>
      </c>
      <c r="G56" t="s"/>
      <c r="H56" t="s"/>
      <c r="I56" t="s"/>
      <c r="J56" t="n">
        <v>-0.5688</v>
      </c>
      <c r="K56" t="n">
        <v>0.143</v>
      </c>
      <c r="L56" t="n">
        <v>0.857</v>
      </c>
      <c r="M56" t="n">
        <v>0</v>
      </c>
    </row>
    <row r="57" spans="1:13">
      <c r="A57" s="1">
        <f>HYPERLINK("http://www.twitter.com/NathanBLawrence/status/998794502822244352", "998794502822244352")</f>
        <v/>
      </c>
      <c r="B57" s="2" t="n">
        <v>43242.21921296296</v>
      </c>
      <c r="C57" t="n">
        <v>0</v>
      </c>
      <c r="D57" t="n">
        <v>280</v>
      </c>
      <c r="E57" t="s">
        <v>68</v>
      </c>
      <c r="F57">
        <f>HYPERLINK("http://pbs.twimg.com/media/DdxCT-FVAAAueD4.jpg", "http://pbs.twimg.com/media/DdxCT-FVAAAueD4.jpg")</f>
        <v/>
      </c>
      <c r="G57" t="s"/>
      <c r="H57" t="s"/>
      <c r="I57" t="s"/>
      <c r="J57" t="n">
        <v>0.0772</v>
      </c>
      <c r="K57" t="n">
        <v>0</v>
      </c>
      <c r="L57" t="n">
        <v>0.925</v>
      </c>
      <c r="M57" t="n">
        <v>0.075</v>
      </c>
    </row>
    <row r="58" spans="1:13">
      <c r="A58" s="1">
        <f>HYPERLINK("http://www.twitter.com/NathanBLawrence/status/998794454382215168", "998794454382215168")</f>
        <v/>
      </c>
      <c r="B58" s="2" t="n">
        <v>43242.21908564815</v>
      </c>
      <c r="C58" t="n">
        <v>0</v>
      </c>
      <c r="D58" t="n">
        <v>62</v>
      </c>
      <c r="E58" t="s">
        <v>69</v>
      </c>
      <c r="F58" t="s"/>
      <c r="G58" t="s"/>
      <c r="H58" t="s"/>
      <c r="I58" t="s"/>
      <c r="J58" t="n">
        <v>-0.8270999999999999</v>
      </c>
      <c r="K58" t="n">
        <v>0.348</v>
      </c>
      <c r="L58" t="n">
        <v>0.5570000000000001</v>
      </c>
      <c r="M58" t="n">
        <v>0.095</v>
      </c>
    </row>
    <row r="59" spans="1:13">
      <c r="A59" s="1">
        <f>HYPERLINK("http://www.twitter.com/NathanBLawrence/status/998794377873866752", "998794377873866752")</f>
        <v/>
      </c>
      <c r="B59" s="2" t="n">
        <v>43242.21887731482</v>
      </c>
      <c r="C59" t="n">
        <v>2</v>
      </c>
      <c r="D59" t="n">
        <v>2</v>
      </c>
      <c r="E59" t="s">
        <v>70</v>
      </c>
      <c r="F59" t="s"/>
      <c r="G59" t="s"/>
      <c r="H59" t="s"/>
      <c r="I59" t="s"/>
      <c r="J59" t="n">
        <v>0</v>
      </c>
      <c r="K59" t="n">
        <v>0</v>
      </c>
      <c r="L59" t="n">
        <v>1</v>
      </c>
      <c r="M59" t="n">
        <v>0</v>
      </c>
    </row>
    <row r="60" spans="1:13">
      <c r="A60" s="1">
        <f>HYPERLINK("http://www.twitter.com/NathanBLawrence/status/998794235850604545", "998794235850604545")</f>
        <v/>
      </c>
      <c r="B60" s="2" t="n">
        <v>43242.2184837963</v>
      </c>
      <c r="C60" t="n">
        <v>0</v>
      </c>
      <c r="D60" t="n">
        <v>3</v>
      </c>
      <c r="E60" t="s">
        <v>71</v>
      </c>
      <c r="F60" t="s"/>
      <c r="G60" t="s"/>
      <c r="H60" t="s"/>
      <c r="I60" t="s"/>
      <c r="J60" t="n">
        <v>0.128</v>
      </c>
      <c r="K60" t="n">
        <v>0.195</v>
      </c>
      <c r="L60" t="n">
        <v>0.578</v>
      </c>
      <c r="M60" t="n">
        <v>0.227</v>
      </c>
    </row>
    <row r="61" spans="1:13">
      <c r="A61" s="1">
        <f>HYPERLINK("http://www.twitter.com/NathanBLawrence/status/998794043818569728", "998794043818569728")</f>
        <v/>
      </c>
      <c r="B61" s="2" t="n">
        <v>43242.21795138889</v>
      </c>
      <c r="C61" t="n">
        <v>9</v>
      </c>
      <c r="D61" t="n">
        <v>4</v>
      </c>
      <c r="E61" t="s">
        <v>72</v>
      </c>
      <c r="F61" t="s"/>
      <c r="G61" t="s"/>
      <c r="H61" t="s"/>
      <c r="I61" t="s"/>
      <c r="J61" t="n">
        <v>-0.7568</v>
      </c>
      <c r="K61" t="n">
        <v>0.194</v>
      </c>
      <c r="L61" t="n">
        <v>0.806</v>
      </c>
      <c r="M61" t="n">
        <v>0</v>
      </c>
    </row>
    <row r="62" spans="1:13">
      <c r="A62" s="1">
        <f>HYPERLINK("http://www.twitter.com/NathanBLawrence/status/998793430804320256", "998793430804320256")</f>
        <v/>
      </c>
      <c r="B62" s="2" t="n">
        <v>43242.21626157407</v>
      </c>
      <c r="C62" t="n">
        <v>0</v>
      </c>
      <c r="D62" t="n">
        <v>303</v>
      </c>
      <c r="E62" t="s">
        <v>73</v>
      </c>
      <c r="F62" t="s"/>
      <c r="G62" t="s"/>
      <c r="H62" t="s"/>
      <c r="I62" t="s"/>
      <c r="J62" t="n">
        <v>0</v>
      </c>
      <c r="K62" t="n">
        <v>0</v>
      </c>
      <c r="L62" t="n">
        <v>1</v>
      </c>
      <c r="M62" t="n">
        <v>0</v>
      </c>
    </row>
    <row r="63" spans="1:13">
      <c r="A63" s="1">
        <f>HYPERLINK("http://www.twitter.com/NathanBLawrence/status/998793371249344514", "998793371249344514")</f>
        <v/>
      </c>
      <c r="B63" s="2" t="n">
        <v>43242.21609953704</v>
      </c>
      <c r="C63" t="n">
        <v>0</v>
      </c>
      <c r="D63" t="n">
        <v>405</v>
      </c>
      <c r="E63" t="s">
        <v>74</v>
      </c>
      <c r="F63" t="s"/>
      <c r="G63" t="s"/>
      <c r="H63" t="s"/>
      <c r="I63" t="s"/>
      <c r="J63" t="n">
        <v>0.5859</v>
      </c>
      <c r="K63" t="n">
        <v>0</v>
      </c>
      <c r="L63" t="n">
        <v>0.833</v>
      </c>
      <c r="M63" t="n">
        <v>0.167</v>
      </c>
    </row>
    <row r="64" spans="1:13">
      <c r="A64" s="1">
        <f>HYPERLINK("http://www.twitter.com/NathanBLawrence/status/998793273647878144", "998793273647878144")</f>
        <v/>
      </c>
      <c r="B64" s="2" t="n">
        <v>43242.21582175926</v>
      </c>
      <c r="C64" t="n">
        <v>0</v>
      </c>
      <c r="D64" t="n">
        <v>831</v>
      </c>
      <c r="E64" t="s">
        <v>75</v>
      </c>
      <c r="F64" t="s"/>
      <c r="G64" t="s"/>
      <c r="H64" t="s"/>
      <c r="I64" t="s"/>
      <c r="J64" t="n">
        <v>-0.296</v>
      </c>
      <c r="K64" t="n">
        <v>0.091</v>
      </c>
      <c r="L64" t="n">
        <v>0.909</v>
      </c>
      <c r="M64" t="n">
        <v>0</v>
      </c>
    </row>
    <row r="65" spans="1:13">
      <c r="A65" s="1">
        <f>HYPERLINK("http://www.twitter.com/NathanBLawrence/status/998793218056568833", "998793218056568833")</f>
        <v/>
      </c>
      <c r="B65" s="2" t="n">
        <v>43242.2156712963</v>
      </c>
      <c r="C65" t="n">
        <v>0</v>
      </c>
      <c r="D65" t="n">
        <v>442</v>
      </c>
      <c r="E65" t="s">
        <v>76</v>
      </c>
      <c r="F65" t="s"/>
      <c r="G65" t="s"/>
      <c r="H65" t="s"/>
      <c r="I65" t="s"/>
      <c r="J65" t="n">
        <v>0.5709</v>
      </c>
      <c r="K65" t="n">
        <v>0</v>
      </c>
      <c r="L65" t="n">
        <v>0.831</v>
      </c>
      <c r="M65" t="n">
        <v>0.169</v>
      </c>
    </row>
    <row r="66" spans="1:13">
      <c r="A66" s="1">
        <f>HYPERLINK("http://www.twitter.com/NathanBLawrence/status/998793153392984065", "998793153392984065")</f>
        <v/>
      </c>
      <c r="B66" s="2" t="n">
        <v>43242.21549768518</v>
      </c>
      <c r="C66" t="n">
        <v>0</v>
      </c>
      <c r="D66" t="n">
        <v>2779</v>
      </c>
      <c r="E66" t="s">
        <v>77</v>
      </c>
      <c r="F66">
        <f>HYPERLINK("http://pbs.twimg.com/media/DdwG6urVAAAaIUl.jpg", "http://pbs.twimg.com/media/DdwG6urVAAAaIUl.jpg")</f>
        <v/>
      </c>
      <c r="G66">
        <f>HYPERLINK("http://pbs.twimg.com/media/DdwHPBwV4AAZCNy.jpg", "http://pbs.twimg.com/media/DdwHPBwV4AAZCNy.jpg")</f>
        <v/>
      </c>
      <c r="H66" t="s"/>
      <c r="I66" t="s"/>
      <c r="J66" t="n">
        <v>0.1027</v>
      </c>
      <c r="K66" t="n">
        <v>0.192</v>
      </c>
      <c r="L66" t="n">
        <v>0.602</v>
      </c>
      <c r="M66" t="n">
        <v>0.207</v>
      </c>
    </row>
    <row r="67" spans="1:13">
      <c r="A67" s="1">
        <f>HYPERLINK("http://www.twitter.com/NathanBLawrence/status/998792947985362944", "998792947985362944")</f>
        <v/>
      </c>
      <c r="B67" s="2" t="n">
        <v>43242.21493055556</v>
      </c>
      <c r="C67" t="n">
        <v>0</v>
      </c>
      <c r="D67" t="n">
        <v>179</v>
      </c>
      <c r="E67" t="s">
        <v>78</v>
      </c>
      <c r="F67" t="s"/>
      <c r="G67" t="s"/>
      <c r="H67" t="s"/>
      <c r="I67" t="s"/>
      <c r="J67" t="n">
        <v>0</v>
      </c>
      <c r="K67" t="n">
        <v>0</v>
      </c>
      <c r="L67" t="n">
        <v>1</v>
      </c>
      <c r="M67" t="n">
        <v>0</v>
      </c>
    </row>
    <row r="68" spans="1:13">
      <c r="A68" s="1">
        <f>HYPERLINK("http://www.twitter.com/NathanBLawrence/status/998792881388187648", "998792881388187648")</f>
        <v/>
      </c>
      <c r="B68" s="2" t="n">
        <v>43242.21474537037</v>
      </c>
      <c r="C68" t="n">
        <v>0</v>
      </c>
      <c r="D68" t="n">
        <v>3319</v>
      </c>
      <c r="E68" t="s">
        <v>79</v>
      </c>
      <c r="F68" t="s"/>
      <c r="G68" t="s"/>
      <c r="H68" t="s"/>
      <c r="I68" t="s"/>
      <c r="J68" t="n">
        <v>0</v>
      </c>
      <c r="K68" t="n">
        <v>0</v>
      </c>
      <c r="L68" t="n">
        <v>1</v>
      </c>
      <c r="M68" t="n">
        <v>0</v>
      </c>
    </row>
    <row r="69" spans="1:13">
      <c r="A69" s="1">
        <f>HYPERLINK("http://www.twitter.com/NathanBLawrence/status/998792861377216512", "998792861377216512")</f>
        <v/>
      </c>
      <c r="B69" s="2" t="n">
        <v>43242.2146875</v>
      </c>
      <c r="C69" t="n">
        <v>0</v>
      </c>
      <c r="D69" t="n">
        <v>2039</v>
      </c>
      <c r="E69" t="s">
        <v>80</v>
      </c>
      <c r="F69" t="s"/>
      <c r="G69" t="s"/>
      <c r="H69" t="s"/>
      <c r="I69" t="s"/>
      <c r="J69" t="n">
        <v>0.0258</v>
      </c>
      <c r="K69" t="n">
        <v>0</v>
      </c>
      <c r="L69" t="n">
        <v>0.948</v>
      </c>
      <c r="M69" t="n">
        <v>0.052</v>
      </c>
    </row>
    <row r="70" spans="1:13">
      <c r="A70" s="1">
        <f>HYPERLINK("http://www.twitter.com/NathanBLawrence/status/998792694221570048", "998792694221570048")</f>
        <v/>
      </c>
      <c r="B70" s="2" t="n">
        <v>43242.21422453703</v>
      </c>
      <c r="C70" t="n">
        <v>0</v>
      </c>
      <c r="D70" t="n">
        <v>1160</v>
      </c>
      <c r="E70" t="s">
        <v>81</v>
      </c>
      <c r="F70">
        <f>HYPERLINK("http://pbs.twimg.com/media/Ddxg9IPVwAEYI1H.jpg", "http://pbs.twimg.com/media/Ddxg9IPVwAEYI1H.jpg")</f>
        <v/>
      </c>
      <c r="G70" t="s"/>
      <c r="H70" t="s"/>
      <c r="I70" t="s"/>
      <c r="J70" t="n">
        <v>0.0258</v>
      </c>
      <c r="K70" t="n">
        <v>0</v>
      </c>
      <c r="L70" t="n">
        <v>0.927</v>
      </c>
      <c r="M70" t="n">
        <v>0.073</v>
      </c>
    </row>
    <row r="71" spans="1:13">
      <c r="A71" s="1">
        <f>HYPERLINK("http://www.twitter.com/NathanBLawrence/status/998792402587475969", "998792402587475969")</f>
        <v/>
      </c>
      <c r="B71" s="2" t="n">
        <v>43242.21342592593</v>
      </c>
      <c r="C71" t="n">
        <v>0</v>
      </c>
      <c r="D71" t="n">
        <v>388</v>
      </c>
      <c r="E71" t="s">
        <v>82</v>
      </c>
      <c r="F71">
        <f>HYPERLINK("http://pbs.twimg.com/media/DdxnHR8U8AEl8uI.jpg", "http://pbs.twimg.com/media/DdxnHR8U8AEl8uI.jpg")</f>
        <v/>
      </c>
      <c r="G71">
        <f>HYPERLINK("http://pbs.twimg.com/media/DdxnHR7U8AEChF9.jpg", "http://pbs.twimg.com/media/DdxnHR7U8AEChF9.jpg")</f>
        <v/>
      </c>
      <c r="H71">
        <f>HYPERLINK("http://pbs.twimg.com/media/DdxnHR8VAAAg1up.jpg", "http://pbs.twimg.com/media/DdxnHR8VAAAg1up.jpg")</f>
        <v/>
      </c>
      <c r="I71" t="s"/>
      <c r="J71" t="n">
        <v>0</v>
      </c>
      <c r="K71" t="n">
        <v>0</v>
      </c>
      <c r="L71" t="n">
        <v>1</v>
      </c>
      <c r="M71" t="n">
        <v>0</v>
      </c>
    </row>
    <row r="72" spans="1:13">
      <c r="A72" s="1">
        <f>HYPERLINK("http://www.twitter.com/NathanBLawrence/status/998792248266387456", "998792248266387456")</f>
        <v/>
      </c>
      <c r="B72" s="2" t="n">
        <v>43242.21299768519</v>
      </c>
      <c r="C72" t="n">
        <v>10</v>
      </c>
      <c r="D72" t="n">
        <v>4</v>
      </c>
      <c r="E72" t="s">
        <v>83</v>
      </c>
      <c r="F72" t="s"/>
      <c r="G72" t="s"/>
      <c r="H72" t="s"/>
      <c r="I72" t="s"/>
      <c r="J72" t="n">
        <v>-0.4767</v>
      </c>
      <c r="K72" t="n">
        <v>0.256</v>
      </c>
      <c r="L72" t="n">
        <v>0.628</v>
      </c>
      <c r="M72" t="n">
        <v>0.117</v>
      </c>
    </row>
    <row r="73" spans="1:13">
      <c r="A73" s="1">
        <f>HYPERLINK("http://www.twitter.com/NathanBLawrence/status/998792001423212544", "998792001423212544")</f>
        <v/>
      </c>
      <c r="B73" s="2" t="n">
        <v>43242.21231481482</v>
      </c>
      <c r="C73" t="n">
        <v>6</v>
      </c>
      <c r="D73" t="n">
        <v>5</v>
      </c>
      <c r="E73" t="s">
        <v>84</v>
      </c>
      <c r="F73" t="s"/>
      <c r="G73" t="s"/>
      <c r="H73" t="s"/>
      <c r="I73" t="s"/>
      <c r="J73" t="n">
        <v>-0.8984</v>
      </c>
      <c r="K73" t="n">
        <v>0.281</v>
      </c>
      <c r="L73" t="n">
        <v>0.719</v>
      </c>
      <c r="M73" t="n">
        <v>0</v>
      </c>
    </row>
    <row r="74" spans="1:13">
      <c r="A74" s="1">
        <f>HYPERLINK("http://www.twitter.com/NathanBLawrence/status/998790773284851712", "998790773284851712")</f>
        <v/>
      </c>
      <c r="B74" s="2" t="n">
        <v>43242.20892361111</v>
      </c>
      <c r="C74" t="n">
        <v>2</v>
      </c>
      <c r="D74" t="n">
        <v>0</v>
      </c>
      <c r="E74" t="s">
        <v>85</v>
      </c>
      <c r="F74" t="s"/>
      <c r="G74" t="s"/>
      <c r="H74" t="s"/>
      <c r="I74" t="s"/>
      <c r="J74" t="n">
        <v>0.34</v>
      </c>
      <c r="K74" t="n">
        <v>0</v>
      </c>
      <c r="L74" t="n">
        <v>0.806</v>
      </c>
      <c r="M74" t="n">
        <v>0.194</v>
      </c>
    </row>
    <row r="75" spans="1:13">
      <c r="A75" s="1">
        <f>HYPERLINK("http://www.twitter.com/NathanBLawrence/status/998790373680922624", "998790373680922624")</f>
        <v/>
      </c>
      <c r="B75" s="2" t="n">
        <v>43242.20782407407</v>
      </c>
      <c r="C75" t="n">
        <v>0</v>
      </c>
      <c r="D75" t="n">
        <v>1</v>
      </c>
      <c r="E75" t="s">
        <v>86</v>
      </c>
      <c r="F75" t="s"/>
      <c r="G75" t="s"/>
      <c r="H75" t="s"/>
      <c r="I75" t="s"/>
      <c r="J75" t="n">
        <v>0</v>
      </c>
      <c r="K75" t="n">
        <v>0</v>
      </c>
      <c r="L75" t="n">
        <v>1</v>
      </c>
      <c r="M75" t="n">
        <v>0</v>
      </c>
    </row>
    <row r="76" spans="1:13">
      <c r="A76" s="1">
        <f>HYPERLINK("http://www.twitter.com/NathanBLawrence/status/998790266545889282", "998790266545889282")</f>
        <v/>
      </c>
      <c r="B76" s="2" t="n">
        <v>43242.20752314815</v>
      </c>
      <c r="C76" t="n">
        <v>6</v>
      </c>
      <c r="D76" t="n">
        <v>3</v>
      </c>
      <c r="E76" t="s">
        <v>87</v>
      </c>
      <c r="F76" t="s"/>
      <c r="G76" t="s"/>
      <c r="H76" t="s"/>
      <c r="I76" t="s"/>
      <c r="J76" t="n">
        <v>0</v>
      </c>
      <c r="K76" t="n">
        <v>0</v>
      </c>
      <c r="L76" t="n">
        <v>1</v>
      </c>
      <c r="M76" t="n">
        <v>0</v>
      </c>
    </row>
    <row r="77" spans="1:13">
      <c r="A77" s="1">
        <f>HYPERLINK("http://www.twitter.com/NathanBLawrence/status/998789588226260995", "998789588226260995")</f>
        <v/>
      </c>
      <c r="B77" s="2" t="n">
        <v>43242.20565972223</v>
      </c>
      <c r="C77" t="n">
        <v>0</v>
      </c>
      <c r="D77" t="n">
        <v>2369</v>
      </c>
      <c r="E77" t="s">
        <v>88</v>
      </c>
      <c r="F77" t="s"/>
      <c r="G77" t="s"/>
      <c r="H77" t="s"/>
      <c r="I77" t="s"/>
      <c r="J77" t="n">
        <v>0.4144</v>
      </c>
      <c r="K77" t="n">
        <v>0</v>
      </c>
      <c r="L77" t="n">
        <v>0.884</v>
      </c>
      <c r="M77" t="n">
        <v>0.116</v>
      </c>
    </row>
    <row r="78" spans="1:13">
      <c r="A78" s="1">
        <f>HYPERLINK("http://www.twitter.com/NathanBLawrence/status/998789482689183748", "998789482689183748")</f>
        <v/>
      </c>
      <c r="B78" s="2" t="n">
        <v>43242.20535879629</v>
      </c>
      <c r="C78" t="n">
        <v>0</v>
      </c>
      <c r="D78" t="n">
        <v>11219</v>
      </c>
      <c r="E78" t="s">
        <v>89</v>
      </c>
      <c r="F78">
        <f>HYPERLINK("https://video.twimg.com/amplify_video/998418641875070976/vid/1280x720/Gs95a_TP5T_4gH-i.mp4?tag=2", "https://video.twimg.com/amplify_video/998418641875070976/vid/1280x720/Gs95a_TP5T_4gH-i.mp4?tag=2")</f>
        <v/>
      </c>
      <c r="G78" t="s"/>
      <c r="H78" t="s"/>
      <c r="I78" t="s"/>
      <c r="J78" t="n">
        <v>0.2023</v>
      </c>
      <c r="K78" t="n">
        <v>0</v>
      </c>
      <c r="L78" t="n">
        <v>0.913</v>
      </c>
      <c r="M78" t="n">
        <v>0.08699999999999999</v>
      </c>
    </row>
    <row r="79" spans="1:13">
      <c r="A79" s="1">
        <f>HYPERLINK("http://www.twitter.com/NathanBLawrence/status/998789152899448839", "998789152899448839")</f>
        <v/>
      </c>
      <c r="B79" s="2" t="n">
        <v>43242.20445601852</v>
      </c>
      <c r="C79" t="n">
        <v>0</v>
      </c>
      <c r="D79" t="n">
        <v>1116</v>
      </c>
      <c r="E79" t="s">
        <v>90</v>
      </c>
      <c r="F79">
        <f>HYPERLINK("https://video.twimg.com/ext_tw_video/998724918681391109/pu/vid/720x720/-oJrak_yo7NSLR5s.mp4?tag=3", "https://video.twimg.com/ext_tw_video/998724918681391109/pu/vid/720x720/-oJrak_yo7NSLR5s.mp4?tag=3")</f>
        <v/>
      </c>
      <c r="G79" t="s"/>
      <c r="H79" t="s"/>
      <c r="I79" t="s"/>
      <c r="J79" t="n">
        <v>0</v>
      </c>
      <c r="K79" t="n">
        <v>0</v>
      </c>
      <c r="L79" t="n">
        <v>1</v>
      </c>
      <c r="M79" t="n">
        <v>0</v>
      </c>
    </row>
    <row r="80" spans="1:13">
      <c r="A80" s="1">
        <f>HYPERLINK("http://www.twitter.com/NathanBLawrence/status/998789086478417920", "998789086478417920")</f>
        <v/>
      </c>
      <c r="B80" s="2" t="n">
        <v>43242.20427083333</v>
      </c>
      <c r="C80" t="n">
        <v>0</v>
      </c>
      <c r="D80" t="n">
        <v>11202</v>
      </c>
      <c r="E80" t="s">
        <v>91</v>
      </c>
      <c r="F80" t="s"/>
      <c r="G80" t="s"/>
      <c r="H80" t="s"/>
      <c r="I80" t="s"/>
      <c r="J80" t="n">
        <v>0.4158</v>
      </c>
      <c r="K80" t="n">
        <v>0</v>
      </c>
      <c r="L80" t="n">
        <v>0.873</v>
      </c>
      <c r="M80" t="n">
        <v>0.127</v>
      </c>
    </row>
    <row r="81" spans="1:13">
      <c r="A81" s="1">
        <f>HYPERLINK("http://www.twitter.com/NathanBLawrence/status/998789038277447680", "998789038277447680")</f>
        <v/>
      </c>
      <c r="B81" s="2" t="n">
        <v>43242.20413194445</v>
      </c>
      <c r="C81" t="n">
        <v>3</v>
      </c>
      <c r="D81" t="n">
        <v>2</v>
      </c>
      <c r="E81" t="s">
        <v>92</v>
      </c>
      <c r="F81" t="s"/>
      <c r="G81" t="s"/>
      <c r="H81" t="s"/>
      <c r="I81" t="s"/>
      <c r="J81" t="n">
        <v>-0.765</v>
      </c>
      <c r="K81" t="n">
        <v>0.268</v>
      </c>
      <c r="L81" t="n">
        <v>0.732</v>
      </c>
      <c r="M81" t="n">
        <v>0</v>
      </c>
    </row>
    <row r="82" spans="1:13">
      <c r="A82" s="1">
        <f>HYPERLINK("http://www.twitter.com/NathanBLawrence/status/998788874045345792", "998788874045345792")</f>
        <v/>
      </c>
      <c r="B82" s="2" t="n">
        <v>43242.20368055555</v>
      </c>
      <c r="C82" t="n">
        <v>0</v>
      </c>
      <c r="D82" t="n">
        <v>13</v>
      </c>
      <c r="E82" t="s">
        <v>93</v>
      </c>
      <c r="F82" t="s"/>
      <c r="G82" t="s"/>
      <c r="H82" t="s"/>
      <c r="I82" t="s"/>
      <c r="J82" t="n">
        <v>-0.7154</v>
      </c>
      <c r="K82" t="n">
        <v>0.249</v>
      </c>
      <c r="L82" t="n">
        <v>0.751</v>
      </c>
      <c r="M82" t="n">
        <v>0</v>
      </c>
    </row>
    <row r="83" spans="1:13">
      <c r="A83" s="1">
        <f>HYPERLINK("http://www.twitter.com/NathanBLawrence/status/998788325480656896", "998788325480656896")</f>
        <v/>
      </c>
      <c r="B83" s="2" t="n">
        <v>43242.20217592592</v>
      </c>
      <c r="C83" t="n">
        <v>6</v>
      </c>
      <c r="D83" t="n">
        <v>0</v>
      </c>
      <c r="E83" t="s">
        <v>94</v>
      </c>
      <c r="F83" t="s"/>
      <c r="G83" t="s"/>
      <c r="H83" t="s"/>
      <c r="I83" t="s"/>
      <c r="J83" t="n">
        <v>0.7125</v>
      </c>
      <c r="K83" t="n">
        <v>0</v>
      </c>
      <c r="L83" t="n">
        <v>0.775</v>
      </c>
      <c r="M83" t="n">
        <v>0.225</v>
      </c>
    </row>
    <row r="84" spans="1:13">
      <c r="A84" s="1">
        <f>HYPERLINK("http://www.twitter.com/NathanBLawrence/status/998788194140274688", "998788194140274688")</f>
        <v/>
      </c>
      <c r="B84" s="2" t="n">
        <v>43242.20180555555</v>
      </c>
      <c r="C84" t="n">
        <v>0</v>
      </c>
      <c r="D84" t="n">
        <v>1283</v>
      </c>
      <c r="E84" t="s">
        <v>95</v>
      </c>
      <c r="F84" t="s"/>
      <c r="G84" t="s"/>
      <c r="H84" t="s"/>
      <c r="I84" t="s"/>
      <c r="J84" t="n">
        <v>0</v>
      </c>
      <c r="K84" t="n">
        <v>0</v>
      </c>
      <c r="L84" t="n">
        <v>1</v>
      </c>
      <c r="M84" t="n">
        <v>0</v>
      </c>
    </row>
    <row r="85" spans="1:13">
      <c r="A85" s="1">
        <f>HYPERLINK("http://www.twitter.com/NathanBLawrence/status/998787700462256128", "998787700462256128")</f>
        <v/>
      </c>
      <c r="B85" s="2" t="n">
        <v>43242.20045138889</v>
      </c>
      <c r="C85" t="n">
        <v>0</v>
      </c>
      <c r="D85" t="n">
        <v>3</v>
      </c>
      <c r="E85" t="s">
        <v>96</v>
      </c>
      <c r="F85" t="s"/>
      <c r="G85" t="s"/>
      <c r="H85" t="s"/>
      <c r="I85" t="s"/>
      <c r="J85" t="n">
        <v>0</v>
      </c>
      <c r="K85" t="n">
        <v>0</v>
      </c>
      <c r="L85" t="n">
        <v>1</v>
      </c>
      <c r="M85" t="n">
        <v>0</v>
      </c>
    </row>
    <row r="86" spans="1:13">
      <c r="A86" s="1">
        <f>HYPERLINK("http://www.twitter.com/NathanBLawrence/status/998787466101313537", "998787466101313537")</f>
        <v/>
      </c>
      <c r="B86" s="2" t="n">
        <v>43242.19980324074</v>
      </c>
      <c r="C86" t="n">
        <v>13</v>
      </c>
      <c r="D86" t="n">
        <v>7</v>
      </c>
      <c r="E86" t="s">
        <v>97</v>
      </c>
      <c r="F86" t="s"/>
      <c r="G86" t="s"/>
      <c r="H86" t="s"/>
      <c r="I86" t="s"/>
      <c r="J86" t="n">
        <v>-0.6996</v>
      </c>
      <c r="K86" t="n">
        <v>0.243</v>
      </c>
      <c r="L86" t="n">
        <v>0.757</v>
      </c>
      <c r="M86" t="n">
        <v>0</v>
      </c>
    </row>
    <row r="87" spans="1:13">
      <c r="A87" s="1">
        <f>HYPERLINK("http://www.twitter.com/NathanBLawrence/status/998786941091921921", "998786941091921921")</f>
        <v/>
      </c>
      <c r="B87" s="2" t="n">
        <v>43242.19834490741</v>
      </c>
      <c r="C87" t="n">
        <v>7</v>
      </c>
      <c r="D87" t="n">
        <v>3</v>
      </c>
      <c r="E87" t="s">
        <v>98</v>
      </c>
      <c r="F87" t="s"/>
      <c r="G87" t="s"/>
      <c r="H87" t="s"/>
      <c r="I87" t="s"/>
      <c r="J87" t="n">
        <v>0.1129</v>
      </c>
      <c r="K87" t="n">
        <v>0.161</v>
      </c>
      <c r="L87" t="n">
        <v>0.638</v>
      </c>
      <c r="M87" t="n">
        <v>0.201</v>
      </c>
    </row>
    <row r="88" spans="1:13">
      <c r="A88" s="1">
        <f>HYPERLINK("http://www.twitter.com/NathanBLawrence/status/998718199439880192", "998718199439880192")</f>
        <v/>
      </c>
      <c r="B88" s="2" t="n">
        <v>43242.00865740741</v>
      </c>
      <c r="C88" t="n">
        <v>5</v>
      </c>
      <c r="D88" t="n">
        <v>1</v>
      </c>
      <c r="E88" t="s">
        <v>99</v>
      </c>
      <c r="F88" t="s"/>
      <c r="G88" t="s"/>
      <c r="H88" t="s"/>
      <c r="I88" t="s"/>
      <c r="J88" t="n">
        <v>-0.8655</v>
      </c>
      <c r="K88" t="n">
        <v>0.296</v>
      </c>
      <c r="L88" t="n">
        <v>0.704</v>
      </c>
      <c r="M88" t="n">
        <v>0</v>
      </c>
    </row>
    <row r="89" spans="1:13">
      <c r="A89" s="1">
        <f>HYPERLINK("http://www.twitter.com/NathanBLawrence/status/998717426341634049", "998717426341634049")</f>
        <v/>
      </c>
      <c r="B89" s="2" t="n">
        <v>43242.00652777778</v>
      </c>
      <c r="C89" t="n">
        <v>7</v>
      </c>
      <c r="D89" t="n">
        <v>3</v>
      </c>
      <c r="E89" t="s">
        <v>100</v>
      </c>
      <c r="F89" t="s"/>
      <c r="G89" t="s"/>
      <c r="H89" t="s"/>
      <c r="I89" t="s"/>
      <c r="J89" t="n">
        <v>-0.8481</v>
      </c>
      <c r="K89" t="n">
        <v>0.325</v>
      </c>
      <c r="L89" t="n">
        <v>0.675</v>
      </c>
      <c r="M89" t="n">
        <v>0</v>
      </c>
    </row>
    <row r="90" spans="1:13">
      <c r="A90" s="1">
        <f>HYPERLINK("http://www.twitter.com/NathanBLawrence/status/998717103057223682", "998717103057223682")</f>
        <v/>
      </c>
      <c r="B90" s="2" t="n">
        <v>43242.00563657407</v>
      </c>
      <c r="C90" t="n">
        <v>5</v>
      </c>
      <c r="D90" t="n">
        <v>4</v>
      </c>
      <c r="E90" t="s">
        <v>101</v>
      </c>
      <c r="F90" t="s"/>
      <c r="G90" t="s"/>
      <c r="H90" t="s"/>
      <c r="I90" t="s"/>
      <c r="J90" t="n">
        <v>-0.5848</v>
      </c>
      <c r="K90" t="n">
        <v>0.24</v>
      </c>
      <c r="L90" t="n">
        <v>0.649</v>
      </c>
      <c r="M90" t="n">
        <v>0.11</v>
      </c>
    </row>
    <row r="91" spans="1:13">
      <c r="A91" s="1">
        <f>HYPERLINK("http://www.twitter.com/NathanBLawrence/status/998715339549560833", "998715339549560833")</f>
        <v/>
      </c>
      <c r="B91" s="2" t="n">
        <v>43242.00076388889</v>
      </c>
      <c r="C91" t="n">
        <v>19</v>
      </c>
      <c r="D91" t="n">
        <v>11</v>
      </c>
      <c r="E91" t="s">
        <v>102</v>
      </c>
      <c r="F91" t="s"/>
      <c r="G91" t="s"/>
      <c r="H91" t="s"/>
      <c r="I91" t="s"/>
      <c r="J91" t="n">
        <v>-0.481</v>
      </c>
      <c r="K91" t="n">
        <v>0.251</v>
      </c>
      <c r="L91" t="n">
        <v>0.521</v>
      </c>
      <c r="M91" t="n">
        <v>0.228</v>
      </c>
    </row>
    <row r="92" spans="1:13">
      <c r="A92" s="1">
        <f>HYPERLINK("http://www.twitter.com/NathanBLawrence/status/998714139278172160", "998714139278172160")</f>
        <v/>
      </c>
      <c r="B92" s="2" t="n">
        <v>43241.99745370371</v>
      </c>
      <c r="C92" t="n">
        <v>4</v>
      </c>
      <c r="D92" t="n">
        <v>3</v>
      </c>
      <c r="E92" t="s">
        <v>103</v>
      </c>
      <c r="F92" t="s"/>
      <c r="G92" t="s"/>
      <c r="H92" t="s"/>
      <c r="I92" t="s"/>
      <c r="J92" t="n">
        <v>0.8011</v>
      </c>
      <c r="K92" t="n">
        <v>0</v>
      </c>
      <c r="L92" t="n">
        <v>0.801</v>
      </c>
      <c r="M92" t="n">
        <v>0.199</v>
      </c>
    </row>
    <row r="93" spans="1:13">
      <c r="A93" s="1">
        <f>HYPERLINK("http://www.twitter.com/NathanBLawrence/status/998713187292798977", "998713187292798977")</f>
        <v/>
      </c>
      <c r="B93" s="2" t="n">
        <v>43241.99482638889</v>
      </c>
      <c r="C93" t="n">
        <v>10</v>
      </c>
      <c r="D93" t="n">
        <v>2</v>
      </c>
      <c r="E93" t="s">
        <v>104</v>
      </c>
      <c r="F93" t="s"/>
      <c r="G93" t="s"/>
      <c r="H93" t="s"/>
      <c r="I93" t="s"/>
      <c r="J93" t="n">
        <v>0.5266999999999999</v>
      </c>
      <c r="K93" t="n">
        <v>0</v>
      </c>
      <c r="L93" t="n">
        <v>0.779</v>
      </c>
      <c r="M93" t="n">
        <v>0.221</v>
      </c>
    </row>
    <row r="94" spans="1:13">
      <c r="A94" s="1">
        <f>HYPERLINK("http://www.twitter.com/NathanBLawrence/status/998712579236085760", "998712579236085760")</f>
        <v/>
      </c>
      <c r="B94" s="2" t="n">
        <v>43241.99314814815</v>
      </c>
      <c r="C94" t="n">
        <v>4</v>
      </c>
      <c r="D94" t="n">
        <v>5</v>
      </c>
      <c r="E94" t="s">
        <v>105</v>
      </c>
      <c r="F94" t="s"/>
      <c r="G94" t="s"/>
      <c r="H94" t="s"/>
      <c r="I94" t="s"/>
      <c r="J94" t="n">
        <v>0</v>
      </c>
      <c r="K94" t="n">
        <v>0</v>
      </c>
      <c r="L94" t="n">
        <v>1</v>
      </c>
      <c r="M94" t="n">
        <v>0</v>
      </c>
    </row>
    <row r="95" spans="1:13">
      <c r="A95" s="1">
        <f>HYPERLINK("http://www.twitter.com/NathanBLawrence/status/998712421500968961", "998712421500968961")</f>
        <v/>
      </c>
      <c r="B95" s="2" t="n">
        <v>43241.99271990741</v>
      </c>
      <c r="C95" t="n">
        <v>8</v>
      </c>
      <c r="D95" t="n">
        <v>2</v>
      </c>
      <c r="E95" t="s">
        <v>106</v>
      </c>
      <c r="F95" t="s"/>
      <c r="G95" t="s"/>
      <c r="H95" t="s"/>
      <c r="I95" t="s"/>
      <c r="J95" t="n">
        <v>0</v>
      </c>
      <c r="K95" t="n">
        <v>0</v>
      </c>
      <c r="L95" t="n">
        <v>1</v>
      </c>
      <c r="M95" t="n">
        <v>0</v>
      </c>
    </row>
    <row r="96" spans="1:13">
      <c r="A96" s="1">
        <f>HYPERLINK("http://www.twitter.com/NathanBLawrence/status/998712238658629632", "998712238658629632")</f>
        <v/>
      </c>
      <c r="B96" s="2" t="n">
        <v>43241.99221064815</v>
      </c>
      <c r="C96" t="n">
        <v>0</v>
      </c>
      <c r="D96" t="n">
        <v>108</v>
      </c>
      <c r="E96" t="s">
        <v>107</v>
      </c>
      <c r="F96" t="s"/>
      <c r="G96" t="s"/>
      <c r="H96" t="s"/>
      <c r="I96" t="s"/>
      <c r="J96" t="n">
        <v>-0.1779</v>
      </c>
      <c r="K96" t="n">
        <v>0.128</v>
      </c>
      <c r="L96" t="n">
        <v>0.769</v>
      </c>
      <c r="M96" t="n">
        <v>0.103</v>
      </c>
    </row>
    <row r="97" spans="1:13">
      <c r="A97" s="1">
        <f>HYPERLINK("http://www.twitter.com/NathanBLawrence/status/998712188217917440", "998712188217917440")</f>
        <v/>
      </c>
      <c r="B97" s="2" t="n">
        <v>43241.99207175926</v>
      </c>
      <c r="C97" t="n">
        <v>0</v>
      </c>
      <c r="D97" t="n">
        <v>42</v>
      </c>
      <c r="E97" t="s">
        <v>108</v>
      </c>
      <c r="F97" t="s"/>
      <c r="G97" t="s"/>
      <c r="H97" t="s"/>
      <c r="I97" t="s"/>
      <c r="J97" t="n">
        <v>0</v>
      </c>
      <c r="K97" t="n">
        <v>0</v>
      </c>
      <c r="L97" t="n">
        <v>1</v>
      </c>
      <c r="M97" t="n">
        <v>0</v>
      </c>
    </row>
    <row r="98" spans="1:13">
      <c r="A98" s="1">
        <f>HYPERLINK("http://www.twitter.com/NathanBLawrence/status/998712151438061569", "998712151438061569")</f>
        <v/>
      </c>
      <c r="B98" s="2" t="n">
        <v>43241.99196759259</v>
      </c>
      <c r="C98" t="n">
        <v>0</v>
      </c>
      <c r="D98" t="n">
        <v>64</v>
      </c>
      <c r="E98" t="s">
        <v>109</v>
      </c>
      <c r="F98" t="s"/>
      <c r="G98" t="s"/>
      <c r="H98" t="s"/>
      <c r="I98" t="s"/>
      <c r="J98" t="n">
        <v>0.0258</v>
      </c>
      <c r="K98" t="n">
        <v>0</v>
      </c>
      <c r="L98" t="n">
        <v>0.952</v>
      </c>
      <c r="M98" t="n">
        <v>0.048</v>
      </c>
    </row>
    <row r="99" spans="1:13">
      <c r="A99" s="1">
        <f>HYPERLINK("http://www.twitter.com/NathanBLawrence/status/998712113009852416", "998712113009852416")</f>
        <v/>
      </c>
      <c r="B99" s="2" t="n">
        <v>43241.99186342592</v>
      </c>
      <c r="C99" t="n">
        <v>0</v>
      </c>
      <c r="D99" t="n">
        <v>40</v>
      </c>
      <c r="E99" t="s">
        <v>110</v>
      </c>
      <c r="F99" t="s"/>
      <c r="G99" t="s"/>
      <c r="H99" t="s"/>
      <c r="I99" t="s"/>
      <c r="J99" t="n">
        <v>0.3612</v>
      </c>
      <c r="K99" t="n">
        <v>0</v>
      </c>
      <c r="L99" t="n">
        <v>0.8149999999999999</v>
      </c>
      <c r="M99" t="n">
        <v>0.185</v>
      </c>
    </row>
    <row r="100" spans="1:13">
      <c r="A100" s="1">
        <f>HYPERLINK("http://www.twitter.com/NathanBLawrence/status/998712044449808384", "998712044449808384")</f>
        <v/>
      </c>
      <c r="B100" s="2" t="n">
        <v>43241.99167824074</v>
      </c>
      <c r="C100" t="n">
        <v>0</v>
      </c>
      <c r="D100" t="n">
        <v>258</v>
      </c>
      <c r="E100" t="s">
        <v>111</v>
      </c>
      <c r="F100">
        <f>HYPERLINK("https://video.twimg.com/ext_tw_video/998192453940273153/pu/vid/1280x720/Mg3VCpgbIltov-Pr.mp4?tag=3", "https://video.twimg.com/ext_tw_video/998192453940273153/pu/vid/1280x720/Mg3VCpgbIltov-Pr.mp4?tag=3")</f>
        <v/>
      </c>
      <c r="G100" t="s"/>
      <c r="H100" t="s"/>
      <c r="I100" t="s"/>
      <c r="J100" t="n">
        <v>0.624</v>
      </c>
      <c r="K100" t="n">
        <v>0</v>
      </c>
      <c r="L100" t="n">
        <v>0.843</v>
      </c>
      <c r="M100" t="n">
        <v>0.157</v>
      </c>
    </row>
    <row r="101" spans="1:13">
      <c r="A101" s="1">
        <f>HYPERLINK("http://www.twitter.com/NathanBLawrence/status/998712007380488192", "998712007380488192")</f>
        <v/>
      </c>
      <c r="B101" s="2" t="n">
        <v>43241.99157407408</v>
      </c>
      <c r="C101" t="n">
        <v>0</v>
      </c>
      <c r="D101" t="n">
        <v>60</v>
      </c>
      <c r="E101" t="s">
        <v>112</v>
      </c>
      <c r="F101">
        <f>HYPERLINK("http://pbs.twimg.com/media/DdugDBrVQAEAm3-.jpg", "http://pbs.twimg.com/media/DdugDBrVQAEAm3-.jpg")</f>
        <v/>
      </c>
      <c r="G101" t="s"/>
      <c r="H101" t="s"/>
      <c r="I101" t="s"/>
      <c r="J101" t="n">
        <v>0</v>
      </c>
      <c r="K101" t="n">
        <v>0</v>
      </c>
      <c r="L101" t="n">
        <v>1</v>
      </c>
      <c r="M101" t="n">
        <v>0</v>
      </c>
    </row>
    <row r="102" spans="1:13">
      <c r="A102" s="1">
        <f>HYPERLINK("http://www.twitter.com/NathanBLawrence/status/998711967152926720", "998711967152926720")</f>
        <v/>
      </c>
      <c r="B102" s="2" t="n">
        <v>43241.99145833333</v>
      </c>
      <c r="C102" t="n">
        <v>0</v>
      </c>
      <c r="D102" t="n">
        <v>38</v>
      </c>
      <c r="E102" t="s">
        <v>113</v>
      </c>
      <c r="F102" t="s"/>
      <c r="G102" t="s"/>
      <c r="H102" t="s"/>
      <c r="I102" t="s"/>
      <c r="J102" t="n">
        <v>-0.4939</v>
      </c>
      <c r="K102" t="n">
        <v>0.138</v>
      </c>
      <c r="L102" t="n">
        <v>0.862</v>
      </c>
      <c r="M102" t="n">
        <v>0</v>
      </c>
    </row>
    <row r="103" spans="1:13">
      <c r="A103" s="1">
        <f>HYPERLINK("http://www.twitter.com/NathanBLawrence/status/998711761497804800", "998711761497804800")</f>
        <v/>
      </c>
      <c r="B103" s="2" t="n">
        <v>43241.99089120371</v>
      </c>
      <c r="C103" t="n">
        <v>6</v>
      </c>
      <c r="D103" t="n">
        <v>1</v>
      </c>
      <c r="E103" t="s">
        <v>114</v>
      </c>
      <c r="F103" t="s"/>
      <c r="G103" t="s"/>
      <c r="H103" t="s"/>
      <c r="I103" t="s"/>
      <c r="J103" t="n">
        <v>-0.6792</v>
      </c>
      <c r="K103" t="n">
        <v>0.316</v>
      </c>
      <c r="L103" t="n">
        <v>0.516</v>
      </c>
      <c r="M103" t="n">
        <v>0.168</v>
      </c>
    </row>
    <row r="104" spans="1:13">
      <c r="A104" s="1">
        <f>HYPERLINK("http://www.twitter.com/NathanBLawrence/status/998710928421015553", "998710928421015553")</f>
        <v/>
      </c>
      <c r="B104" s="2" t="n">
        <v>43241.98859953704</v>
      </c>
      <c r="C104" t="n">
        <v>21</v>
      </c>
      <c r="D104" t="n">
        <v>10</v>
      </c>
      <c r="E104" t="s">
        <v>115</v>
      </c>
      <c r="F104" t="s"/>
      <c r="G104" t="s"/>
      <c r="H104" t="s"/>
      <c r="I104" t="s"/>
      <c r="J104" t="n">
        <v>0.857</v>
      </c>
      <c r="K104" t="n">
        <v>0.043</v>
      </c>
      <c r="L104" t="n">
        <v>0.794</v>
      </c>
      <c r="M104" t="n">
        <v>0.163</v>
      </c>
    </row>
    <row r="105" spans="1:13">
      <c r="A105" s="1">
        <f>HYPERLINK("http://www.twitter.com/NathanBLawrence/status/998709964863504385", "998709964863504385")</f>
        <v/>
      </c>
      <c r="B105" s="2" t="n">
        <v>43241.9859375</v>
      </c>
      <c r="C105" t="n">
        <v>16</v>
      </c>
      <c r="D105" t="n">
        <v>7</v>
      </c>
      <c r="E105" t="s">
        <v>116</v>
      </c>
      <c r="F105" t="s"/>
      <c r="G105" t="s"/>
      <c r="H105" t="s"/>
      <c r="I105" t="s"/>
      <c r="J105" t="n">
        <v>0.1531</v>
      </c>
      <c r="K105" t="n">
        <v>0.125</v>
      </c>
      <c r="L105" t="n">
        <v>0.761</v>
      </c>
      <c r="M105" t="n">
        <v>0.114</v>
      </c>
    </row>
    <row r="106" spans="1:13">
      <c r="A106" s="1">
        <f>HYPERLINK("http://www.twitter.com/NathanBLawrence/status/998695057006804992", "998695057006804992")</f>
        <v/>
      </c>
      <c r="B106" s="2" t="n">
        <v>43241.94480324074</v>
      </c>
      <c r="C106" t="n">
        <v>5</v>
      </c>
      <c r="D106" t="n">
        <v>3</v>
      </c>
      <c r="E106" t="s">
        <v>117</v>
      </c>
      <c r="F106" t="s"/>
      <c r="G106" t="s"/>
      <c r="H106" t="s"/>
      <c r="I106" t="s"/>
      <c r="J106" t="n">
        <v>-0.3164</v>
      </c>
      <c r="K106" t="n">
        <v>0.08400000000000001</v>
      </c>
      <c r="L106" t="n">
        <v>0.863</v>
      </c>
      <c r="M106" t="n">
        <v>0.054</v>
      </c>
    </row>
    <row r="107" spans="1:13">
      <c r="A107" s="1">
        <f>HYPERLINK("http://www.twitter.com/NathanBLawrence/status/998694346365923328", "998694346365923328")</f>
        <v/>
      </c>
      <c r="B107" s="2" t="n">
        <v>43241.94283564815</v>
      </c>
      <c r="C107" t="n">
        <v>8</v>
      </c>
      <c r="D107" t="n">
        <v>4</v>
      </c>
      <c r="E107" t="s">
        <v>118</v>
      </c>
      <c r="F107" t="s"/>
      <c r="G107" t="s"/>
      <c r="H107" t="s"/>
      <c r="I107" t="s"/>
      <c r="J107" t="n">
        <v>0.6239</v>
      </c>
      <c r="K107" t="n">
        <v>0</v>
      </c>
      <c r="L107" t="n">
        <v>0.806</v>
      </c>
      <c r="M107" t="n">
        <v>0.194</v>
      </c>
    </row>
    <row r="108" spans="1:13">
      <c r="A108" s="1">
        <f>HYPERLINK("http://www.twitter.com/NathanBLawrence/status/998668385666809856", "998668385666809856")</f>
        <v/>
      </c>
      <c r="B108" s="2" t="n">
        <v>43241.8712037037</v>
      </c>
      <c r="C108" t="n">
        <v>8</v>
      </c>
      <c r="D108" t="n">
        <v>1</v>
      </c>
      <c r="E108" t="s">
        <v>119</v>
      </c>
      <c r="F108" t="s"/>
      <c r="G108" t="s"/>
      <c r="H108" t="s"/>
      <c r="I108" t="s"/>
      <c r="J108" t="n">
        <v>0.4019</v>
      </c>
      <c r="K108" t="n">
        <v>0.063</v>
      </c>
      <c r="L108" t="n">
        <v>0.835</v>
      </c>
      <c r="M108" t="n">
        <v>0.102</v>
      </c>
    </row>
    <row r="109" spans="1:13">
      <c r="A109" s="1">
        <f>HYPERLINK("http://www.twitter.com/NathanBLawrence/status/998667940256825344", "998667940256825344")</f>
        <v/>
      </c>
      <c r="B109" s="2" t="n">
        <v>43241.86996527778</v>
      </c>
      <c r="C109" t="n">
        <v>8</v>
      </c>
      <c r="D109" t="n">
        <v>3</v>
      </c>
      <c r="E109" t="s">
        <v>120</v>
      </c>
      <c r="F109" t="s"/>
      <c r="G109" t="s"/>
      <c r="H109" t="s"/>
      <c r="I109" t="s"/>
      <c r="J109" t="n">
        <v>-0.9062</v>
      </c>
      <c r="K109" t="n">
        <v>0.249</v>
      </c>
      <c r="L109" t="n">
        <v>0.751</v>
      </c>
      <c r="M109" t="n">
        <v>0</v>
      </c>
    </row>
    <row r="110" spans="1:13">
      <c r="A110" s="1">
        <f>HYPERLINK("http://www.twitter.com/NathanBLawrence/status/998666858877276161", "998666858877276161")</f>
        <v/>
      </c>
      <c r="B110" s="2" t="n">
        <v>43241.86699074074</v>
      </c>
      <c r="C110" t="n">
        <v>4</v>
      </c>
      <c r="D110" t="n">
        <v>3</v>
      </c>
      <c r="E110" t="s">
        <v>121</v>
      </c>
      <c r="F110" t="s"/>
      <c r="G110" t="s"/>
      <c r="H110" t="s"/>
      <c r="I110" t="s"/>
      <c r="J110" t="n">
        <v>0</v>
      </c>
      <c r="K110" t="n">
        <v>0</v>
      </c>
      <c r="L110" t="n">
        <v>1</v>
      </c>
      <c r="M110" t="n">
        <v>0</v>
      </c>
    </row>
    <row r="111" spans="1:13">
      <c r="A111" s="1">
        <f>HYPERLINK("http://www.twitter.com/NathanBLawrence/status/998666602890457088", "998666602890457088")</f>
        <v/>
      </c>
      <c r="B111" s="2" t="n">
        <v>43241.86628472222</v>
      </c>
      <c r="C111" t="n">
        <v>32</v>
      </c>
      <c r="D111" t="n">
        <v>26</v>
      </c>
      <c r="E111" t="s">
        <v>122</v>
      </c>
      <c r="F111" t="s"/>
      <c r="G111" t="s"/>
      <c r="H111" t="s"/>
      <c r="I111" t="s"/>
      <c r="J111" t="n">
        <v>-0.5848</v>
      </c>
      <c r="K111" t="n">
        <v>0.24</v>
      </c>
      <c r="L111" t="n">
        <v>0.649</v>
      </c>
      <c r="M111" t="n">
        <v>0.11</v>
      </c>
    </row>
    <row r="112" spans="1:13">
      <c r="A112" s="1">
        <f>HYPERLINK("http://www.twitter.com/NathanBLawrence/status/998665022241816576", "998665022241816576")</f>
        <v/>
      </c>
      <c r="B112" s="2" t="n">
        <v>43241.86192129629</v>
      </c>
      <c r="C112" t="n">
        <v>3</v>
      </c>
      <c r="D112" t="n">
        <v>5</v>
      </c>
      <c r="E112" t="s">
        <v>123</v>
      </c>
      <c r="F112" t="s"/>
      <c r="G112" t="s"/>
      <c r="H112" t="s"/>
      <c r="I112" t="s"/>
      <c r="J112" t="n">
        <v>0</v>
      </c>
      <c r="K112" t="n">
        <v>0</v>
      </c>
      <c r="L112" t="n">
        <v>1</v>
      </c>
      <c r="M112" t="n">
        <v>0</v>
      </c>
    </row>
    <row r="113" spans="1:13">
      <c r="A113" s="1">
        <f>HYPERLINK("http://www.twitter.com/NathanBLawrence/status/998662682654851072", "998662682654851072")</f>
        <v/>
      </c>
      <c r="B113" s="2" t="n">
        <v>43241.85546296297</v>
      </c>
      <c r="C113" t="n">
        <v>3</v>
      </c>
      <c r="D113" t="n">
        <v>3</v>
      </c>
      <c r="E113" t="s">
        <v>124</v>
      </c>
      <c r="F113" t="s"/>
      <c r="G113" t="s"/>
      <c r="H113" t="s"/>
      <c r="I113" t="s"/>
      <c r="J113" t="n">
        <v>0.9354</v>
      </c>
      <c r="K113" t="n">
        <v>0.056</v>
      </c>
      <c r="L113" t="n">
        <v>0.534</v>
      </c>
      <c r="M113" t="n">
        <v>0.41</v>
      </c>
    </row>
    <row r="114" spans="1:13">
      <c r="A114" s="1">
        <f>HYPERLINK("http://www.twitter.com/NathanBLawrence/status/998618007134920705", "998618007134920705")</f>
        <v/>
      </c>
      <c r="B114" s="2" t="n">
        <v>43241.73217592593</v>
      </c>
      <c r="C114" t="n">
        <v>2</v>
      </c>
      <c r="D114" t="n">
        <v>0</v>
      </c>
      <c r="E114" t="s">
        <v>125</v>
      </c>
      <c r="F114" t="s"/>
      <c r="G114" t="s"/>
      <c r="H114" t="s"/>
      <c r="I114" t="s"/>
      <c r="J114" t="n">
        <v>-0.34</v>
      </c>
      <c r="K114" t="n">
        <v>0.161</v>
      </c>
      <c r="L114" t="n">
        <v>0.739</v>
      </c>
      <c r="M114" t="n">
        <v>0.1</v>
      </c>
    </row>
    <row r="115" spans="1:13">
      <c r="A115" s="1">
        <f>HYPERLINK("http://www.twitter.com/NathanBLawrence/status/998617721855135744", "998617721855135744")</f>
        <v/>
      </c>
      <c r="B115" s="2" t="n">
        <v>43241.73138888889</v>
      </c>
      <c r="C115" t="n">
        <v>3</v>
      </c>
      <c r="D115" t="n">
        <v>2</v>
      </c>
      <c r="E115" t="s">
        <v>126</v>
      </c>
      <c r="F115" t="s"/>
      <c r="G115" t="s"/>
      <c r="H115" t="s"/>
      <c r="I115" t="s"/>
      <c r="J115" t="n">
        <v>-0.7262999999999999</v>
      </c>
      <c r="K115" t="n">
        <v>0.283</v>
      </c>
      <c r="L115" t="n">
        <v>0.717</v>
      </c>
      <c r="M115" t="n">
        <v>0</v>
      </c>
    </row>
    <row r="116" spans="1:13">
      <c r="A116" s="1">
        <f>HYPERLINK("http://www.twitter.com/NathanBLawrence/status/998617578443423745", "998617578443423745")</f>
        <v/>
      </c>
      <c r="B116" s="2" t="n">
        <v>43241.73099537037</v>
      </c>
      <c r="C116" t="n">
        <v>2</v>
      </c>
      <c r="D116" t="n">
        <v>0</v>
      </c>
      <c r="E116" t="s">
        <v>127</v>
      </c>
      <c r="F116" t="s"/>
      <c r="G116" t="s"/>
      <c r="H116" t="s"/>
      <c r="I116" t="s"/>
      <c r="J116" t="n">
        <v>0</v>
      </c>
      <c r="K116" t="n">
        <v>0</v>
      </c>
      <c r="L116" t="n">
        <v>1</v>
      </c>
      <c r="M116" t="n">
        <v>0</v>
      </c>
    </row>
    <row r="117" spans="1:13">
      <c r="A117" s="1">
        <f>HYPERLINK("http://www.twitter.com/NathanBLawrence/status/998617340399894531", "998617340399894531")</f>
        <v/>
      </c>
      <c r="B117" s="2" t="n">
        <v>43241.73034722222</v>
      </c>
      <c r="C117" t="n">
        <v>1</v>
      </c>
      <c r="D117" t="n">
        <v>0</v>
      </c>
      <c r="E117" t="s">
        <v>128</v>
      </c>
      <c r="F117" t="s"/>
      <c r="G117" t="s"/>
      <c r="H117" t="s"/>
      <c r="I117" t="s"/>
      <c r="J117" t="n">
        <v>0.4215</v>
      </c>
      <c r="K117" t="n">
        <v>0</v>
      </c>
      <c r="L117" t="n">
        <v>0.872</v>
      </c>
      <c r="M117" t="n">
        <v>0.128</v>
      </c>
    </row>
    <row r="118" spans="1:13">
      <c r="A118" s="1">
        <f>HYPERLINK("http://www.twitter.com/NathanBLawrence/status/998613640772108289", "998613640772108289")</f>
        <v/>
      </c>
      <c r="B118" s="2" t="n">
        <v>43241.72012731482</v>
      </c>
      <c r="C118" t="n">
        <v>11</v>
      </c>
      <c r="D118" t="n">
        <v>5</v>
      </c>
      <c r="E118" t="s">
        <v>129</v>
      </c>
      <c r="F118" t="s"/>
      <c r="G118" t="s"/>
      <c r="H118" t="s"/>
      <c r="I118" t="s"/>
      <c r="J118" t="n">
        <v>0</v>
      </c>
      <c r="K118" t="n">
        <v>0</v>
      </c>
      <c r="L118" t="n">
        <v>1</v>
      </c>
      <c r="M118" t="n">
        <v>0</v>
      </c>
    </row>
    <row r="119" spans="1:13">
      <c r="A119" s="1">
        <f>HYPERLINK("http://www.twitter.com/NathanBLawrence/status/998613517530906624", "998613517530906624")</f>
        <v/>
      </c>
      <c r="B119" s="2" t="n">
        <v>43241.71979166667</v>
      </c>
      <c r="C119" t="n">
        <v>6</v>
      </c>
      <c r="D119" t="n">
        <v>3</v>
      </c>
      <c r="E119" t="s">
        <v>130</v>
      </c>
      <c r="F119" t="s"/>
      <c r="G119" t="s"/>
      <c r="H119" t="s"/>
      <c r="I119" t="s"/>
      <c r="J119" t="n">
        <v>0</v>
      </c>
      <c r="K119" t="n">
        <v>0</v>
      </c>
      <c r="L119" t="n">
        <v>1</v>
      </c>
      <c r="M119" t="n">
        <v>0</v>
      </c>
    </row>
    <row r="120" spans="1:13">
      <c r="A120" s="1">
        <f>HYPERLINK("http://www.twitter.com/NathanBLawrence/status/998613426199973888", "998613426199973888")</f>
        <v/>
      </c>
      <c r="B120" s="2" t="n">
        <v>43241.71953703704</v>
      </c>
      <c r="C120" t="n">
        <v>8</v>
      </c>
      <c r="D120" t="n">
        <v>4</v>
      </c>
      <c r="E120" t="s">
        <v>131</v>
      </c>
      <c r="F120" t="s"/>
      <c r="G120" t="s"/>
      <c r="H120" t="s"/>
      <c r="I120" t="s"/>
      <c r="J120" t="n">
        <v>0.3871</v>
      </c>
      <c r="K120" t="n">
        <v>0</v>
      </c>
      <c r="L120" t="n">
        <v>0.898</v>
      </c>
      <c r="M120" t="n">
        <v>0.102</v>
      </c>
    </row>
    <row r="121" spans="1:13">
      <c r="A121" s="1">
        <f>HYPERLINK("http://www.twitter.com/NathanBLawrence/status/998613238232170497", "998613238232170497")</f>
        <v/>
      </c>
      <c r="B121" s="2" t="n">
        <v>43241.7190162037</v>
      </c>
      <c r="C121" t="n">
        <v>0</v>
      </c>
      <c r="D121" t="n">
        <v>29937</v>
      </c>
      <c r="E121" t="s">
        <v>132</v>
      </c>
      <c r="F121" t="s"/>
      <c r="G121" t="s"/>
      <c r="H121" t="s"/>
      <c r="I121" t="s"/>
      <c r="J121" t="n">
        <v>-0.6597</v>
      </c>
      <c r="K121" t="n">
        <v>0.278</v>
      </c>
      <c r="L121" t="n">
        <v>0.634</v>
      </c>
      <c r="M121" t="n">
        <v>0.08799999999999999</v>
      </c>
    </row>
    <row r="122" spans="1:13">
      <c r="A122" s="1">
        <f>HYPERLINK("http://www.twitter.com/NathanBLawrence/status/998613197690040320", "998613197690040320")</f>
        <v/>
      </c>
      <c r="B122" s="2" t="n">
        <v>43241.71891203704</v>
      </c>
      <c r="C122" t="n">
        <v>0</v>
      </c>
      <c r="D122" t="n">
        <v>19168</v>
      </c>
      <c r="E122" t="s">
        <v>133</v>
      </c>
      <c r="F122" t="s"/>
      <c r="G122" t="s"/>
      <c r="H122" t="s"/>
      <c r="I122" t="s"/>
      <c r="J122" t="n">
        <v>0.1759</v>
      </c>
      <c r="K122" t="n">
        <v>0.178</v>
      </c>
      <c r="L122" t="n">
        <v>0.676</v>
      </c>
      <c r="M122" t="n">
        <v>0.146</v>
      </c>
    </row>
    <row r="123" spans="1:13">
      <c r="A123" s="1">
        <f>HYPERLINK("http://www.twitter.com/NathanBLawrence/status/998613152303529984", "998613152303529984")</f>
        <v/>
      </c>
      <c r="B123" s="2" t="n">
        <v>43241.71878472222</v>
      </c>
      <c r="C123" t="n">
        <v>0</v>
      </c>
      <c r="D123" t="n">
        <v>53118</v>
      </c>
      <c r="E123" t="s">
        <v>134</v>
      </c>
      <c r="F123" t="s"/>
      <c r="G123" t="s"/>
      <c r="H123" t="s"/>
      <c r="I123" t="s"/>
      <c r="J123" t="n">
        <v>0.4404</v>
      </c>
      <c r="K123" t="n">
        <v>0.06</v>
      </c>
      <c r="L123" t="n">
        <v>0.803</v>
      </c>
      <c r="M123" t="n">
        <v>0.137</v>
      </c>
    </row>
    <row r="124" spans="1:13">
      <c r="A124" s="1">
        <f>HYPERLINK("http://www.twitter.com/NathanBLawrence/status/998613080463392768", "998613080463392768")</f>
        <v/>
      </c>
      <c r="B124" s="2" t="n">
        <v>43241.71858796296</v>
      </c>
      <c r="C124" t="n">
        <v>0</v>
      </c>
      <c r="D124" t="n">
        <v>16196</v>
      </c>
      <c r="E124" t="s">
        <v>135</v>
      </c>
      <c r="F124" t="s"/>
      <c r="G124" t="s"/>
      <c r="H124" t="s"/>
      <c r="I124" t="s"/>
      <c r="J124" t="n">
        <v>0</v>
      </c>
      <c r="K124" t="n">
        <v>0</v>
      </c>
      <c r="L124" t="n">
        <v>1</v>
      </c>
      <c r="M124" t="n">
        <v>0</v>
      </c>
    </row>
    <row r="125" spans="1:13">
      <c r="A125" s="1">
        <f>HYPERLINK("http://www.twitter.com/NathanBLawrence/status/998613014357028864", "998613014357028864")</f>
        <v/>
      </c>
      <c r="B125" s="2" t="n">
        <v>43241.71840277778</v>
      </c>
      <c r="C125" t="n">
        <v>0</v>
      </c>
      <c r="D125" t="n">
        <v>21196</v>
      </c>
      <c r="E125" t="s">
        <v>136</v>
      </c>
      <c r="F125" t="s"/>
      <c r="G125" t="s"/>
      <c r="H125" t="s"/>
      <c r="I125" t="s"/>
      <c r="J125" t="n">
        <v>0</v>
      </c>
      <c r="K125" t="n">
        <v>0</v>
      </c>
      <c r="L125" t="n">
        <v>1</v>
      </c>
      <c r="M125" t="n">
        <v>0</v>
      </c>
    </row>
    <row r="126" spans="1:13">
      <c r="A126" s="1">
        <f>HYPERLINK("http://www.twitter.com/NathanBLawrence/status/998612832072548353", "998612832072548353")</f>
        <v/>
      </c>
      <c r="B126" s="2" t="n">
        <v>43241.71790509259</v>
      </c>
      <c r="C126" t="n">
        <v>0</v>
      </c>
      <c r="D126" t="n">
        <v>19443</v>
      </c>
      <c r="E126" t="s">
        <v>137</v>
      </c>
      <c r="F126" t="s"/>
      <c r="G126" t="s"/>
      <c r="H126" t="s"/>
      <c r="I126" t="s"/>
      <c r="J126" t="n">
        <v>0</v>
      </c>
      <c r="K126" t="n">
        <v>0</v>
      </c>
      <c r="L126" t="n">
        <v>1</v>
      </c>
      <c r="M126" t="n">
        <v>0</v>
      </c>
    </row>
    <row r="127" spans="1:13">
      <c r="A127" s="1">
        <f>HYPERLINK("http://www.twitter.com/NathanBLawrence/status/998612774375702528", "998612774375702528")</f>
        <v/>
      </c>
      <c r="B127" s="2" t="n">
        <v>43241.71774305555</v>
      </c>
      <c r="C127" t="n">
        <v>0</v>
      </c>
      <c r="D127" t="n">
        <v>31213</v>
      </c>
      <c r="E127" t="s">
        <v>138</v>
      </c>
      <c r="F127" t="s"/>
      <c r="G127" t="s"/>
      <c r="H127" t="s"/>
      <c r="I127" t="s"/>
      <c r="J127" t="n">
        <v>-0.8979</v>
      </c>
      <c r="K127" t="n">
        <v>0.412</v>
      </c>
      <c r="L127" t="n">
        <v>0.588</v>
      </c>
      <c r="M127" t="n">
        <v>0</v>
      </c>
    </row>
    <row r="128" spans="1:13">
      <c r="A128" s="1">
        <f>HYPERLINK("http://www.twitter.com/NathanBLawrence/status/998612735985254400", "998612735985254400")</f>
        <v/>
      </c>
      <c r="B128" s="2" t="n">
        <v>43241.71763888889</v>
      </c>
      <c r="C128" t="n">
        <v>0</v>
      </c>
      <c r="D128" t="n">
        <v>5546</v>
      </c>
      <c r="E128" t="s">
        <v>139</v>
      </c>
      <c r="F128" t="s"/>
      <c r="G128" t="s"/>
      <c r="H128" t="s"/>
      <c r="I128" t="s"/>
      <c r="J128" t="n">
        <v>-0.128</v>
      </c>
      <c r="K128" t="n">
        <v>0.067</v>
      </c>
      <c r="L128" t="n">
        <v>0.9330000000000001</v>
      </c>
      <c r="M128" t="n">
        <v>0</v>
      </c>
    </row>
    <row r="129" spans="1:13">
      <c r="A129" s="1">
        <f>HYPERLINK("http://www.twitter.com/NathanBLawrence/status/998612690762264576", "998612690762264576")</f>
        <v/>
      </c>
      <c r="B129" s="2" t="n">
        <v>43241.71751157408</v>
      </c>
      <c r="C129" t="n">
        <v>0</v>
      </c>
      <c r="D129" t="n">
        <v>24634</v>
      </c>
      <c r="E129" t="s">
        <v>140</v>
      </c>
      <c r="F129" t="s"/>
      <c r="G129" t="s"/>
      <c r="H129" t="s"/>
      <c r="I129" t="s"/>
      <c r="J129" t="n">
        <v>0.54</v>
      </c>
      <c r="K129" t="n">
        <v>0</v>
      </c>
      <c r="L129" t="n">
        <v>0.821</v>
      </c>
      <c r="M129" t="n">
        <v>0.179</v>
      </c>
    </row>
    <row r="130" spans="1:13">
      <c r="A130" s="1">
        <f>HYPERLINK("http://www.twitter.com/NathanBLawrence/status/998612659208503296", "998612659208503296")</f>
        <v/>
      </c>
      <c r="B130" s="2" t="n">
        <v>43241.71741898148</v>
      </c>
      <c r="C130" t="n">
        <v>0</v>
      </c>
      <c r="D130" t="n">
        <v>6</v>
      </c>
      <c r="E130" t="s">
        <v>141</v>
      </c>
      <c r="F130" t="s"/>
      <c r="G130" t="s"/>
      <c r="H130" t="s"/>
      <c r="I130" t="s"/>
      <c r="J130" t="n">
        <v>0.5574</v>
      </c>
      <c r="K130" t="n">
        <v>0.067</v>
      </c>
      <c r="L130" t="n">
        <v>0.714</v>
      </c>
      <c r="M130" t="n">
        <v>0.218</v>
      </c>
    </row>
    <row r="131" spans="1:13">
      <c r="A131" s="1">
        <f>HYPERLINK("http://www.twitter.com/NathanBLawrence/status/998612609824780288", "998612609824780288")</f>
        <v/>
      </c>
      <c r="B131" s="2" t="n">
        <v>43241.71729166667</v>
      </c>
      <c r="C131" t="n">
        <v>0</v>
      </c>
      <c r="D131" t="n">
        <v>22</v>
      </c>
      <c r="E131" t="s">
        <v>142</v>
      </c>
      <c r="F131" t="s"/>
      <c r="G131" t="s"/>
      <c r="H131" t="s"/>
      <c r="I131" t="s"/>
      <c r="J131" t="n">
        <v>-0.2342</v>
      </c>
      <c r="K131" t="n">
        <v>0.127</v>
      </c>
      <c r="L131" t="n">
        <v>0.789</v>
      </c>
      <c r="M131" t="n">
        <v>0.08400000000000001</v>
      </c>
    </row>
    <row r="132" spans="1:13">
      <c r="A132" s="1">
        <f>HYPERLINK("http://www.twitter.com/NathanBLawrence/status/998612575016239104", "998612575016239104")</f>
        <v/>
      </c>
      <c r="B132" s="2" t="n">
        <v>43241.7171875</v>
      </c>
      <c r="C132" t="n">
        <v>0</v>
      </c>
      <c r="D132" t="n">
        <v>9</v>
      </c>
      <c r="E132" t="s">
        <v>143</v>
      </c>
      <c r="F132">
        <f>HYPERLINK("https://video.twimg.com/ext_tw_video/998020162568699904/pu/vid/1280x720/qa7kuAIpc2FTu4eX.mp4?tag=3", "https://video.twimg.com/ext_tw_video/998020162568699904/pu/vid/1280x720/qa7kuAIpc2FTu4eX.mp4?tag=3")</f>
        <v/>
      </c>
      <c r="G132" t="s"/>
      <c r="H132" t="s"/>
      <c r="I132" t="s"/>
      <c r="J132" t="n">
        <v>0.2732</v>
      </c>
      <c r="K132" t="n">
        <v>0</v>
      </c>
      <c r="L132" t="n">
        <v>0.913</v>
      </c>
      <c r="M132" t="n">
        <v>0.08699999999999999</v>
      </c>
    </row>
    <row r="133" spans="1:13">
      <c r="A133" s="1">
        <f>HYPERLINK("http://www.twitter.com/NathanBLawrence/status/998612488844292096", "998612488844292096")</f>
        <v/>
      </c>
      <c r="B133" s="2" t="n">
        <v>43241.71695601852</v>
      </c>
      <c r="C133" t="n">
        <v>0</v>
      </c>
      <c r="D133" t="n">
        <v>75</v>
      </c>
      <c r="E133" t="s">
        <v>144</v>
      </c>
      <c r="F133">
        <f>HYPERLINK("http://pbs.twimg.com/media/DdubzqWUwAAxDef.jpg", "http://pbs.twimg.com/media/DdubzqWUwAAxDef.jpg")</f>
        <v/>
      </c>
      <c r="G133" t="s"/>
      <c r="H133" t="s"/>
      <c r="I133" t="s"/>
      <c r="J133" t="n">
        <v>-0.3089</v>
      </c>
      <c r="K133" t="n">
        <v>0.101</v>
      </c>
      <c r="L133" t="n">
        <v>0.899</v>
      </c>
      <c r="M133" t="n">
        <v>0</v>
      </c>
    </row>
    <row r="134" spans="1:13">
      <c r="A134" s="1">
        <f>HYPERLINK("http://www.twitter.com/NathanBLawrence/status/998612362146938881", "998612362146938881")</f>
        <v/>
      </c>
      <c r="B134" s="2" t="n">
        <v>43241.7166087963</v>
      </c>
      <c r="C134" t="n">
        <v>0</v>
      </c>
      <c r="D134" t="n">
        <v>31</v>
      </c>
      <c r="E134" t="s">
        <v>145</v>
      </c>
      <c r="F134">
        <f>HYPERLINK("http://pbs.twimg.com/media/Ddubb3wUQAAhXcg.jpg", "http://pbs.twimg.com/media/Ddubb3wUQAAhXcg.jpg")</f>
        <v/>
      </c>
      <c r="G134" t="s"/>
      <c r="H134" t="s"/>
      <c r="I134" t="s"/>
      <c r="J134" t="n">
        <v>0.2828</v>
      </c>
      <c r="K134" t="n">
        <v>0.095</v>
      </c>
      <c r="L134" t="n">
        <v>0.761</v>
      </c>
      <c r="M134" t="n">
        <v>0.144</v>
      </c>
    </row>
    <row r="135" spans="1:13">
      <c r="A135" s="1">
        <f>HYPERLINK("http://www.twitter.com/NathanBLawrence/status/998612285835821056", "998612285835821056")</f>
        <v/>
      </c>
      <c r="B135" s="2" t="n">
        <v>43241.71638888889</v>
      </c>
      <c r="C135" t="n">
        <v>2</v>
      </c>
      <c r="D135" t="n">
        <v>0</v>
      </c>
      <c r="E135" t="s">
        <v>146</v>
      </c>
      <c r="F135" t="s"/>
      <c r="G135" t="s"/>
      <c r="H135" t="s"/>
      <c r="I135" t="s"/>
      <c r="J135" t="n">
        <v>0</v>
      </c>
      <c r="K135" t="n">
        <v>0</v>
      </c>
      <c r="L135" t="n">
        <v>1</v>
      </c>
      <c r="M135" t="n">
        <v>0</v>
      </c>
    </row>
    <row r="136" spans="1:13">
      <c r="A136" s="1">
        <f>HYPERLINK("http://www.twitter.com/NathanBLawrence/status/998612184765677569", "998612184765677569")</f>
        <v/>
      </c>
      <c r="B136" s="2" t="n">
        <v>43241.71611111111</v>
      </c>
      <c r="C136" t="n">
        <v>0</v>
      </c>
      <c r="D136" t="n">
        <v>12</v>
      </c>
      <c r="E136" t="s">
        <v>147</v>
      </c>
      <c r="F136" t="s"/>
      <c r="G136" t="s"/>
      <c r="H136" t="s"/>
      <c r="I136" t="s"/>
      <c r="J136" t="n">
        <v>-0.128</v>
      </c>
      <c r="K136" t="n">
        <v>0.097</v>
      </c>
      <c r="L136" t="n">
        <v>0.903</v>
      </c>
      <c r="M136" t="n">
        <v>0</v>
      </c>
    </row>
    <row r="137" spans="1:13">
      <c r="A137" s="1">
        <f>HYPERLINK("http://www.twitter.com/NathanBLawrence/status/998611354020818945", "998611354020818945")</f>
        <v/>
      </c>
      <c r="B137" s="2" t="n">
        <v>43241.71381944444</v>
      </c>
      <c r="C137" t="n">
        <v>0</v>
      </c>
      <c r="D137" t="n">
        <v>61</v>
      </c>
      <c r="E137" t="s">
        <v>148</v>
      </c>
      <c r="F137">
        <f>HYPERLINK("https://video.twimg.com/amplify_video/996069924836651009/vid/1280x720/ImQk0Pjb7EFB07MN.mp4?tag=2", "https://video.twimg.com/amplify_video/996069924836651009/vid/1280x720/ImQk0Pjb7EFB07MN.mp4?tag=2")</f>
        <v/>
      </c>
      <c r="G137" t="s"/>
      <c r="H137" t="s"/>
      <c r="I137" t="s"/>
      <c r="J137" t="n">
        <v>0.7804</v>
      </c>
      <c r="K137" t="n">
        <v>0</v>
      </c>
      <c r="L137" t="n">
        <v>0.671</v>
      </c>
      <c r="M137" t="n">
        <v>0.329</v>
      </c>
    </row>
    <row r="138" spans="1:13">
      <c r="A138" s="1">
        <f>HYPERLINK("http://www.twitter.com/NathanBLawrence/status/998611293203398656", "998611293203398656")</f>
        <v/>
      </c>
      <c r="B138" s="2" t="n">
        <v>43241.71365740741</v>
      </c>
      <c r="C138" t="n">
        <v>0</v>
      </c>
      <c r="D138" t="n">
        <v>7</v>
      </c>
      <c r="E138" t="s">
        <v>149</v>
      </c>
      <c r="F138" t="s"/>
      <c r="G138" t="s"/>
      <c r="H138" t="s"/>
      <c r="I138" t="s"/>
      <c r="J138" t="n">
        <v>-0.1027</v>
      </c>
      <c r="K138" t="n">
        <v>0.091</v>
      </c>
      <c r="L138" t="n">
        <v>0.909</v>
      </c>
      <c r="M138" t="n">
        <v>0</v>
      </c>
    </row>
    <row r="139" spans="1:13">
      <c r="A139" s="1">
        <f>HYPERLINK("http://www.twitter.com/NathanBLawrence/status/998611256247382016", "998611256247382016")</f>
        <v/>
      </c>
      <c r="B139" s="2" t="n">
        <v>43241.71355324074</v>
      </c>
      <c r="C139" t="n">
        <v>0</v>
      </c>
      <c r="D139" t="n">
        <v>18</v>
      </c>
      <c r="E139" t="s">
        <v>150</v>
      </c>
      <c r="F139" t="s"/>
      <c r="G139" t="s"/>
      <c r="H139" t="s"/>
      <c r="I139" t="s"/>
      <c r="J139" t="n">
        <v>0</v>
      </c>
      <c r="K139" t="n">
        <v>0</v>
      </c>
      <c r="L139" t="n">
        <v>1</v>
      </c>
      <c r="M139" t="n">
        <v>0</v>
      </c>
    </row>
    <row r="140" spans="1:13">
      <c r="A140" s="1">
        <f>HYPERLINK("http://www.twitter.com/NathanBLawrence/status/998611215076081664", "998611215076081664")</f>
        <v/>
      </c>
      <c r="B140" s="2" t="n">
        <v>43241.7134375</v>
      </c>
      <c r="C140" t="n">
        <v>0</v>
      </c>
      <c r="D140" t="n">
        <v>12</v>
      </c>
      <c r="E140" t="s">
        <v>151</v>
      </c>
      <c r="F140" t="s"/>
      <c r="G140" t="s"/>
      <c r="H140" t="s"/>
      <c r="I140" t="s"/>
      <c r="J140" t="n">
        <v>0.6841</v>
      </c>
      <c r="K140" t="n">
        <v>0</v>
      </c>
      <c r="L140" t="n">
        <v>0.751</v>
      </c>
      <c r="M140" t="n">
        <v>0.249</v>
      </c>
    </row>
    <row r="141" spans="1:13">
      <c r="A141" s="1">
        <f>HYPERLINK("http://www.twitter.com/NathanBLawrence/status/998611168150282241", "998611168150282241")</f>
        <v/>
      </c>
      <c r="B141" s="2" t="n">
        <v>43241.71331018519</v>
      </c>
      <c r="C141" t="n">
        <v>0</v>
      </c>
      <c r="D141" t="n">
        <v>4040</v>
      </c>
      <c r="E141" t="s">
        <v>152</v>
      </c>
      <c r="F141">
        <f>HYPERLINK("http://pbs.twimg.com/media/Ddu3kvEVQAAgnUq.jpg", "http://pbs.twimg.com/media/Ddu3kvEVQAAgnUq.jpg")</f>
        <v/>
      </c>
      <c r="G141" t="s"/>
      <c r="H141" t="s"/>
      <c r="I141" t="s"/>
      <c r="J141" t="n">
        <v>0.8316</v>
      </c>
      <c r="K141" t="n">
        <v>0</v>
      </c>
      <c r="L141" t="n">
        <v>0.642</v>
      </c>
      <c r="M141" t="n">
        <v>0.358</v>
      </c>
    </row>
    <row r="142" spans="1:13">
      <c r="A142" s="1">
        <f>HYPERLINK("http://www.twitter.com/NathanBLawrence/status/998611130141491201", "998611130141491201")</f>
        <v/>
      </c>
      <c r="B142" s="2" t="n">
        <v>43241.71320601852</v>
      </c>
      <c r="C142" t="n">
        <v>5</v>
      </c>
      <c r="D142" t="n">
        <v>2</v>
      </c>
      <c r="E142" t="s">
        <v>153</v>
      </c>
      <c r="F142" t="s"/>
      <c r="G142" t="s"/>
      <c r="H142" t="s"/>
      <c r="I142" t="s"/>
      <c r="J142" t="n">
        <v>0</v>
      </c>
      <c r="K142" t="n">
        <v>0</v>
      </c>
      <c r="L142" t="n">
        <v>1</v>
      </c>
      <c r="M142" t="n">
        <v>0</v>
      </c>
    </row>
    <row r="143" spans="1:13">
      <c r="A143" s="1">
        <f>HYPERLINK("http://www.twitter.com/NathanBLawrence/status/998611015225954304", "998611015225954304")</f>
        <v/>
      </c>
      <c r="B143" s="2" t="n">
        <v>43241.71288194445</v>
      </c>
      <c r="C143" t="n">
        <v>0</v>
      </c>
      <c r="D143" t="n">
        <v>17</v>
      </c>
      <c r="E143" t="s">
        <v>154</v>
      </c>
      <c r="F143" t="s"/>
      <c r="G143" t="s"/>
      <c r="H143" t="s"/>
      <c r="I143" t="s"/>
      <c r="J143" t="n">
        <v>0.6124000000000001</v>
      </c>
      <c r="K143" t="n">
        <v>0</v>
      </c>
      <c r="L143" t="n">
        <v>0.773</v>
      </c>
      <c r="M143" t="n">
        <v>0.227</v>
      </c>
    </row>
    <row r="144" spans="1:13">
      <c r="A144" s="1">
        <f>HYPERLINK("http://www.twitter.com/NathanBLawrence/status/998610981969248256", "998610981969248256")</f>
        <v/>
      </c>
      <c r="B144" s="2" t="n">
        <v>43241.71280092592</v>
      </c>
      <c r="C144" t="n">
        <v>5</v>
      </c>
      <c r="D144" t="n">
        <v>0</v>
      </c>
      <c r="E144" t="s">
        <v>155</v>
      </c>
      <c r="F144" t="s"/>
      <c r="G144" t="s"/>
      <c r="H144" t="s"/>
      <c r="I144" t="s"/>
      <c r="J144" t="n">
        <v>0</v>
      </c>
      <c r="K144" t="n">
        <v>0</v>
      </c>
      <c r="L144" t="n">
        <v>1</v>
      </c>
      <c r="M144" t="n">
        <v>0</v>
      </c>
    </row>
    <row r="145" spans="1:13">
      <c r="A145" s="1">
        <f>HYPERLINK("http://www.twitter.com/NathanBLawrence/status/998610890709594112", "998610890709594112")</f>
        <v/>
      </c>
      <c r="B145" s="2" t="n">
        <v>43241.71254629629</v>
      </c>
      <c r="C145" t="n">
        <v>0</v>
      </c>
      <c r="D145" t="n">
        <v>14</v>
      </c>
      <c r="E145" t="s">
        <v>156</v>
      </c>
      <c r="F145" t="s"/>
      <c r="G145" t="s"/>
      <c r="H145" t="s"/>
      <c r="I145" t="s"/>
      <c r="J145" t="n">
        <v>0</v>
      </c>
      <c r="K145" t="n">
        <v>0</v>
      </c>
      <c r="L145" t="n">
        <v>1</v>
      </c>
      <c r="M145" t="n">
        <v>0</v>
      </c>
    </row>
    <row r="146" spans="1:13">
      <c r="A146" s="1">
        <f>HYPERLINK("http://www.twitter.com/NathanBLawrence/status/998610853451608065", "998610853451608065")</f>
        <v/>
      </c>
      <c r="B146" s="2" t="n">
        <v>43241.71244212963</v>
      </c>
      <c r="C146" t="n">
        <v>0</v>
      </c>
      <c r="D146" t="n">
        <v>10</v>
      </c>
      <c r="E146" t="s">
        <v>157</v>
      </c>
      <c r="F146" t="s"/>
      <c r="G146" t="s"/>
      <c r="H146" t="s"/>
      <c r="I146" t="s"/>
      <c r="J146" t="n">
        <v>0</v>
      </c>
      <c r="K146" t="n">
        <v>0</v>
      </c>
      <c r="L146" t="n">
        <v>1</v>
      </c>
      <c r="M146" t="n">
        <v>0</v>
      </c>
    </row>
    <row r="147" spans="1:13">
      <c r="A147" s="1">
        <f>HYPERLINK("http://www.twitter.com/NathanBLawrence/status/998610822640295936", "998610822640295936")</f>
        <v/>
      </c>
      <c r="B147" s="2" t="n">
        <v>43241.71236111111</v>
      </c>
      <c r="C147" t="n">
        <v>0</v>
      </c>
      <c r="D147" t="n">
        <v>38</v>
      </c>
      <c r="E147" t="s">
        <v>158</v>
      </c>
      <c r="F147" t="s"/>
      <c r="G147" t="s"/>
      <c r="H147" t="s"/>
      <c r="I147" t="s"/>
      <c r="J147" t="n">
        <v>0</v>
      </c>
      <c r="K147" t="n">
        <v>0</v>
      </c>
      <c r="L147" t="n">
        <v>1</v>
      </c>
      <c r="M147" t="n">
        <v>0</v>
      </c>
    </row>
    <row r="148" spans="1:13">
      <c r="A148" s="1">
        <f>HYPERLINK("http://www.twitter.com/NathanBLawrence/status/998610787269672961", "998610787269672961")</f>
        <v/>
      </c>
      <c r="B148" s="2" t="n">
        <v>43241.71225694445</v>
      </c>
      <c r="C148" t="n">
        <v>0</v>
      </c>
      <c r="D148" t="n">
        <v>11778</v>
      </c>
      <c r="E148" t="s">
        <v>159</v>
      </c>
      <c r="F148">
        <f>HYPERLINK("http://pbs.twimg.com/media/C18IvMdXEAAxSf9.jpg", "http://pbs.twimg.com/media/C18IvMdXEAAxSf9.jpg")</f>
        <v/>
      </c>
      <c r="G148" t="s"/>
      <c r="H148" t="s"/>
      <c r="I148" t="s"/>
      <c r="J148" t="n">
        <v>-0.8552999999999999</v>
      </c>
      <c r="K148" t="n">
        <v>0.331</v>
      </c>
      <c r="L148" t="n">
        <v>0.669</v>
      </c>
      <c r="M148" t="n">
        <v>0</v>
      </c>
    </row>
    <row r="149" spans="1:13">
      <c r="A149" s="1">
        <f>HYPERLINK("http://www.twitter.com/NathanBLawrence/status/998610620474843137", "998610620474843137")</f>
        <v/>
      </c>
      <c r="B149" s="2" t="n">
        <v>43241.71179398148</v>
      </c>
      <c r="C149" t="n">
        <v>26</v>
      </c>
      <c r="D149" t="n">
        <v>12</v>
      </c>
      <c r="E149" t="s">
        <v>160</v>
      </c>
      <c r="F149" t="s"/>
      <c r="G149" t="s"/>
      <c r="H149" t="s"/>
      <c r="I149" t="s"/>
      <c r="J149" t="n">
        <v>-0.4753</v>
      </c>
      <c r="K149" t="n">
        <v>0.07199999999999999</v>
      </c>
      <c r="L149" t="n">
        <v>0.928</v>
      </c>
      <c r="M149" t="n">
        <v>0</v>
      </c>
    </row>
    <row r="150" spans="1:13">
      <c r="A150" s="1">
        <f>HYPERLINK("http://www.twitter.com/NathanBLawrence/status/998610463163277312", "998610463163277312")</f>
        <v/>
      </c>
      <c r="B150" s="2" t="n">
        <v>43241.71136574074</v>
      </c>
      <c r="C150" t="n">
        <v>4</v>
      </c>
      <c r="D150" t="n">
        <v>3</v>
      </c>
      <c r="E150" t="s">
        <v>161</v>
      </c>
      <c r="F150" t="s"/>
      <c r="G150" t="s"/>
      <c r="H150" t="s"/>
      <c r="I150" t="s"/>
      <c r="J150" t="n">
        <v>0.6467000000000001</v>
      </c>
      <c r="K150" t="n">
        <v>0</v>
      </c>
      <c r="L150" t="n">
        <v>0.726</v>
      </c>
      <c r="M150" t="n">
        <v>0.274</v>
      </c>
    </row>
    <row r="151" spans="1:13">
      <c r="A151" s="1">
        <f>HYPERLINK("http://www.twitter.com/NathanBLawrence/status/998610260972617728", "998610260972617728")</f>
        <v/>
      </c>
      <c r="B151" s="2" t="n">
        <v>43241.71081018518</v>
      </c>
      <c r="C151" t="n">
        <v>14</v>
      </c>
      <c r="D151" t="n">
        <v>4</v>
      </c>
      <c r="E151" t="s">
        <v>162</v>
      </c>
      <c r="F151" t="s"/>
      <c r="G151" t="s"/>
      <c r="H151" t="s"/>
      <c r="I151" t="s"/>
      <c r="J151" t="n">
        <v>-0.2714</v>
      </c>
      <c r="K151" t="n">
        <v>0.056</v>
      </c>
      <c r="L151" t="n">
        <v>0.944</v>
      </c>
      <c r="M151" t="n">
        <v>0</v>
      </c>
    </row>
    <row r="152" spans="1:13">
      <c r="A152" s="1">
        <f>HYPERLINK("http://www.twitter.com/NathanBLawrence/status/998609749447864321", "998609749447864321")</f>
        <v/>
      </c>
      <c r="B152" s="2" t="n">
        <v>43241.70939814814</v>
      </c>
      <c r="C152" t="n">
        <v>4</v>
      </c>
      <c r="D152" t="n">
        <v>2</v>
      </c>
      <c r="E152" t="s">
        <v>163</v>
      </c>
      <c r="F152" t="s"/>
      <c r="G152" t="s"/>
      <c r="H152" t="s"/>
      <c r="I152" t="s"/>
      <c r="J152" t="n">
        <v>0</v>
      </c>
      <c r="K152" t="n">
        <v>0</v>
      </c>
      <c r="L152" t="n">
        <v>1</v>
      </c>
      <c r="M152" t="n">
        <v>0</v>
      </c>
    </row>
    <row r="153" spans="1:13">
      <c r="A153" s="1">
        <f>HYPERLINK("http://www.twitter.com/NathanBLawrence/status/998609264846389248", "998609264846389248")</f>
        <v/>
      </c>
      <c r="B153" s="2" t="n">
        <v>43241.70805555556</v>
      </c>
      <c r="C153" t="n">
        <v>11</v>
      </c>
      <c r="D153" t="n">
        <v>7</v>
      </c>
      <c r="E153" t="s">
        <v>164</v>
      </c>
      <c r="F153" t="s"/>
      <c r="G153" t="s"/>
      <c r="H153" t="s"/>
      <c r="I153" t="s"/>
      <c r="J153" t="n">
        <v>-0.9370000000000001</v>
      </c>
      <c r="K153" t="n">
        <v>0.26</v>
      </c>
      <c r="L153" t="n">
        <v>0.74</v>
      </c>
      <c r="M153" t="n">
        <v>0</v>
      </c>
    </row>
    <row r="154" spans="1:13">
      <c r="A154" s="1">
        <f>HYPERLINK("http://www.twitter.com/NathanBLawrence/status/998608817792339968", "998608817792339968")</f>
        <v/>
      </c>
      <c r="B154" s="2" t="n">
        <v>43241.7068287037</v>
      </c>
      <c r="C154" t="n">
        <v>8</v>
      </c>
      <c r="D154" t="n">
        <v>5</v>
      </c>
      <c r="E154" t="s">
        <v>165</v>
      </c>
      <c r="F154" t="s"/>
      <c r="G154" t="s"/>
      <c r="H154" t="s"/>
      <c r="I154" t="s"/>
      <c r="J154" t="n">
        <v>-0.7901</v>
      </c>
      <c r="K154" t="n">
        <v>0.466</v>
      </c>
      <c r="L154" t="n">
        <v>0.534</v>
      </c>
      <c r="M154" t="n">
        <v>0</v>
      </c>
    </row>
    <row r="155" spans="1:13">
      <c r="A155" s="1">
        <f>HYPERLINK("http://www.twitter.com/NathanBLawrence/status/998608620660051968", "998608620660051968")</f>
        <v/>
      </c>
      <c r="B155" s="2" t="n">
        <v>43241.70628472222</v>
      </c>
      <c r="C155" t="n">
        <v>0</v>
      </c>
      <c r="D155" t="n">
        <v>8</v>
      </c>
      <c r="E155" t="s">
        <v>166</v>
      </c>
      <c r="F155" t="s"/>
      <c r="G155" t="s"/>
      <c r="H155" t="s"/>
      <c r="I155" t="s"/>
      <c r="J155" t="n">
        <v>-0.6997</v>
      </c>
      <c r="K155" t="n">
        <v>0.216</v>
      </c>
      <c r="L155" t="n">
        <v>0.784</v>
      </c>
      <c r="M155" t="n">
        <v>0</v>
      </c>
    </row>
    <row r="156" spans="1:13">
      <c r="A156" s="1">
        <f>HYPERLINK("http://www.twitter.com/NathanBLawrence/status/998608499595624448", "998608499595624448")</f>
        <v/>
      </c>
      <c r="B156" s="2" t="n">
        <v>43241.70594907407</v>
      </c>
      <c r="C156" t="n">
        <v>0</v>
      </c>
      <c r="D156" t="n">
        <v>0</v>
      </c>
      <c r="E156" t="s">
        <v>167</v>
      </c>
      <c r="F156" t="s"/>
      <c r="G156" t="s"/>
      <c r="H156" t="s"/>
      <c r="I156" t="s"/>
      <c r="J156" t="n">
        <v>0</v>
      </c>
      <c r="K156" t="n">
        <v>0</v>
      </c>
      <c r="L156" t="n">
        <v>1</v>
      </c>
      <c r="M156" t="n">
        <v>0</v>
      </c>
    </row>
    <row r="157" spans="1:13">
      <c r="A157" s="1">
        <f>HYPERLINK("http://www.twitter.com/NathanBLawrence/status/998608362253139970", "998608362253139970")</f>
        <v/>
      </c>
      <c r="B157" s="2" t="n">
        <v>43241.70556712963</v>
      </c>
      <c r="C157" t="n">
        <v>0</v>
      </c>
      <c r="D157" t="n">
        <v>195</v>
      </c>
      <c r="E157" t="s">
        <v>168</v>
      </c>
      <c r="F157">
        <f>HYPERLINK("https://video.twimg.com/ext_tw_video/997168419228139520/pu/vid/1280x720/LL-UMiIgSK5JNjLM.mp4?tag=3", "https://video.twimg.com/ext_tw_video/997168419228139520/pu/vid/1280x720/LL-UMiIgSK5JNjLM.mp4?tag=3")</f>
        <v/>
      </c>
      <c r="G157" t="s"/>
      <c r="H157" t="s"/>
      <c r="I157" t="s"/>
      <c r="J157" t="n">
        <v>0.2732</v>
      </c>
      <c r="K157" t="n">
        <v>0.049</v>
      </c>
      <c r="L157" t="n">
        <v>0.852</v>
      </c>
      <c r="M157" t="n">
        <v>0.099</v>
      </c>
    </row>
    <row r="158" spans="1:13">
      <c r="A158" s="1">
        <f>HYPERLINK("http://www.twitter.com/NathanBLawrence/status/998608315033661441", "998608315033661441")</f>
        <v/>
      </c>
      <c r="B158" s="2" t="n">
        <v>43241.70543981482</v>
      </c>
      <c r="C158" t="n">
        <v>0</v>
      </c>
      <c r="D158" t="n">
        <v>1860</v>
      </c>
      <c r="E158" t="s">
        <v>169</v>
      </c>
      <c r="F158">
        <f>HYPERLINK("https://video.twimg.com/ext_tw_video/997330201431293952/pu/vid/1280x720/3ieBhFjpBHjPyB9d.mp4?tag=3", "https://video.twimg.com/ext_tw_video/997330201431293952/pu/vid/1280x720/3ieBhFjpBHjPyB9d.mp4?tag=3")</f>
        <v/>
      </c>
      <c r="G158" t="s"/>
      <c r="H158" t="s"/>
      <c r="I158" t="s"/>
      <c r="J158" t="n">
        <v>0</v>
      </c>
      <c r="K158" t="n">
        <v>0</v>
      </c>
      <c r="L158" t="n">
        <v>1</v>
      </c>
      <c r="M158" t="n">
        <v>0</v>
      </c>
    </row>
    <row r="159" spans="1:13">
      <c r="A159" s="1">
        <f>HYPERLINK("http://www.twitter.com/NathanBLawrence/status/998608230203834369", "998608230203834369")</f>
        <v/>
      </c>
      <c r="B159" s="2" t="n">
        <v>43241.70519675926</v>
      </c>
      <c r="C159" t="n">
        <v>0</v>
      </c>
      <c r="D159" t="n">
        <v>2069</v>
      </c>
      <c r="E159" t="s">
        <v>170</v>
      </c>
      <c r="F159">
        <f>HYPERLINK("https://video.twimg.com/ext_tw_video/997856301152550912/pu/vid/1280x720/clmeTFbgnx4YH-gG.mp4?tag=3", "https://video.twimg.com/ext_tw_video/997856301152550912/pu/vid/1280x720/clmeTFbgnx4YH-gG.mp4?tag=3")</f>
        <v/>
      </c>
      <c r="G159" t="s"/>
      <c r="H159" t="s"/>
      <c r="I159" t="s"/>
      <c r="J159" t="n">
        <v>-0.8831</v>
      </c>
      <c r="K159" t="n">
        <v>0.377</v>
      </c>
      <c r="L159" t="n">
        <v>0.623</v>
      </c>
      <c r="M159" t="n">
        <v>0</v>
      </c>
    </row>
    <row r="160" spans="1:13">
      <c r="A160" s="1">
        <f>HYPERLINK("http://www.twitter.com/NathanBLawrence/status/998608161585090560", "998608161585090560")</f>
        <v/>
      </c>
      <c r="B160" s="2" t="n">
        <v>43241.70501157407</v>
      </c>
      <c r="C160" t="n">
        <v>0</v>
      </c>
      <c r="D160" t="n">
        <v>1479</v>
      </c>
      <c r="E160" t="s">
        <v>171</v>
      </c>
      <c r="F160">
        <f>HYPERLINK("https://video.twimg.com/ext_tw_video/998591671481782272/pu/vid/1280x720/5NufE768bTcZfy_h.mp4?tag=3", "https://video.twimg.com/ext_tw_video/998591671481782272/pu/vid/1280x720/5NufE768bTcZfy_h.mp4?tag=3")</f>
        <v/>
      </c>
      <c r="G160" t="s"/>
      <c r="H160" t="s"/>
      <c r="I160" t="s"/>
      <c r="J160" t="n">
        <v>0.552</v>
      </c>
      <c r="K160" t="n">
        <v>0</v>
      </c>
      <c r="L160" t="n">
        <v>0.849</v>
      </c>
      <c r="M160" t="n">
        <v>0.151</v>
      </c>
    </row>
    <row r="161" spans="1:13">
      <c r="A161" s="1">
        <f>HYPERLINK("http://www.twitter.com/NathanBLawrence/status/998608101312876544", "998608101312876544")</f>
        <v/>
      </c>
      <c r="B161" s="2" t="n">
        <v>43241.70484953704</v>
      </c>
      <c r="C161" t="n">
        <v>5</v>
      </c>
      <c r="D161" t="n">
        <v>6</v>
      </c>
      <c r="E161" t="s">
        <v>172</v>
      </c>
      <c r="F161" t="s"/>
      <c r="G161" t="s"/>
      <c r="H161" t="s"/>
      <c r="I161" t="s"/>
      <c r="J161" t="n">
        <v>0</v>
      </c>
      <c r="K161" t="n">
        <v>0</v>
      </c>
      <c r="L161" t="n">
        <v>1</v>
      </c>
      <c r="M161" t="n">
        <v>0</v>
      </c>
    </row>
    <row r="162" spans="1:13">
      <c r="A162" s="1">
        <f>HYPERLINK("http://www.twitter.com/NathanBLawrence/status/998606081130577921", "998606081130577921")</f>
        <v/>
      </c>
      <c r="B162" s="2" t="n">
        <v>43241.69927083333</v>
      </c>
      <c r="C162" t="n">
        <v>0</v>
      </c>
      <c r="D162" t="n">
        <v>16</v>
      </c>
      <c r="E162" t="s">
        <v>173</v>
      </c>
      <c r="F162">
        <f>HYPERLINK("http://pbs.twimg.com/media/Dcw6F9eWAAAiZPE.jpg", "http://pbs.twimg.com/media/Dcw6F9eWAAAiZPE.jpg")</f>
        <v/>
      </c>
      <c r="G162" t="s"/>
      <c r="H162" t="s"/>
      <c r="I162" t="s"/>
      <c r="J162" t="n">
        <v>0.4199</v>
      </c>
      <c r="K162" t="n">
        <v>0</v>
      </c>
      <c r="L162" t="n">
        <v>0.878</v>
      </c>
      <c r="M162" t="n">
        <v>0.122</v>
      </c>
    </row>
    <row r="163" spans="1:13">
      <c r="A163" s="1">
        <f>HYPERLINK("http://www.twitter.com/NathanBLawrence/status/998605605144182784", "998605605144182784")</f>
        <v/>
      </c>
      <c r="B163" s="2" t="n">
        <v>43241.69796296296</v>
      </c>
      <c r="C163" t="n">
        <v>10</v>
      </c>
      <c r="D163" t="n">
        <v>5</v>
      </c>
      <c r="E163" t="s">
        <v>174</v>
      </c>
      <c r="F163" t="s"/>
      <c r="G163" t="s"/>
      <c r="H163" t="s"/>
      <c r="I163" t="s"/>
      <c r="J163" t="n">
        <v>0.6932</v>
      </c>
      <c r="K163" t="n">
        <v>0</v>
      </c>
      <c r="L163" t="n">
        <v>0.83</v>
      </c>
      <c r="M163" t="n">
        <v>0.17</v>
      </c>
    </row>
    <row r="164" spans="1:13">
      <c r="A164" s="1">
        <f>HYPERLINK("http://www.twitter.com/NathanBLawrence/status/998605149143629824", "998605149143629824")</f>
        <v/>
      </c>
      <c r="B164" s="2" t="n">
        <v>43241.69670138889</v>
      </c>
      <c r="C164" t="n">
        <v>8</v>
      </c>
      <c r="D164" t="n">
        <v>2</v>
      </c>
      <c r="E164" t="s">
        <v>175</v>
      </c>
      <c r="F164" t="s"/>
      <c r="G164" t="s"/>
      <c r="H164" t="s"/>
      <c r="I164" t="s"/>
      <c r="J164" t="n">
        <v>0.296</v>
      </c>
      <c r="K164" t="n">
        <v>0</v>
      </c>
      <c r="L164" t="n">
        <v>0.872</v>
      </c>
      <c r="M164" t="n">
        <v>0.128</v>
      </c>
    </row>
    <row r="165" spans="1:13">
      <c r="A165" s="1">
        <f>HYPERLINK("http://www.twitter.com/NathanBLawrence/status/998604997435641858", "998604997435641858")</f>
        <v/>
      </c>
      <c r="B165" s="2" t="n">
        <v>43241.69628472222</v>
      </c>
      <c r="C165" t="n">
        <v>4</v>
      </c>
      <c r="D165" t="n">
        <v>0</v>
      </c>
      <c r="E165" t="s">
        <v>176</v>
      </c>
      <c r="F165" t="s"/>
      <c r="G165" t="s"/>
      <c r="H165" t="s"/>
      <c r="I165" t="s"/>
      <c r="J165" t="n">
        <v>0.8689</v>
      </c>
      <c r="K165" t="n">
        <v>0</v>
      </c>
      <c r="L165" t="n">
        <v>0.66</v>
      </c>
      <c r="M165" t="n">
        <v>0.34</v>
      </c>
    </row>
    <row r="166" spans="1:13">
      <c r="A166" s="1">
        <f>HYPERLINK("http://www.twitter.com/NathanBLawrence/status/998604790736211968", "998604790736211968")</f>
        <v/>
      </c>
      <c r="B166" s="2" t="n">
        <v>43241.69570601852</v>
      </c>
      <c r="C166" t="n">
        <v>4</v>
      </c>
      <c r="D166" t="n">
        <v>1</v>
      </c>
      <c r="E166" t="s">
        <v>177</v>
      </c>
      <c r="F166" t="s"/>
      <c r="G166" t="s"/>
      <c r="H166" t="s"/>
      <c r="I166" t="s"/>
      <c r="J166" t="n">
        <v>-0.8316</v>
      </c>
      <c r="K166" t="n">
        <v>0.191</v>
      </c>
      <c r="L166" t="n">
        <v>0.8090000000000001</v>
      </c>
      <c r="M166" t="n">
        <v>0</v>
      </c>
    </row>
    <row r="167" spans="1:13">
      <c r="A167" s="1">
        <f>HYPERLINK("http://www.twitter.com/NathanBLawrence/status/998604518991409154", "998604518991409154")</f>
        <v/>
      </c>
      <c r="B167" s="2" t="n">
        <v>43241.69496527778</v>
      </c>
      <c r="C167" t="n">
        <v>4</v>
      </c>
      <c r="D167" t="n">
        <v>1</v>
      </c>
      <c r="E167" t="s">
        <v>178</v>
      </c>
      <c r="F167" t="s"/>
      <c r="G167" t="s"/>
      <c r="H167" t="s"/>
      <c r="I167" t="s"/>
      <c r="J167" t="n">
        <v>-0.5994</v>
      </c>
      <c r="K167" t="n">
        <v>0.187</v>
      </c>
      <c r="L167" t="n">
        <v>0.8129999999999999</v>
      </c>
      <c r="M167" t="n">
        <v>0</v>
      </c>
    </row>
    <row r="168" spans="1:13">
      <c r="A168" s="1">
        <f>HYPERLINK("http://www.twitter.com/NathanBLawrence/status/998443613976645633", "998443613976645633")</f>
        <v/>
      </c>
      <c r="B168" s="2" t="n">
        <v>43241.25094907408</v>
      </c>
      <c r="C168" t="n">
        <v>8</v>
      </c>
      <c r="D168" t="n">
        <v>4</v>
      </c>
      <c r="E168" t="s">
        <v>179</v>
      </c>
      <c r="F168" t="s"/>
      <c r="G168" t="s"/>
      <c r="H168" t="s"/>
      <c r="I168" t="s"/>
      <c r="J168" t="n">
        <v>0</v>
      </c>
      <c r="K168" t="n">
        <v>0</v>
      </c>
      <c r="L168" t="n">
        <v>1</v>
      </c>
      <c r="M168" t="n">
        <v>0</v>
      </c>
    </row>
    <row r="169" spans="1:13">
      <c r="A169" s="1">
        <f>HYPERLINK("http://www.twitter.com/NathanBLawrence/status/998443478227943424", "998443478227943424")</f>
        <v/>
      </c>
      <c r="B169" s="2" t="n">
        <v>43241.2505787037</v>
      </c>
      <c r="C169" t="n">
        <v>3</v>
      </c>
      <c r="D169" t="n">
        <v>1</v>
      </c>
      <c r="E169" t="s">
        <v>180</v>
      </c>
      <c r="F169" t="s"/>
      <c r="G169" t="s"/>
      <c r="H169" t="s"/>
      <c r="I169" t="s"/>
      <c r="J169" t="n">
        <v>0.2003</v>
      </c>
      <c r="K169" t="n">
        <v>0</v>
      </c>
      <c r="L169" t="n">
        <v>0.87</v>
      </c>
      <c r="M169" t="n">
        <v>0.13</v>
      </c>
    </row>
    <row r="170" spans="1:13">
      <c r="A170" s="1">
        <f>HYPERLINK("http://www.twitter.com/NathanBLawrence/status/998443318815088641", "998443318815088641")</f>
        <v/>
      </c>
      <c r="B170" s="2" t="n">
        <v>43241.25013888889</v>
      </c>
      <c r="C170" t="n">
        <v>14</v>
      </c>
      <c r="D170" t="n">
        <v>15</v>
      </c>
      <c r="E170" t="s">
        <v>181</v>
      </c>
      <c r="F170" t="s"/>
      <c r="G170" t="s"/>
      <c r="H170" t="s"/>
      <c r="I170" t="s"/>
      <c r="J170" t="n">
        <v>0</v>
      </c>
      <c r="K170" t="n">
        <v>0</v>
      </c>
      <c r="L170" t="n">
        <v>1</v>
      </c>
      <c r="M170" t="n">
        <v>0</v>
      </c>
    </row>
    <row r="171" spans="1:13">
      <c r="A171" s="1">
        <f>HYPERLINK("http://www.twitter.com/NathanBLawrence/status/998442998550511619", "998442998550511619")</f>
        <v/>
      </c>
      <c r="B171" s="2" t="n">
        <v>43241.24924768518</v>
      </c>
      <c r="C171" t="n">
        <v>7</v>
      </c>
      <c r="D171" t="n">
        <v>3</v>
      </c>
      <c r="E171" t="s">
        <v>182</v>
      </c>
      <c r="F171" t="s"/>
      <c r="G171" t="s"/>
      <c r="H171" t="s"/>
      <c r="I171" t="s"/>
      <c r="J171" t="n">
        <v>0.4404</v>
      </c>
      <c r="K171" t="n">
        <v>0</v>
      </c>
      <c r="L171" t="n">
        <v>0.8179999999999999</v>
      </c>
      <c r="M171" t="n">
        <v>0.182</v>
      </c>
    </row>
    <row r="172" spans="1:13">
      <c r="A172" s="1">
        <f>HYPERLINK("http://www.twitter.com/NathanBLawrence/status/998442294138159104", "998442294138159104")</f>
        <v/>
      </c>
      <c r="B172" s="2" t="n">
        <v>43241.24730324074</v>
      </c>
      <c r="C172" t="n">
        <v>11</v>
      </c>
      <c r="D172" t="n">
        <v>3</v>
      </c>
      <c r="E172" t="s">
        <v>183</v>
      </c>
      <c r="F172" t="s"/>
      <c r="G172" t="s"/>
      <c r="H172" t="s"/>
      <c r="I172" t="s"/>
      <c r="J172" t="n">
        <v>-0.8856000000000001</v>
      </c>
      <c r="K172" t="n">
        <v>0.215</v>
      </c>
      <c r="L172" t="n">
        <v>0.746</v>
      </c>
      <c r="M172" t="n">
        <v>0.039</v>
      </c>
    </row>
    <row r="173" spans="1:13">
      <c r="A173" s="1">
        <f>HYPERLINK("http://www.twitter.com/NathanBLawrence/status/998441454367211520", "998441454367211520")</f>
        <v/>
      </c>
      <c r="B173" s="2" t="n">
        <v>43241.24498842593</v>
      </c>
      <c r="C173" t="n">
        <v>12</v>
      </c>
      <c r="D173" t="n">
        <v>9</v>
      </c>
      <c r="E173" t="s">
        <v>184</v>
      </c>
      <c r="F173" t="s"/>
      <c r="G173" t="s"/>
      <c r="H173" t="s"/>
      <c r="I173" t="s"/>
      <c r="J173" t="n">
        <v>0</v>
      </c>
      <c r="K173" t="n">
        <v>0</v>
      </c>
      <c r="L173" t="n">
        <v>1</v>
      </c>
      <c r="M173" t="n">
        <v>0</v>
      </c>
    </row>
    <row r="174" spans="1:13">
      <c r="A174" s="1">
        <f>HYPERLINK("http://www.twitter.com/NathanBLawrence/status/998440973683253248", "998440973683253248")</f>
        <v/>
      </c>
      <c r="B174" s="2" t="n">
        <v>43241.24365740741</v>
      </c>
      <c r="C174" t="n">
        <v>8</v>
      </c>
      <c r="D174" t="n">
        <v>0</v>
      </c>
      <c r="E174" t="s">
        <v>185</v>
      </c>
      <c r="F174" t="s"/>
      <c r="G174" t="s"/>
      <c r="H174" t="s"/>
      <c r="I174" t="s"/>
      <c r="J174" t="n">
        <v>0.3786</v>
      </c>
      <c r="K174" t="n">
        <v>0.122</v>
      </c>
      <c r="L174" t="n">
        <v>0.667</v>
      </c>
      <c r="M174" t="n">
        <v>0.21</v>
      </c>
    </row>
    <row r="175" spans="1:13">
      <c r="A175" s="1">
        <f>HYPERLINK("http://www.twitter.com/NathanBLawrence/status/998440242200788992", "998440242200788992")</f>
        <v/>
      </c>
      <c r="B175" s="2" t="n">
        <v>43241.24164351852</v>
      </c>
      <c r="C175" t="n">
        <v>12</v>
      </c>
      <c r="D175" t="n">
        <v>5</v>
      </c>
      <c r="E175" t="s">
        <v>186</v>
      </c>
      <c r="F175" t="s"/>
      <c r="G175" t="s"/>
      <c r="H175" t="s"/>
      <c r="I175" t="s"/>
      <c r="J175" t="n">
        <v>-0.3182</v>
      </c>
      <c r="K175" t="n">
        <v>0.161</v>
      </c>
      <c r="L175" t="n">
        <v>0.839</v>
      </c>
      <c r="M175" t="n">
        <v>0</v>
      </c>
    </row>
    <row r="176" spans="1:13">
      <c r="A176" s="1">
        <f>HYPERLINK("http://www.twitter.com/NathanBLawrence/status/998439912641781760", "998439912641781760")</f>
        <v/>
      </c>
      <c r="B176" s="2" t="n">
        <v>43241.24072916667</v>
      </c>
      <c r="C176" t="n">
        <v>4</v>
      </c>
      <c r="D176" t="n">
        <v>1</v>
      </c>
      <c r="E176" t="s">
        <v>187</v>
      </c>
      <c r="F176" t="s"/>
      <c r="G176" t="s"/>
      <c r="H176" t="s"/>
      <c r="I176" t="s"/>
      <c r="J176" t="n">
        <v>0</v>
      </c>
      <c r="K176" t="n">
        <v>0</v>
      </c>
      <c r="L176" t="n">
        <v>1</v>
      </c>
      <c r="M176" t="n">
        <v>0</v>
      </c>
    </row>
    <row r="177" spans="1:13">
      <c r="A177" s="1">
        <f>HYPERLINK("http://www.twitter.com/NathanBLawrence/status/998439501209911296", "998439501209911296")</f>
        <v/>
      </c>
      <c r="B177" s="2" t="n">
        <v>43241.23959490741</v>
      </c>
      <c r="C177" t="n">
        <v>7</v>
      </c>
      <c r="D177" t="n">
        <v>4</v>
      </c>
      <c r="E177" t="s">
        <v>188</v>
      </c>
      <c r="F177" t="s"/>
      <c r="G177" t="s"/>
      <c r="H177" t="s"/>
      <c r="I177" t="s"/>
      <c r="J177" t="n">
        <v>0.6908</v>
      </c>
      <c r="K177" t="n">
        <v>0</v>
      </c>
      <c r="L177" t="n">
        <v>0.737</v>
      </c>
      <c r="M177" t="n">
        <v>0.263</v>
      </c>
    </row>
    <row r="178" spans="1:13">
      <c r="A178" s="1">
        <f>HYPERLINK("http://www.twitter.com/NathanBLawrence/status/998439299849711616", "998439299849711616")</f>
        <v/>
      </c>
      <c r="B178" s="2" t="n">
        <v>43241.23903935185</v>
      </c>
      <c r="C178" t="n">
        <v>2</v>
      </c>
      <c r="D178" t="n">
        <v>3</v>
      </c>
      <c r="E178" t="s">
        <v>189</v>
      </c>
      <c r="F178" t="s"/>
      <c r="G178" t="s"/>
      <c r="H178" t="s"/>
      <c r="I178" t="s"/>
      <c r="J178" t="n">
        <v>-0.4939</v>
      </c>
      <c r="K178" t="n">
        <v>0.262</v>
      </c>
      <c r="L178" t="n">
        <v>0.738</v>
      </c>
      <c r="M178" t="n">
        <v>0</v>
      </c>
    </row>
    <row r="179" spans="1:13">
      <c r="A179" s="1">
        <f>HYPERLINK("http://www.twitter.com/NathanBLawrence/status/998439253104214016", "998439253104214016")</f>
        <v/>
      </c>
      <c r="B179" s="2" t="n">
        <v>43241.23891203704</v>
      </c>
      <c r="C179" t="n">
        <v>14</v>
      </c>
      <c r="D179" t="n">
        <v>16</v>
      </c>
      <c r="E179" t="s">
        <v>190</v>
      </c>
      <c r="F179" t="s"/>
      <c r="G179" t="s"/>
      <c r="H179" t="s"/>
      <c r="I179" t="s"/>
      <c r="J179" t="n">
        <v>-0.9370000000000001</v>
      </c>
      <c r="K179" t="n">
        <v>0.26</v>
      </c>
      <c r="L179" t="n">
        <v>0.74</v>
      </c>
      <c r="M179" t="n">
        <v>0</v>
      </c>
    </row>
    <row r="180" spans="1:13">
      <c r="A180" s="1">
        <f>HYPERLINK("http://www.twitter.com/NathanBLawrence/status/998438578769223680", "998438578769223680")</f>
        <v/>
      </c>
      <c r="B180" s="2" t="n">
        <v>43241.23704861111</v>
      </c>
      <c r="C180" t="n">
        <v>3</v>
      </c>
      <c r="D180" t="n">
        <v>3</v>
      </c>
      <c r="E180" t="s">
        <v>191</v>
      </c>
      <c r="F180" t="s"/>
      <c r="G180" t="s"/>
      <c r="H180" t="s"/>
      <c r="I180" t="s"/>
      <c r="J180" t="n">
        <v>-0.4939</v>
      </c>
      <c r="K180" t="n">
        <v>0.242</v>
      </c>
      <c r="L180" t="n">
        <v>0.758</v>
      </c>
      <c r="M180" t="n">
        <v>0</v>
      </c>
    </row>
    <row r="181" spans="1:13">
      <c r="A181" s="1">
        <f>HYPERLINK("http://www.twitter.com/NathanBLawrence/status/998438254448820224", "998438254448820224")</f>
        <v/>
      </c>
      <c r="B181" s="2" t="n">
        <v>43241.23615740741</v>
      </c>
      <c r="C181" t="n">
        <v>8</v>
      </c>
      <c r="D181" t="n">
        <v>5</v>
      </c>
      <c r="E181" t="s">
        <v>192</v>
      </c>
      <c r="F181" t="s"/>
      <c r="G181" t="s"/>
      <c r="H181" t="s"/>
      <c r="I181" t="s"/>
      <c r="J181" t="n">
        <v>0.6625</v>
      </c>
      <c r="K181" t="n">
        <v>0</v>
      </c>
      <c r="L181" t="n">
        <v>0.747</v>
      </c>
      <c r="M181" t="n">
        <v>0.253</v>
      </c>
    </row>
    <row r="182" spans="1:13">
      <c r="A182" s="1">
        <f>HYPERLINK("http://www.twitter.com/NathanBLawrence/status/998438229916332032", "998438229916332032")</f>
        <v/>
      </c>
      <c r="B182" s="2" t="n">
        <v>43241.23608796296</v>
      </c>
      <c r="C182" t="n">
        <v>12</v>
      </c>
      <c r="D182" t="n">
        <v>8</v>
      </c>
      <c r="E182" t="s">
        <v>193</v>
      </c>
      <c r="F182" t="s"/>
      <c r="G182" t="s"/>
      <c r="H182" t="s"/>
      <c r="I182" t="s"/>
      <c r="J182" t="n">
        <v>-0.3182</v>
      </c>
      <c r="K182" t="n">
        <v>0.103</v>
      </c>
      <c r="L182" t="n">
        <v>0.897</v>
      </c>
      <c r="M182" t="n">
        <v>0</v>
      </c>
    </row>
    <row r="183" spans="1:13">
      <c r="A183" s="1">
        <f>HYPERLINK("http://www.twitter.com/NathanBLawrence/status/998438193878847488", "998438193878847488")</f>
        <v/>
      </c>
      <c r="B183" s="2" t="n">
        <v>43241.23599537037</v>
      </c>
      <c r="C183" t="n">
        <v>9</v>
      </c>
      <c r="D183" t="n">
        <v>2</v>
      </c>
      <c r="E183" t="s">
        <v>194</v>
      </c>
      <c r="F183" t="s"/>
      <c r="G183" t="s"/>
      <c r="H183" t="s"/>
      <c r="I183" t="s"/>
      <c r="J183" t="n">
        <v>0.34</v>
      </c>
      <c r="K183" t="n">
        <v>0</v>
      </c>
      <c r="L183" t="n">
        <v>0.902</v>
      </c>
      <c r="M183" t="n">
        <v>0.098</v>
      </c>
    </row>
    <row r="184" spans="1:13">
      <c r="A184" s="1">
        <f>HYPERLINK("http://www.twitter.com/NathanBLawrence/status/998438044209303553", "998438044209303553")</f>
        <v/>
      </c>
      <c r="B184" s="2" t="n">
        <v>43241.2355787037</v>
      </c>
      <c r="C184" t="n">
        <v>9</v>
      </c>
      <c r="D184" t="n">
        <v>2</v>
      </c>
      <c r="E184" t="s">
        <v>195</v>
      </c>
      <c r="F184" t="s"/>
      <c r="G184" t="s"/>
      <c r="H184" t="s"/>
      <c r="I184" t="s"/>
      <c r="J184" t="n">
        <v>0.3911</v>
      </c>
      <c r="K184" t="n">
        <v>0.103</v>
      </c>
      <c r="L184" t="n">
        <v>0.727</v>
      </c>
      <c r="M184" t="n">
        <v>0.17</v>
      </c>
    </row>
    <row r="185" spans="1:13">
      <c r="A185" s="1">
        <f>HYPERLINK("http://www.twitter.com/NathanBLawrence/status/998437772896518144", "998437772896518144")</f>
        <v/>
      </c>
      <c r="B185" s="2" t="n">
        <v>43241.23482638889</v>
      </c>
      <c r="C185" t="n">
        <v>4</v>
      </c>
      <c r="D185" t="n">
        <v>1</v>
      </c>
      <c r="E185" t="s">
        <v>196</v>
      </c>
      <c r="F185" t="s"/>
      <c r="G185" t="s"/>
      <c r="H185" t="s"/>
      <c r="I185" t="s"/>
      <c r="J185" t="n">
        <v>-0.6588000000000001</v>
      </c>
      <c r="K185" t="n">
        <v>0.244</v>
      </c>
      <c r="L185" t="n">
        <v>0.616</v>
      </c>
      <c r="M185" t="n">
        <v>0.14</v>
      </c>
    </row>
    <row r="186" spans="1:13">
      <c r="A186" s="1">
        <f>HYPERLINK("http://www.twitter.com/NathanBLawrence/status/998437411955752960", "998437411955752960")</f>
        <v/>
      </c>
      <c r="B186" s="2" t="n">
        <v>43241.23383101852</v>
      </c>
      <c r="C186" t="n">
        <v>0</v>
      </c>
      <c r="D186" t="n">
        <v>8</v>
      </c>
      <c r="E186" t="s">
        <v>197</v>
      </c>
      <c r="F186" t="s"/>
      <c r="G186" t="s"/>
      <c r="H186" t="s"/>
      <c r="I186" t="s"/>
      <c r="J186" t="n">
        <v>0.128</v>
      </c>
      <c r="K186" t="n">
        <v>0</v>
      </c>
      <c r="L186" t="n">
        <v>0.919</v>
      </c>
      <c r="M186" t="n">
        <v>0.081</v>
      </c>
    </row>
    <row r="187" spans="1:13">
      <c r="A187" s="1">
        <f>HYPERLINK("http://www.twitter.com/NathanBLawrence/status/998437356439928833", "998437356439928833")</f>
        <v/>
      </c>
      <c r="B187" s="2" t="n">
        <v>43241.23368055555</v>
      </c>
      <c r="C187" t="n">
        <v>0</v>
      </c>
      <c r="D187" t="n">
        <v>16</v>
      </c>
      <c r="E187" t="s">
        <v>198</v>
      </c>
      <c r="F187">
        <f>HYPERLINK("http://pbs.twimg.com/media/DdsohqAVwAArW36.jpg", "http://pbs.twimg.com/media/DdsohqAVwAArW36.jpg")</f>
        <v/>
      </c>
      <c r="G187">
        <f>HYPERLINK("http://pbs.twimg.com/media/DdsohqCVwAANXU5.jpg", "http://pbs.twimg.com/media/DdsohqCVwAANXU5.jpg")</f>
        <v/>
      </c>
      <c r="H187">
        <f>HYPERLINK("http://pbs.twimg.com/media/Ddsohp9V4AAeNhM.jpg", "http://pbs.twimg.com/media/Ddsohp9V4AAeNhM.jpg")</f>
        <v/>
      </c>
      <c r="I187">
        <f>HYPERLINK("http://pbs.twimg.com/media/DdsohqDV0AAyz-k.jpg", "http://pbs.twimg.com/media/DdsohqDV0AAyz-k.jpg")</f>
        <v/>
      </c>
      <c r="J187" t="n">
        <v>0</v>
      </c>
      <c r="K187" t="n">
        <v>0</v>
      </c>
      <c r="L187" t="n">
        <v>1</v>
      </c>
      <c r="M187" t="n">
        <v>0</v>
      </c>
    </row>
    <row r="188" spans="1:13">
      <c r="A188" s="1">
        <f>HYPERLINK("http://www.twitter.com/NathanBLawrence/status/998437048955490306", "998437048955490306")</f>
        <v/>
      </c>
      <c r="B188" s="2" t="n">
        <v>43241.23283564814</v>
      </c>
      <c r="C188" t="n">
        <v>7</v>
      </c>
      <c r="D188" t="n">
        <v>3</v>
      </c>
      <c r="E188" t="s">
        <v>199</v>
      </c>
      <c r="F188" t="s"/>
      <c r="G188" t="s"/>
      <c r="H188" t="s"/>
      <c r="I188" t="s"/>
      <c r="J188" t="n">
        <v>0</v>
      </c>
      <c r="K188" t="n">
        <v>0</v>
      </c>
      <c r="L188" t="n">
        <v>1</v>
      </c>
      <c r="M188" t="n">
        <v>0</v>
      </c>
    </row>
    <row r="189" spans="1:13">
      <c r="A189" s="1">
        <f>HYPERLINK("http://www.twitter.com/NathanBLawrence/status/998436861877018626", "998436861877018626")</f>
        <v/>
      </c>
      <c r="B189" s="2" t="n">
        <v>43241.23231481481</v>
      </c>
      <c r="C189" t="n">
        <v>0</v>
      </c>
      <c r="D189" t="n">
        <v>4</v>
      </c>
      <c r="E189" t="s">
        <v>200</v>
      </c>
      <c r="F189" t="s"/>
      <c r="G189" t="s"/>
      <c r="H189" t="s"/>
      <c r="I189" t="s"/>
      <c r="J189" t="n">
        <v>0.4926</v>
      </c>
      <c r="K189" t="n">
        <v>0</v>
      </c>
      <c r="L189" t="n">
        <v>0.842</v>
      </c>
      <c r="M189" t="n">
        <v>0.158</v>
      </c>
    </row>
    <row r="190" spans="1:13">
      <c r="A190" s="1">
        <f>HYPERLINK("http://www.twitter.com/NathanBLawrence/status/998436779735764995", "998436779735764995")</f>
        <v/>
      </c>
      <c r="B190" s="2" t="n">
        <v>43241.23209490741</v>
      </c>
      <c r="C190" t="n">
        <v>0</v>
      </c>
      <c r="D190" t="n">
        <v>42</v>
      </c>
      <c r="E190" t="s">
        <v>201</v>
      </c>
      <c r="F190">
        <f>HYPERLINK("http://pbs.twimg.com/media/DdskzyFUQAEFTb4.jpg", "http://pbs.twimg.com/media/DdskzyFUQAEFTb4.jpg")</f>
        <v/>
      </c>
      <c r="G190" t="s"/>
      <c r="H190" t="s"/>
      <c r="I190" t="s"/>
      <c r="J190" t="n">
        <v>-0.4168</v>
      </c>
      <c r="K190" t="n">
        <v>0.122</v>
      </c>
      <c r="L190" t="n">
        <v>0.878</v>
      </c>
      <c r="M190" t="n">
        <v>0</v>
      </c>
    </row>
    <row r="191" spans="1:13">
      <c r="A191" s="1">
        <f>HYPERLINK("http://www.twitter.com/NathanBLawrence/status/998436691869253632", "998436691869253632")</f>
        <v/>
      </c>
      <c r="B191" s="2" t="n">
        <v>43241.23185185185</v>
      </c>
      <c r="C191" t="n">
        <v>13</v>
      </c>
      <c r="D191" t="n">
        <v>6</v>
      </c>
      <c r="E191" t="s">
        <v>202</v>
      </c>
      <c r="F191" t="s"/>
      <c r="G191" t="s"/>
      <c r="H191" t="s"/>
      <c r="I191" t="s"/>
      <c r="J191" t="n">
        <v>-0.8091</v>
      </c>
      <c r="K191" t="n">
        <v>0.27</v>
      </c>
      <c r="L191" t="n">
        <v>0.6889999999999999</v>
      </c>
      <c r="M191" t="n">
        <v>0.041</v>
      </c>
    </row>
    <row r="192" spans="1:13">
      <c r="A192" s="1">
        <f>HYPERLINK("http://www.twitter.com/NathanBLawrence/status/998436426575368193", "998436426575368193")</f>
        <v/>
      </c>
      <c r="B192" s="2" t="n">
        <v>43241.23111111111</v>
      </c>
      <c r="C192" t="n">
        <v>7</v>
      </c>
      <c r="D192" t="n">
        <v>2</v>
      </c>
      <c r="E192" t="s">
        <v>203</v>
      </c>
      <c r="F192" t="s"/>
      <c r="G192" t="s"/>
      <c r="H192" t="s"/>
      <c r="I192" t="s"/>
      <c r="J192" t="n">
        <v>0</v>
      </c>
      <c r="K192" t="n">
        <v>0</v>
      </c>
      <c r="L192" t="n">
        <v>1</v>
      </c>
      <c r="M192" t="n">
        <v>0</v>
      </c>
    </row>
    <row r="193" spans="1:13">
      <c r="A193" s="1">
        <f>HYPERLINK("http://www.twitter.com/NathanBLawrence/status/998436316948848640", "998436316948848640")</f>
        <v/>
      </c>
      <c r="B193" s="2" t="n">
        <v>43241.23081018519</v>
      </c>
      <c r="C193" t="n">
        <v>8</v>
      </c>
      <c r="D193" t="n">
        <v>4</v>
      </c>
      <c r="E193" t="s">
        <v>204</v>
      </c>
      <c r="F193" t="s"/>
      <c r="G193" t="s"/>
      <c r="H193" t="s"/>
      <c r="I193" t="s"/>
      <c r="J193" t="n">
        <v>0</v>
      </c>
      <c r="K193" t="n">
        <v>0</v>
      </c>
      <c r="L193" t="n">
        <v>1</v>
      </c>
      <c r="M193" t="n">
        <v>0</v>
      </c>
    </row>
    <row r="194" spans="1:13">
      <c r="A194" s="1">
        <f>HYPERLINK("http://www.twitter.com/NathanBLawrence/status/998436098597515265", "998436098597515265")</f>
        <v/>
      </c>
      <c r="B194" s="2" t="n">
        <v>43241.23020833333</v>
      </c>
      <c r="C194" t="n">
        <v>0</v>
      </c>
      <c r="D194" t="n">
        <v>7057</v>
      </c>
      <c r="E194" t="s">
        <v>205</v>
      </c>
      <c r="F194">
        <f>HYPERLINK("http://pbs.twimg.com/media/DdcTDrSWAAAgNcv.jpg", "http://pbs.twimg.com/media/DdcTDrSWAAAgNcv.jpg")</f>
        <v/>
      </c>
      <c r="G194" t="s"/>
      <c r="H194" t="s"/>
      <c r="I194" t="s"/>
      <c r="J194" t="n">
        <v>-0.9001</v>
      </c>
      <c r="K194" t="n">
        <v>0.379</v>
      </c>
      <c r="L194" t="n">
        <v>0.545</v>
      </c>
      <c r="M194" t="n">
        <v>0.076</v>
      </c>
    </row>
    <row r="195" spans="1:13">
      <c r="A195" s="1">
        <f>HYPERLINK("http://www.twitter.com/NathanBLawrence/status/998436048760815617", "998436048760815617")</f>
        <v/>
      </c>
      <c r="B195" s="2" t="n">
        <v>43241.23006944444</v>
      </c>
      <c r="C195" t="n">
        <v>3</v>
      </c>
      <c r="D195" t="n">
        <v>0</v>
      </c>
      <c r="E195" t="s">
        <v>206</v>
      </c>
      <c r="F195" t="s"/>
      <c r="G195" t="s"/>
      <c r="H195" t="s"/>
      <c r="I195" t="s"/>
      <c r="J195" t="n">
        <v>0</v>
      </c>
      <c r="K195" t="n">
        <v>0</v>
      </c>
      <c r="L195" t="n">
        <v>1</v>
      </c>
      <c r="M195" t="n">
        <v>0</v>
      </c>
    </row>
    <row r="196" spans="1:13">
      <c r="A196" s="1">
        <f>HYPERLINK("http://www.twitter.com/NathanBLawrence/status/998435928505892864", "998435928505892864")</f>
        <v/>
      </c>
      <c r="B196" s="2" t="n">
        <v>43241.22974537037</v>
      </c>
      <c r="C196" t="n">
        <v>4</v>
      </c>
      <c r="D196" t="n">
        <v>0</v>
      </c>
      <c r="E196" t="s">
        <v>207</v>
      </c>
      <c r="F196" t="s"/>
      <c r="G196" t="s"/>
      <c r="H196" t="s"/>
      <c r="I196" t="s"/>
      <c r="J196" t="n">
        <v>-0.7696</v>
      </c>
      <c r="K196" t="n">
        <v>0.215</v>
      </c>
      <c r="L196" t="n">
        <v>0.671</v>
      </c>
      <c r="M196" t="n">
        <v>0.115</v>
      </c>
    </row>
    <row r="197" spans="1:13">
      <c r="A197" s="1">
        <f>HYPERLINK("http://www.twitter.com/NathanBLawrence/status/998435600511348739", "998435600511348739")</f>
        <v/>
      </c>
      <c r="B197" s="2" t="n">
        <v>43241.22883101852</v>
      </c>
      <c r="C197" t="n">
        <v>0</v>
      </c>
      <c r="D197" t="n">
        <v>8777</v>
      </c>
      <c r="E197" t="s">
        <v>208</v>
      </c>
      <c r="F197" t="s"/>
      <c r="G197" t="s"/>
      <c r="H197" t="s"/>
      <c r="I197" t="s"/>
      <c r="J197" t="n">
        <v>0</v>
      </c>
      <c r="K197" t="n">
        <v>0</v>
      </c>
      <c r="L197" t="n">
        <v>1</v>
      </c>
      <c r="M197" t="n">
        <v>0</v>
      </c>
    </row>
    <row r="198" spans="1:13">
      <c r="A198" s="1">
        <f>HYPERLINK("http://www.twitter.com/NathanBLawrence/status/998435560984264705", "998435560984264705")</f>
        <v/>
      </c>
      <c r="B198" s="2" t="n">
        <v>43241.22872685185</v>
      </c>
      <c r="C198" t="n">
        <v>0</v>
      </c>
      <c r="D198" t="n">
        <v>43</v>
      </c>
      <c r="E198" t="s">
        <v>209</v>
      </c>
      <c r="F198" t="s"/>
      <c r="G198" t="s"/>
      <c r="H198" t="s"/>
      <c r="I198" t="s"/>
      <c r="J198" t="n">
        <v>-0.5423</v>
      </c>
      <c r="K198" t="n">
        <v>0.171</v>
      </c>
      <c r="L198" t="n">
        <v>0.829</v>
      </c>
      <c r="M198" t="n">
        <v>0</v>
      </c>
    </row>
    <row r="199" spans="1:13">
      <c r="A199" s="1">
        <f>HYPERLINK("http://www.twitter.com/NathanBLawrence/status/998435512783286272", "998435512783286272")</f>
        <v/>
      </c>
      <c r="B199" s="2" t="n">
        <v>43241.22858796296</v>
      </c>
      <c r="C199" t="n">
        <v>5</v>
      </c>
      <c r="D199" t="n">
        <v>4</v>
      </c>
      <c r="E199" t="s">
        <v>210</v>
      </c>
      <c r="F199" t="s"/>
      <c r="G199" t="s"/>
      <c r="H199" t="s"/>
      <c r="I199" t="s"/>
      <c r="J199" t="n">
        <v>0</v>
      </c>
      <c r="K199" t="n">
        <v>0</v>
      </c>
      <c r="L199" t="n">
        <v>1</v>
      </c>
      <c r="M199" t="n">
        <v>0</v>
      </c>
    </row>
    <row r="200" spans="1:13">
      <c r="A200" s="1">
        <f>HYPERLINK("http://www.twitter.com/NathanBLawrence/status/998435222931718145", "998435222931718145")</f>
        <v/>
      </c>
      <c r="B200" s="2" t="n">
        <v>43241.22778935185</v>
      </c>
      <c r="C200" t="n">
        <v>0</v>
      </c>
      <c r="D200" t="n">
        <v>226</v>
      </c>
      <c r="E200" t="s">
        <v>211</v>
      </c>
      <c r="F200">
        <f>HYPERLINK("http://pbs.twimg.com/media/DdotZBbVMAEuRWW.jpg", "http://pbs.twimg.com/media/DdotZBbVMAEuRWW.jpg")</f>
        <v/>
      </c>
      <c r="G200" t="s"/>
      <c r="H200" t="s"/>
      <c r="I200" t="s"/>
      <c r="J200" t="n">
        <v>-0.5158</v>
      </c>
      <c r="K200" t="n">
        <v>0.178</v>
      </c>
      <c r="L200" t="n">
        <v>0.822</v>
      </c>
      <c r="M200" t="n">
        <v>0</v>
      </c>
    </row>
    <row r="201" spans="1:13">
      <c r="A201" s="1">
        <f>HYPERLINK("http://www.twitter.com/NathanBLawrence/status/998434864331341825", "998434864331341825")</f>
        <v/>
      </c>
      <c r="B201" s="2" t="n">
        <v>43241.22680555555</v>
      </c>
      <c r="C201" t="n">
        <v>0</v>
      </c>
      <c r="D201" t="n">
        <v>4</v>
      </c>
      <c r="E201" t="s">
        <v>212</v>
      </c>
      <c r="F201">
        <f>HYPERLINK("http://pbs.twimg.com/media/DdboKcvV0AABI0y.jpg", "http://pbs.twimg.com/media/DdboKcvV0AABI0y.jpg")</f>
        <v/>
      </c>
      <c r="G201" t="s"/>
      <c r="H201" t="s"/>
      <c r="I201" t="s"/>
      <c r="J201" t="n">
        <v>0.4215</v>
      </c>
      <c r="K201" t="n">
        <v>0</v>
      </c>
      <c r="L201" t="n">
        <v>0.891</v>
      </c>
      <c r="M201" t="n">
        <v>0.109</v>
      </c>
    </row>
    <row r="202" spans="1:13">
      <c r="A202" s="1">
        <f>HYPERLINK("http://www.twitter.com/NathanBLawrence/status/998434828033798145", "998434828033798145")</f>
        <v/>
      </c>
      <c r="B202" s="2" t="n">
        <v>43241.22670138889</v>
      </c>
      <c r="C202" t="n">
        <v>0</v>
      </c>
      <c r="D202" t="n">
        <v>10</v>
      </c>
      <c r="E202" t="s">
        <v>213</v>
      </c>
      <c r="F202" t="s"/>
      <c r="G202" t="s"/>
      <c r="H202" t="s"/>
      <c r="I202" t="s"/>
      <c r="J202" t="n">
        <v>0.3182</v>
      </c>
      <c r="K202" t="n">
        <v>0</v>
      </c>
      <c r="L202" t="n">
        <v>0.901</v>
      </c>
      <c r="M202" t="n">
        <v>0.099</v>
      </c>
    </row>
    <row r="203" spans="1:13">
      <c r="A203" s="1">
        <f>HYPERLINK("http://www.twitter.com/NathanBLawrence/status/998434788930240512", "998434788930240512")</f>
        <v/>
      </c>
      <c r="B203" s="2" t="n">
        <v>43241.22659722222</v>
      </c>
      <c r="C203" t="n">
        <v>0</v>
      </c>
      <c r="D203" t="n">
        <v>8</v>
      </c>
      <c r="E203" t="s">
        <v>214</v>
      </c>
      <c r="F203">
        <f>HYPERLINK("http://pbs.twimg.com/media/DdfaUKCVwAA6v5C.jpg", "http://pbs.twimg.com/media/DdfaUKCVwAA6v5C.jpg")</f>
        <v/>
      </c>
      <c r="G203" t="s"/>
      <c r="H203" t="s"/>
      <c r="I203" t="s"/>
      <c r="J203" t="n">
        <v>0.743</v>
      </c>
      <c r="K203" t="n">
        <v>0</v>
      </c>
      <c r="L203" t="n">
        <v>0.792</v>
      </c>
      <c r="M203" t="n">
        <v>0.208</v>
      </c>
    </row>
    <row r="204" spans="1:13">
      <c r="A204" s="1">
        <f>HYPERLINK("http://www.twitter.com/NathanBLawrence/status/998434751169073152", "998434751169073152")</f>
        <v/>
      </c>
      <c r="B204" s="2" t="n">
        <v>43241.22649305555</v>
      </c>
      <c r="C204" t="n">
        <v>0</v>
      </c>
      <c r="D204" t="n">
        <v>8</v>
      </c>
      <c r="E204" t="s">
        <v>215</v>
      </c>
      <c r="F204">
        <f>HYPERLINK("http://pbs.twimg.com/media/DdfwMIIUwAAKyI1.jpg", "http://pbs.twimg.com/media/DdfwMIIUwAAKyI1.jpg")</f>
        <v/>
      </c>
      <c r="G204" t="s"/>
      <c r="H204" t="s"/>
      <c r="I204" t="s"/>
      <c r="J204" t="n">
        <v>0.4404</v>
      </c>
      <c r="K204" t="n">
        <v>0</v>
      </c>
      <c r="L204" t="n">
        <v>0.892</v>
      </c>
      <c r="M204" t="n">
        <v>0.108</v>
      </c>
    </row>
    <row r="205" spans="1:13">
      <c r="A205" s="1">
        <f>HYPERLINK("http://www.twitter.com/NathanBLawrence/status/998434692746510336", "998434692746510336")</f>
        <v/>
      </c>
      <c r="B205" s="2" t="n">
        <v>43241.22633101852</v>
      </c>
      <c r="C205" t="n">
        <v>0</v>
      </c>
      <c r="D205" t="n">
        <v>102</v>
      </c>
      <c r="E205" t="s">
        <v>216</v>
      </c>
      <c r="F205" t="s"/>
      <c r="G205" t="s"/>
      <c r="H205" t="s"/>
      <c r="I205" t="s"/>
      <c r="J205" t="n">
        <v>-0.0258</v>
      </c>
      <c r="K205" t="n">
        <v>0.08400000000000001</v>
      </c>
      <c r="L205" t="n">
        <v>0.837</v>
      </c>
      <c r="M205" t="n">
        <v>0.08</v>
      </c>
    </row>
    <row r="206" spans="1:13">
      <c r="A206" s="1">
        <f>HYPERLINK("http://www.twitter.com/NathanBLawrence/status/998434641357885440", "998434641357885440")</f>
        <v/>
      </c>
      <c r="B206" s="2" t="n">
        <v>43241.22619212963</v>
      </c>
      <c r="C206" t="n">
        <v>0</v>
      </c>
      <c r="D206" t="n">
        <v>29</v>
      </c>
      <c r="E206" t="s">
        <v>217</v>
      </c>
      <c r="F206">
        <f>HYPERLINK("http://pbs.twimg.com/media/DdlfZ0EVwAECUME.jpg", "http://pbs.twimg.com/media/DdlfZ0EVwAECUME.jpg")</f>
        <v/>
      </c>
      <c r="G206" t="s"/>
      <c r="H206" t="s"/>
      <c r="I206" t="s"/>
      <c r="J206" t="n">
        <v>0</v>
      </c>
      <c r="K206" t="n">
        <v>0</v>
      </c>
      <c r="L206" t="n">
        <v>1</v>
      </c>
      <c r="M206" t="n">
        <v>0</v>
      </c>
    </row>
    <row r="207" spans="1:13">
      <c r="A207" s="1">
        <f>HYPERLINK("http://www.twitter.com/NathanBLawrence/status/998434592964005888", "998434592964005888")</f>
        <v/>
      </c>
      <c r="B207" s="2" t="n">
        <v>43241.22605324074</v>
      </c>
      <c r="C207" t="n">
        <v>0</v>
      </c>
      <c r="D207" t="n">
        <v>9</v>
      </c>
      <c r="E207" t="s">
        <v>218</v>
      </c>
      <c r="F207">
        <f>HYPERLINK("http://pbs.twimg.com/media/Ddqeu0QU8AAbvHZ.jpg", "http://pbs.twimg.com/media/Ddqeu0QU8AAbvHZ.jpg")</f>
        <v/>
      </c>
      <c r="G207" t="s"/>
      <c r="H207" t="s"/>
      <c r="I207" t="s"/>
      <c r="J207" t="n">
        <v>0.296</v>
      </c>
      <c r="K207" t="n">
        <v>0</v>
      </c>
      <c r="L207" t="n">
        <v>0.913</v>
      </c>
      <c r="M207" t="n">
        <v>0.08699999999999999</v>
      </c>
    </row>
    <row r="208" spans="1:13">
      <c r="A208" s="1">
        <f>HYPERLINK("http://www.twitter.com/NathanBLawrence/status/998434175823708160", "998434175823708160")</f>
        <v/>
      </c>
      <c r="B208" s="2" t="n">
        <v>43241.22490740741</v>
      </c>
      <c r="C208" t="n">
        <v>13</v>
      </c>
      <c r="D208" t="n">
        <v>11</v>
      </c>
      <c r="E208" t="s">
        <v>219</v>
      </c>
      <c r="F208" t="s"/>
      <c r="G208" t="s"/>
      <c r="H208" t="s"/>
      <c r="I208" t="s"/>
      <c r="J208" t="n">
        <v>-0.7667</v>
      </c>
      <c r="K208" t="n">
        <v>0.231</v>
      </c>
      <c r="L208" t="n">
        <v>0.769</v>
      </c>
      <c r="M208" t="n">
        <v>0</v>
      </c>
    </row>
    <row r="209" spans="1:13">
      <c r="A209" s="1">
        <f>HYPERLINK("http://www.twitter.com/NathanBLawrence/status/998372649246969856", "998372649246969856")</f>
        <v/>
      </c>
      <c r="B209" s="2" t="n">
        <v>43241.05512731482</v>
      </c>
      <c r="C209" t="n">
        <v>2</v>
      </c>
      <c r="D209" t="n">
        <v>2</v>
      </c>
      <c r="E209" t="s">
        <v>220</v>
      </c>
      <c r="F209" t="s"/>
      <c r="G209" t="s"/>
      <c r="H209" t="s"/>
      <c r="I209" t="s"/>
      <c r="J209" t="n">
        <v>0</v>
      </c>
      <c r="K209" t="n">
        <v>0</v>
      </c>
      <c r="L209" t="n">
        <v>1</v>
      </c>
      <c r="M209" t="n">
        <v>0</v>
      </c>
    </row>
    <row r="210" spans="1:13">
      <c r="A210" s="1">
        <f>HYPERLINK("http://www.twitter.com/NathanBLawrence/status/998372388021534720", "998372388021534720")</f>
        <v/>
      </c>
      <c r="B210" s="2" t="n">
        <v>43241.05439814815</v>
      </c>
      <c r="C210" t="n">
        <v>0</v>
      </c>
      <c r="D210" t="n">
        <v>7</v>
      </c>
      <c r="E210" t="s">
        <v>221</v>
      </c>
      <c r="F210" t="s"/>
      <c r="G210" t="s"/>
      <c r="H210" t="s"/>
      <c r="I210" t="s"/>
      <c r="J210" t="n">
        <v>0.1098</v>
      </c>
      <c r="K210" t="n">
        <v>0.115</v>
      </c>
      <c r="L210" t="n">
        <v>0.723</v>
      </c>
      <c r="M210" t="n">
        <v>0.162</v>
      </c>
    </row>
    <row r="211" spans="1:13">
      <c r="A211" s="1">
        <f>HYPERLINK("http://www.twitter.com/NathanBLawrence/status/998371374702854144", "998371374702854144")</f>
        <v/>
      </c>
      <c r="B211" s="2" t="n">
        <v>43241.0516087963</v>
      </c>
      <c r="C211" t="n">
        <v>5</v>
      </c>
      <c r="D211" t="n">
        <v>0</v>
      </c>
      <c r="E211" t="s">
        <v>222</v>
      </c>
      <c r="F211" t="s"/>
      <c r="G211" t="s"/>
      <c r="H211" t="s"/>
      <c r="I211" t="s"/>
      <c r="J211" t="n">
        <v>0.6597</v>
      </c>
      <c r="K211" t="n">
        <v>0</v>
      </c>
      <c r="L211" t="n">
        <v>0.6899999999999999</v>
      </c>
      <c r="M211" t="n">
        <v>0.31</v>
      </c>
    </row>
    <row r="212" spans="1:13">
      <c r="A212" s="1">
        <f>HYPERLINK("http://www.twitter.com/NathanBLawrence/status/998371055872835584", "998371055872835584")</f>
        <v/>
      </c>
      <c r="B212" s="2" t="n">
        <v>43241.05072916667</v>
      </c>
      <c r="C212" t="n">
        <v>4</v>
      </c>
      <c r="D212" t="n">
        <v>2</v>
      </c>
      <c r="E212" t="s">
        <v>223</v>
      </c>
      <c r="F212" t="s"/>
      <c r="G212" t="s"/>
      <c r="H212" t="s"/>
      <c r="I212" t="s"/>
      <c r="J212" t="n">
        <v>0</v>
      </c>
      <c r="K212" t="n">
        <v>0</v>
      </c>
      <c r="L212" t="n">
        <v>1</v>
      </c>
      <c r="M212" t="n">
        <v>0</v>
      </c>
    </row>
    <row r="213" spans="1:13">
      <c r="A213" s="1">
        <f>HYPERLINK("http://www.twitter.com/NathanBLawrence/status/998370077572411392", "998370077572411392")</f>
        <v/>
      </c>
      <c r="B213" s="2" t="n">
        <v>43241.04802083333</v>
      </c>
      <c r="C213" t="n">
        <v>17</v>
      </c>
      <c r="D213" t="n">
        <v>13</v>
      </c>
      <c r="E213" t="s">
        <v>224</v>
      </c>
      <c r="F213" t="s"/>
      <c r="G213" t="s"/>
      <c r="H213" t="s"/>
      <c r="I213" t="s"/>
      <c r="J213" t="n">
        <v>-0.6908</v>
      </c>
      <c r="K213" t="n">
        <v>0.147</v>
      </c>
      <c r="L213" t="n">
        <v>0.853</v>
      </c>
      <c r="M213" t="n">
        <v>0</v>
      </c>
    </row>
    <row r="214" spans="1:13">
      <c r="A214" s="1">
        <f>HYPERLINK("http://www.twitter.com/NathanBLawrence/status/998369270428925953", "998369270428925953")</f>
        <v/>
      </c>
      <c r="B214" s="2" t="n">
        <v>43241.04579861111</v>
      </c>
      <c r="C214" t="n">
        <v>6</v>
      </c>
      <c r="D214" t="n">
        <v>2</v>
      </c>
      <c r="E214" t="s">
        <v>225</v>
      </c>
      <c r="F214" t="s"/>
      <c r="G214" t="s"/>
      <c r="H214" t="s"/>
      <c r="I214" t="s"/>
      <c r="J214" t="n">
        <v>0.4019</v>
      </c>
      <c r="K214" t="n">
        <v>0.063</v>
      </c>
      <c r="L214" t="n">
        <v>0.835</v>
      </c>
      <c r="M214" t="n">
        <v>0.102</v>
      </c>
    </row>
    <row r="215" spans="1:13">
      <c r="A215" s="1">
        <f>HYPERLINK("http://www.twitter.com/NathanBLawrence/status/998368641908334593", "998368641908334593")</f>
        <v/>
      </c>
      <c r="B215" s="2" t="n">
        <v>43241.0440625</v>
      </c>
      <c r="C215" t="n">
        <v>29</v>
      </c>
      <c r="D215" t="n">
        <v>12</v>
      </c>
      <c r="E215" t="s">
        <v>226</v>
      </c>
      <c r="F215" t="s"/>
      <c r="G215" t="s"/>
      <c r="H215" t="s"/>
      <c r="I215" t="s"/>
      <c r="J215" t="n">
        <v>-0.1548</v>
      </c>
      <c r="K215" t="n">
        <v>0.146</v>
      </c>
      <c r="L215" t="n">
        <v>0.756</v>
      </c>
      <c r="M215" t="n">
        <v>0.099</v>
      </c>
    </row>
    <row r="216" spans="1:13">
      <c r="A216" s="1">
        <f>HYPERLINK("http://www.twitter.com/NathanBLawrence/status/998367924795588608", "998367924795588608")</f>
        <v/>
      </c>
      <c r="B216" s="2" t="n">
        <v>43241.04208333333</v>
      </c>
      <c r="C216" t="n">
        <v>6</v>
      </c>
      <c r="D216" t="n">
        <v>2</v>
      </c>
      <c r="E216" t="s">
        <v>227</v>
      </c>
      <c r="F216" t="s"/>
      <c r="G216" t="s"/>
      <c r="H216" t="s"/>
      <c r="I216" t="s"/>
      <c r="J216" t="n">
        <v>0</v>
      </c>
      <c r="K216" t="n">
        <v>0.143</v>
      </c>
      <c r="L216" t="n">
        <v>0.742</v>
      </c>
      <c r="M216" t="n">
        <v>0.115</v>
      </c>
    </row>
    <row r="217" spans="1:13">
      <c r="A217" s="1">
        <f>HYPERLINK("http://www.twitter.com/NathanBLawrence/status/998367409571483649", "998367409571483649")</f>
        <v/>
      </c>
      <c r="B217" s="2" t="n">
        <v>43241.04065972222</v>
      </c>
      <c r="C217" t="n">
        <v>0</v>
      </c>
      <c r="D217" t="n">
        <v>1020</v>
      </c>
      <c r="E217" t="s">
        <v>228</v>
      </c>
      <c r="F217">
        <f>HYPERLINK("https://video.twimg.com/ext_tw_video/998279780515500032/pu/vid/720x720/z2S1Vu1uOHzeOKFE.mp4?tag=3", "https://video.twimg.com/ext_tw_video/998279780515500032/pu/vid/720x720/z2S1Vu1uOHzeOKFE.mp4?tag=3")</f>
        <v/>
      </c>
      <c r="G217" t="s"/>
      <c r="H217" t="s"/>
      <c r="I217" t="s"/>
      <c r="J217" t="n">
        <v>0</v>
      </c>
      <c r="K217" t="n">
        <v>0</v>
      </c>
      <c r="L217" t="n">
        <v>1</v>
      </c>
      <c r="M217" t="n">
        <v>0</v>
      </c>
    </row>
    <row r="218" spans="1:13">
      <c r="A218" s="1">
        <f>HYPERLINK("http://www.twitter.com/NathanBLawrence/status/998367248988360704", "998367248988360704")</f>
        <v/>
      </c>
      <c r="B218" s="2" t="n">
        <v>43241.04021990741</v>
      </c>
      <c r="C218" t="n">
        <v>0</v>
      </c>
      <c r="D218" t="n">
        <v>4962</v>
      </c>
      <c r="E218" t="s">
        <v>229</v>
      </c>
      <c r="F218" t="s"/>
      <c r="G218" t="s"/>
      <c r="H218" t="s"/>
      <c r="I218" t="s"/>
      <c r="J218" t="n">
        <v>0</v>
      </c>
      <c r="K218" t="n">
        <v>0</v>
      </c>
      <c r="L218" t="n">
        <v>1</v>
      </c>
      <c r="M218" t="n">
        <v>0</v>
      </c>
    </row>
    <row r="219" spans="1:13">
      <c r="A219" s="1">
        <f>HYPERLINK("http://www.twitter.com/NathanBLawrence/status/998367134219620352", "998367134219620352")</f>
        <v/>
      </c>
      <c r="B219" s="2" t="n">
        <v>43241.03990740741</v>
      </c>
      <c r="C219" t="n">
        <v>0</v>
      </c>
      <c r="D219" t="n">
        <v>7595</v>
      </c>
      <c r="E219" t="s">
        <v>230</v>
      </c>
      <c r="F219" t="s"/>
      <c r="G219" t="s"/>
      <c r="H219" t="s"/>
      <c r="I219" t="s"/>
      <c r="J219" t="n">
        <v>-0.7644</v>
      </c>
      <c r="K219" t="n">
        <v>0.255</v>
      </c>
      <c r="L219" t="n">
        <v>0.68</v>
      </c>
      <c r="M219" t="n">
        <v>0.065</v>
      </c>
    </row>
    <row r="220" spans="1:13">
      <c r="A220" s="1">
        <f>HYPERLINK("http://www.twitter.com/NathanBLawrence/status/998367051843424256", "998367051843424256")</f>
        <v/>
      </c>
      <c r="B220" s="2" t="n">
        <v>43241.03967592592</v>
      </c>
      <c r="C220" t="n">
        <v>0</v>
      </c>
      <c r="D220" t="n">
        <v>5652</v>
      </c>
      <c r="E220" t="s">
        <v>231</v>
      </c>
      <c r="F220" t="s"/>
      <c r="G220" t="s"/>
      <c r="H220" t="s"/>
      <c r="I220" t="s"/>
      <c r="J220" t="n">
        <v>-0.5106000000000001</v>
      </c>
      <c r="K220" t="n">
        <v>0.155</v>
      </c>
      <c r="L220" t="n">
        <v>0.845</v>
      </c>
      <c r="M220" t="n">
        <v>0</v>
      </c>
    </row>
    <row r="221" spans="1:13">
      <c r="A221" s="1">
        <f>HYPERLINK("http://www.twitter.com/NathanBLawrence/status/998367025008336897", "998367025008336897")</f>
        <v/>
      </c>
      <c r="B221" s="2" t="n">
        <v>43241.03960648148</v>
      </c>
      <c r="C221" t="n">
        <v>12</v>
      </c>
      <c r="D221" t="n">
        <v>5</v>
      </c>
      <c r="E221" t="s">
        <v>232</v>
      </c>
      <c r="F221" t="s"/>
      <c r="G221" t="s"/>
      <c r="H221" t="s"/>
      <c r="I221" t="s"/>
      <c r="J221" t="n">
        <v>0.5707</v>
      </c>
      <c r="K221" t="n">
        <v>0</v>
      </c>
      <c r="L221" t="n">
        <v>0.52</v>
      </c>
      <c r="M221" t="n">
        <v>0.48</v>
      </c>
    </row>
    <row r="222" spans="1:13">
      <c r="A222" s="1">
        <f>HYPERLINK("http://www.twitter.com/NathanBLawrence/status/998366662851149824", "998366662851149824")</f>
        <v/>
      </c>
      <c r="B222" s="2" t="n">
        <v>43241.03859953704</v>
      </c>
      <c r="C222" t="n">
        <v>0</v>
      </c>
      <c r="D222" t="n">
        <v>1819</v>
      </c>
      <c r="E222" t="s">
        <v>233</v>
      </c>
      <c r="F222" t="s"/>
      <c r="G222" t="s"/>
      <c r="H222" t="s"/>
      <c r="I222" t="s"/>
      <c r="J222" t="n">
        <v>-0.7003</v>
      </c>
      <c r="K222" t="n">
        <v>0.25</v>
      </c>
      <c r="L222" t="n">
        <v>0.669</v>
      </c>
      <c r="M222" t="n">
        <v>0.081</v>
      </c>
    </row>
    <row r="223" spans="1:13">
      <c r="A223" s="1">
        <f>HYPERLINK("http://www.twitter.com/NathanBLawrence/status/998366583310270464", "998366583310270464")</f>
        <v/>
      </c>
      <c r="B223" s="2" t="n">
        <v>43241.03837962963</v>
      </c>
      <c r="C223" t="n">
        <v>0</v>
      </c>
      <c r="D223" t="n">
        <v>5</v>
      </c>
      <c r="E223" t="s">
        <v>234</v>
      </c>
      <c r="F223" t="s"/>
      <c r="G223" t="s"/>
      <c r="H223" t="s"/>
      <c r="I223" t="s"/>
      <c r="J223" t="n">
        <v>0.5707</v>
      </c>
      <c r="K223" t="n">
        <v>0</v>
      </c>
      <c r="L223" t="n">
        <v>0.83</v>
      </c>
      <c r="M223" t="n">
        <v>0.17</v>
      </c>
    </row>
    <row r="224" spans="1:13">
      <c r="A224" s="1">
        <f>HYPERLINK("http://www.twitter.com/NathanBLawrence/status/998365831074476033", "998365831074476033")</f>
        <v/>
      </c>
      <c r="B224" s="2" t="n">
        <v>43241.03630787037</v>
      </c>
      <c r="C224" t="n">
        <v>22</v>
      </c>
      <c r="D224" t="n">
        <v>12</v>
      </c>
      <c r="E224" t="s">
        <v>235</v>
      </c>
      <c r="F224" t="s"/>
      <c r="G224" t="s"/>
      <c r="H224" t="s"/>
      <c r="I224" t="s"/>
      <c r="J224" t="n">
        <v>-0.0516</v>
      </c>
      <c r="K224" t="n">
        <v>0.12</v>
      </c>
      <c r="L224" t="n">
        <v>0.763</v>
      </c>
      <c r="M224" t="n">
        <v>0.116</v>
      </c>
    </row>
    <row r="225" spans="1:13">
      <c r="A225" s="1">
        <f>HYPERLINK("http://www.twitter.com/NathanBLawrence/status/998365435295772672", "998365435295772672")</f>
        <v/>
      </c>
      <c r="B225" s="2" t="n">
        <v>43241.0352199074</v>
      </c>
      <c r="C225" t="n">
        <v>7</v>
      </c>
      <c r="D225" t="n">
        <v>2</v>
      </c>
      <c r="E225" t="s">
        <v>236</v>
      </c>
      <c r="F225" t="s"/>
      <c r="G225" t="s"/>
      <c r="H225" t="s"/>
      <c r="I225" t="s"/>
      <c r="J225" t="n">
        <v>0.3164</v>
      </c>
      <c r="K225" t="n">
        <v>0.139</v>
      </c>
      <c r="L225" t="n">
        <v>0.609</v>
      </c>
      <c r="M225" t="n">
        <v>0.252</v>
      </c>
    </row>
    <row r="226" spans="1:13">
      <c r="A226" s="1">
        <f>HYPERLINK("http://www.twitter.com/NathanBLawrence/status/998364052412747776", "998364052412747776")</f>
        <v/>
      </c>
      <c r="B226" s="2" t="n">
        <v>43241.03140046296</v>
      </c>
      <c r="C226" t="n">
        <v>10</v>
      </c>
      <c r="D226" t="n">
        <v>1</v>
      </c>
      <c r="E226" t="s">
        <v>237</v>
      </c>
      <c r="F226" t="s"/>
      <c r="G226" t="s"/>
      <c r="H226" t="s"/>
      <c r="I226" t="s"/>
      <c r="J226" t="n">
        <v>0</v>
      </c>
      <c r="K226" t="n">
        <v>0</v>
      </c>
      <c r="L226" t="n">
        <v>1</v>
      </c>
      <c r="M226" t="n">
        <v>0</v>
      </c>
    </row>
    <row r="227" spans="1:13">
      <c r="A227" s="1">
        <f>HYPERLINK("http://www.twitter.com/NathanBLawrence/status/998363450513342464", "998363450513342464")</f>
        <v/>
      </c>
      <c r="B227" s="2" t="n">
        <v>43241.0297337963</v>
      </c>
      <c r="C227" t="n">
        <v>0</v>
      </c>
      <c r="D227" t="n">
        <v>255</v>
      </c>
      <c r="E227" t="s">
        <v>238</v>
      </c>
      <c r="F227" t="s"/>
      <c r="G227" t="s"/>
      <c r="H227" t="s"/>
      <c r="I227" t="s"/>
      <c r="J227" t="n">
        <v>0.1779</v>
      </c>
      <c r="K227" t="n">
        <v>0.093</v>
      </c>
      <c r="L227" t="n">
        <v>0.789</v>
      </c>
      <c r="M227" t="n">
        <v>0.118</v>
      </c>
    </row>
    <row r="228" spans="1:13">
      <c r="A228" s="1">
        <f>HYPERLINK("http://www.twitter.com/NathanBLawrence/status/998363362428829696", "998363362428829696")</f>
        <v/>
      </c>
      <c r="B228" s="2" t="n">
        <v>43241.02949074074</v>
      </c>
      <c r="C228" t="n">
        <v>0</v>
      </c>
      <c r="D228" t="n">
        <v>1256</v>
      </c>
      <c r="E228" t="s">
        <v>239</v>
      </c>
      <c r="F228" t="s"/>
      <c r="G228" t="s"/>
      <c r="H228" t="s"/>
      <c r="I228" t="s"/>
      <c r="J228" t="n">
        <v>0.0772</v>
      </c>
      <c r="K228" t="n">
        <v>0.141</v>
      </c>
      <c r="L228" t="n">
        <v>0.661</v>
      </c>
      <c r="M228" t="n">
        <v>0.198</v>
      </c>
    </row>
    <row r="229" spans="1:13">
      <c r="A229" s="1">
        <f>HYPERLINK("http://www.twitter.com/NathanBLawrence/status/998363288877481984", "998363288877481984")</f>
        <v/>
      </c>
      <c r="B229" s="2" t="n">
        <v>43241.02929398148</v>
      </c>
      <c r="C229" t="n">
        <v>0</v>
      </c>
      <c r="D229" t="n">
        <v>164</v>
      </c>
      <c r="E229" t="s">
        <v>240</v>
      </c>
      <c r="F229" t="s"/>
      <c r="G229" t="s"/>
      <c r="H229" t="s"/>
      <c r="I229" t="s"/>
      <c r="J229" t="n">
        <v>0.2732</v>
      </c>
      <c r="K229" t="n">
        <v>0</v>
      </c>
      <c r="L229" t="n">
        <v>0.769</v>
      </c>
      <c r="M229" t="n">
        <v>0.231</v>
      </c>
    </row>
    <row r="230" spans="1:13">
      <c r="A230" s="1">
        <f>HYPERLINK("http://www.twitter.com/NathanBLawrence/status/998362936820224000", "998362936820224000")</f>
        <v/>
      </c>
      <c r="B230" s="2" t="n">
        <v>43241.02832175926</v>
      </c>
      <c r="C230" t="n">
        <v>0</v>
      </c>
      <c r="D230" t="n">
        <v>864</v>
      </c>
      <c r="E230" t="s">
        <v>241</v>
      </c>
      <c r="F230">
        <f>HYPERLINK("https://video.twimg.com/ext_tw_video/998334337908031489/pu/vid/720x720/QG8AIWGtIl2fM_3X.mp4?tag=3", "https://video.twimg.com/ext_tw_video/998334337908031489/pu/vid/720x720/QG8AIWGtIl2fM_3X.mp4?tag=3")</f>
        <v/>
      </c>
      <c r="G230" t="s"/>
      <c r="H230" t="s"/>
      <c r="I230" t="s"/>
      <c r="J230" t="n">
        <v>0.4019</v>
      </c>
      <c r="K230" t="n">
        <v>0</v>
      </c>
      <c r="L230" t="n">
        <v>0.87</v>
      </c>
      <c r="M230" t="n">
        <v>0.13</v>
      </c>
    </row>
    <row r="231" spans="1:13">
      <c r="A231" s="1">
        <f>HYPERLINK("http://www.twitter.com/NathanBLawrence/status/998362865294716928", "998362865294716928")</f>
        <v/>
      </c>
      <c r="B231" s="2" t="n">
        <v>43241.028125</v>
      </c>
      <c r="C231" t="n">
        <v>0</v>
      </c>
      <c r="D231" t="n">
        <v>9618</v>
      </c>
      <c r="E231" t="s">
        <v>242</v>
      </c>
      <c r="F231" t="s"/>
      <c r="G231" t="s"/>
      <c r="H231" t="s"/>
      <c r="I231" t="s"/>
      <c r="J231" t="n">
        <v>-0.3182</v>
      </c>
      <c r="K231" t="n">
        <v>0.103</v>
      </c>
      <c r="L231" t="n">
        <v>0.897</v>
      </c>
      <c r="M231" t="n">
        <v>0</v>
      </c>
    </row>
    <row r="232" spans="1:13">
      <c r="A232" s="1">
        <f>HYPERLINK("http://www.twitter.com/NathanBLawrence/status/998362762030940161", "998362762030940161")</f>
        <v/>
      </c>
      <c r="B232" s="2" t="n">
        <v>43241.02783564815</v>
      </c>
      <c r="C232" t="n">
        <v>0</v>
      </c>
      <c r="D232" t="n">
        <v>2170</v>
      </c>
      <c r="E232" t="s">
        <v>243</v>
      </c>
      <c r="F232" t="s"/>
      <c r="G232" t="s"/>
      <c r="H232" t="s"/>
      <c r="I232" t="s"/>
      <c r="J232" t="n">
        <v>0</v>
      </c>
      <c r="K232" t="n">
        <v>0</v>
      </c>
      <c r="L232" t="n">
        <v>1</v>
      </c>
      <c r="M232" t="n">
        <v>0</v>
      </c>
    </row>
    <row r="233" spans="1:13">
      <c r="A233" s="1">
        <f>HYPERLINK("http://www.twitter.com/NathanBLawrence/status/998361453483540480", "998361453483540480")</f>
        <v/>
      </c>
      <c r="B233" s="2" t="n">
        <v>43241.02422453704</v>
      </c>
      <c r="C233" t="n">
        <v>11</v>
      </c>
      <c r="D233" t="n">
        <v>5</v>
      </c>
      <c r="E233" t="s">
        <v>244</v>
      </c>
      <c r="F233" t="s"/>
      <c r="G233" t="s"/>
      <c r="H233" t="s"/>
      <c r="I233" t="s"/>
      <c r="J233" t="n">
        <v>0.5927</v>
      </c>
      <c r="K233" t="n">
        <v>0.231</v>
      </c>
      <c r="L233" t="n">
        <v>0.407</v>
      </c>
      <c r="M233" t="n">
        <v>0.362</v>
      </c>
    </row>
    <row r="234" spans="1:13">
      <c r="A234" s="1">
        <f>HYPERLINK("http://www.twitter.com/NathanBLawrence/status/998298792129478657", "998298792129478657")</f>
        <v/>
      </c>
      <c r="B234" s="2" t="n">
        <v>43240.85131944445</v>
      </c>
      <c r="C234" t="n">
        <v>0</v>
      </c>
      <c r="D234" t="n">
        <v>3768</v>
      </c>
      <c r="E234" t="s">
        <v>245</v>
      </c>
      <c r="F234" t="s"/>
      <c r="G234" t="s"/>
      <c r="H234" t="s"/>
      <c r="I234" t="s"/>
      <c r="J234" t="n">
        <v>0.1053</v>
      </c>
      <c r="K234" t="n">
        <v>0.154</v>
      </c>
      <c r="L234" t="n">
        <v>0.643</v>
      </c>
      <c r="M234" t="n">
        <v>0.204</v>
      </c>
    </row>
    <row r="235" spans="1:13">
      <c r="A235" s="1">
        <f>HYPERLINK("http://www.twitter.com/NathanBLawrence/status/998298741349105664", "998298741349105664")</f>
        <v/>
      </c>
      <c r="B235" s="2" t="n">
        <v>43240.85118055555</v>
      </c>
      <c r="C235" t="n">
        <v>9</v>
      </c>
      <c r="D235" t="n">
        <v>3</v>
      </c>
      <c r="E235" t="s">
        <v>246</v>
      </c>
      <c r="F235" t="s"/>
      <c r="G235" t="s"/>
      <c r="H235" t="s"/>
      <c r="I235" t="s"/>
      <c r="J235" t="n">
        <v>0</v>
      </c>
      <c r="K235" t="n">
        <v>0</v>
      </c>
      <c r="L235" t="n">
        <v>1</v>
      </c>
      <c r="M235" t="n">
        <v>0</v>
      </c>
    </row>
    <row r="236" spans="1:13">
      <c r="A236" s="1">
        <f>HYPERLINK("http://www.twitter.com/NathanBLawrence/status/998298452495818753", "998298452495818753")</f>
        <v/>
      </c>
      <c r="B236" s="2" t="n">
        <v>43240.85038194444</v>
      </c>
      <c r="C236" t="n">
        <v>8</v>
      </c>
      <c r="D236" t="n">
        <v>4</v>
      </c>
      <c r="E236" t="s">
        <v>247</v>
      </c>
      <c r="F236" t="s"/>
      <c r="G236" t="s"/>
      <c r="H236" t="s"/>
      <c r="I236" t="s"/>
      <c r="J236" t="n">
        <v>0.9134</v>
      </c>
      <c r="K236" t="n">
        <v>0</v>
      </c>
      <c r="L236" t="n">
        <v>0.573</v>
      </c>
      <c r="M236" t="n">
        <v>0.427</v>
      </c>
    </row>
    <row r="237" spans="1:13">
      <c r="A237" s="1">
        <f>HYPERLINK("http://www.twitter.com/NathanBLawrence/status/998297075375783936", "998297075375783936")</f>
        <v/>
      </c>
      <c r="B237" s="2" t="n">
        <v>43240.84657407407</v>
      </c>
      <c r="C237" t="n">
        <v>0</v>
      </c>
      <c r="D237" t="n">
        <v>10535</v>
      </c>
      <c r="E237" t="s">
        <v>248</v>
      </c>
      <c r="F237">
        <f>HYPERLINK("https://video.twimg.com/ext_tw_video/997164478486626304/pu/vid/638x360/d4cuKfcjUX0ScPQH.mp4?tag=3", "https://video.twimg.com/ext_tw_video/997164478486626304/pu/vid/638x360/d4cuKfcjUX0ScPQH.mp4?tag=3")</f>
        <v/>
      </c>
      <c r="G237" t="s"/>
      <c r="H237" t="s"/>
      <c r="I237" t="s"/>
      <c r="J237" t="n">
        <v>0.2168</v>
      </c>
      <c r="K237" t="n">
        <v>0.112</v>
      </c>
      <c r="L237" t="n">
        <v>0.67</v>
      </c>
      <c r="M237" t="n">
        <v>0.218</v>
      </c>
    </row>
    <row r="238" spans="1:13">
      <c r="A238" s="1">
        <f>HYPERLINK("http://www.twitter.com/NathanBLawrence/status/998295736453234688", "998295736453234688")</f>
        <v/>
      </c>
      <c r="B238" s="2" t="n">
        <v>43240.84288194445</v>
      </c>
      <c r="C238" t="n">
        <v>0</v>
      </c>
      <c r="D238" t="n">
        <v>4834</v>
      </c>
      <c r="E238" t="s">
        <v>249</v>
      </c>
      <c r="F238" t="s"/>
      <c r="G238" t="s"/>
      <c r="H238" t="s"/>
      <c r="I238" t="s"/>
      <c r="J238" t="n">
        <v>0.5994</v>
      </c>
      <c r="K238" t="n">
        <v>0</v>
      </c>
      <c r="L238" t="n">
        <v>0.795</v>
      </c>
      <c r="M238" t="n">
        <v>0.205</v>
      </c>
    </row>
    <row r="239" spans="1:13">
      <c r="A239" s="1">
        <f>HYPERLINK("http://www.twitter.com/NathanBLawrence/status/998295677569351680", "998295677569351680")</f>
        <v/>
      </c>
      <c r="B239" s="2" t="n">
        <v>43240.84271990741</v>
      </c>
      <c r="C239" t="n">
        <v>0</v>
      </c>
      <c r="D239" t="n">
        <v>1623</v>
      </c>
      <c r="E239" t="s">
        <v>250</v>
      </c>
      <c r="F239">
        <f>HYPERLINK("http://pbs.twimg.com/media/DdgsCf6V4AAa2jc.jpg", "http://pbs.twimg.com/media/DdgsCf6V4AAa2jc.jpg")</f>
        <v/>
      </c>
      <c r="G239" t="s"/>
      <c r="H239" t="s"/>
      <c r="I239" t="s"/>
      <c r="J239" t="n">
        <v>-0.8925999999999999</v>
      </c>
      <c r="K239" t="n">
        <v>0.347</v>
      </c>
      <c r="L239" t="n">
        <v>0.653</v>
      </c>
      <c r="M239" t="n">
        <v>0</v>
      </c>
    </row>
    <row r="240" spans="1:13">
      <c r="A240" s="1">
        <f>HYPERLINK("http://www.twitter.com/NathanBLawrence/status/998295591993016320", "998295591993016320")</f>
        <v/>
      </c>
      <c r="B240" s="2" t="n">
        <v>43240.84248842593</v>
      </c>
      <c r="C240" t="n">
        <v>4</v>
      </c>
      <c r="D240" t="n">
        <v>0</v>
      </c>
      <c r="E240" t="s">
        <v>251</v>
      </c>
      <c r="F240" t="s"/>
      <c r="G240" t="s"/>
      <c r="H240" t="s"/>
      <c r="I240" t="s"/>
      <c r="J240" t="n">
        <v>0.6105</v>
      </c>
      <c r="K240" t="n">
        <v>0</v>
      </c>
      <c r="L240" t="n">
        <v>0.429</v>
      </c>
      <c r="M240" t="n">
        <v>0.571</v>
      </c>
    </row>
    <row r="241" spans="1:13">
      <c r="A241" s="1">
        <f>HYPERLINK("http://www.twitter.com/NathanBLawrence/status/998295363726458880", "998295363726458880")</f>
        <v/>
      </c>
      <c r="B241" s="2" t="n">
        <v>43240.84185185185</v>
      </c>
      <c r="C241" t="n">
        <v>0</v>
      </c>
      <c r="D241" t="n">
        <v>1744</v>
      </c>
      <c r="E241" t="s">
        <v>252</v>
      </c>
      <c r="F241">
        <f>HYPERLINK("http://pbs.twimg.com/media/DdmIvN9UwAA7L1j.jpg", "http://pbs.twimg.com/media/DdmIvN9UwAA7L1j.jpg")</f>
        <v/>
      </c>
      <c r="G241" t="s"/>
      <c r="H241" t="s"/>
      <c r="I241" t="s"/>
      <c r="J241" t="n">
        <v>-0.6588000000000001</v>
      </c>
      <c r="K241" t="n">
        <v>0.238</v>
      </c>
      <c r="L241" t="n">
        <v>0.671</v>
      </c>
      <c r="M241" t="n">
        <v>0.091</v>
      </c>
    </row>
    <row r="242" spans="1:13">
      <c r="A242" s="1">
        <f>HYPERLINK("http://www.twitter.com/NathanBLawrence/status/998294943448743936", "998294943448743936")</f>
        <v/>
      </c>
      <c r="B242" s="2" t="n">
        <v>43240.84069444444</v>
      </c>
      <c r="C242" t="n">
        <v>32</v>
      </c>
      <c r="D242" t="n">
        <v>16</v>
      </c>
      <c r="E242" t="s">
        <v>253</v>
      </c>
      <c r="F242" t="s"/>
      <c r="G242" t="s"/>
      <c r="H242" t="s"/>
      <c r="I242" t="s"/>
      <c r="J242" t="n">
        <v>-0.3818</v>
      </c>
      <c r="K242" t="n">
        <v>0.046</v>
      </c>
      <c r="L242" t="n">
        <v>0.954</v>
      </c>
      <c r="M242" t="n">
        <v>0</v>
      </c>
    </row>
    <row r="243" spans="1:13">
      <c r="A243" s="1">
        <f>HYPERLINK("http://www.twitter.com/NathanBLawrence/status/998293621550997504", "998293621550997504")</f>
        <v/>
      </c>
      <c r="B243" s="2" t="n">
        <v>43240.83704861111</v>
      </c>
      <c r="C243" t="n">
        <v>13</v>
      </c>
      <c r="D243" t="n">
        <v>4</v>
      </c>
      <c r="E243" t="s">
        <v>254</v>
      </c>
      <c r="F243" t="s"/>
      <c r="G243" t="s"/>
      <c r="H243" t="s"/>
      <c r="I243" t="s"/>
      <c r="J243" t="n">
        <v>-0.4003</v>
      </c>
      <c r="K243" t="n">
        <v>0.183</v>
      </c>
      <c r="L243" t="n">
        <v>0.8169999999999999</v>
      </c>
      <c r="M243" t="n">
        <v>0</v>
      </c>
    </row>
    <row r="244" spans="1:13">
      <c r="A244" s="1">
        <f>HYPERLINK("http://www.twitter.com/NathanBLawrence/status/998293372304482304", "998293372304482304")</f>
        <v/>
      </c>
      <c r="B244" s="2" t="n">
        <v>43240.83636574074</v>
      </c>
      <c r="C244" t="n">
        <v>12</v>
      </c>
      <c r="D244" t="n">
        <v>3</v>
      </c>
      <c r="E244" t="s">
        <v>255</v>
      </c>
      <c r="F244" t="s"/>
      <c r="G244" t="s"/>
      <c r="H244" t="s"/>
      <c r="I244" t="s"/>
      <c r="J244" t="n">
        <v>0.1655</v>
      </c>
      <c r="K244" t="n">
        <v>0</v>
      </c>
      <c r="L244" t="n">
        <v>0.958</v>
      </c>
      <c r="M244" t="n">
        <v>0.042</v>
      </c>
    </row>
    <row r="245" spans="1:13">
      <c r="A245" s="1">
        <f>HYPERLINK("http://www.twitter.com/NathanBLawrence/status/998293151625265153", "998293151625265153")</f>
        <v/>
      </c>
      <c r="B245" s="2" t="n">
        <v>43240.83575231482</v>
      </c>
      <c r="C245" t="n">
        <v>5</v>
      </c>
      <c r="D245" t="n">
        <v>2</v>
      </c>
      <c r="E245" t="s">
        <v>256</v>
      </c>
      <c r="F245" t="s"/>
      <c r="G245" t="s"/>
      <c r="H245" t="s"/>
      <c r="I245" t="s"/>
      <c r="J245" t="n">
        <v>-0.743</v>
      </c>
      <c r="K245" t="n">
        <v>0.221</v>
      </c>
      <c r="L245" t="n">
        <v>0.713</v>
      </c>
      <c r="M245" t="n">
        <v>0.066</v>
      </c>
    </row>
    <row r="246" spans="1:13">
      <c r="A246" s="1">
        <f>HYPERLINK("http://www.twitter.com/NathanBLawrence/status/998292479160958977", "998292479160958977")</f>
        <v/>
      </c>
      <c r="B246" s="2" t="n">
        <v>43240.83390046296</v>
      </c>
      <c r="C246" t="n">
        <v>5</v>
      </c>
      <c r="D246" t="n">
        <v>2</v>
      </c>
      <c r="E246" t="s">
        <v>257</v>
      </c>
      <c r="F246" t="s"/>
      <c r="G246" t="s"/>
      <c r="H246" t="s"/>
      <c r="I246" t="s"/>
      <c r="J246" t="n">
        <v>0</v>
      </c>
      <c r="K246" t="n">
        <v>0</v>
      </c>
      <c r="L246" t="n">
        <v>1</v>
      </c>
      <c r="M246" t="n">
        <v>0</v>
      </c>
    </row>
    <row r="247" spans="1:13">
      <c r="A247" s="1">
        <f>HYPERLINK("http://www.twitter.com/NathanBLawrence/status/998291655248654336", "998291655248654336")</f>
        <v/>
      </c>
      <c r="B247" s="2" t="n">
        <v>43240.83162037037</v>
      </c>
      <c r="C247" t="n">
        <v>6</v>
      </c>
      <c r="D247" t="n">
        <v>1</v>
      </c>
      <c r="E247" t="s">
        <v>258</v>
      </c>
      <c r="F247" t="s"/>
      <c r="G247" t="s"/>
      <c r="H247" t="s"/>
      <c r="I247" t="s"/>
      <c r="J247" t="n">
        <v>0.6086</v>
      </c>
      <c r="K247" t="n">
        <v>0</v>
      </c>
      <c r="L247" t="n">
        <v>0.779</v>
      </c>
      <c r="M247" t="n">
        <v>0.221</v>
      </c>
    </row>
    <row r="248" spans="1:13">
      <c r="A248" s="1">
        <f>HYPERLINK("http://www.twitter.com/NathanBLawrence/status/998288343568826369", "998288343568826369")</f>
        <v/>
      </c>
      <c r="B248" s="2" t="n">
        <v>43240.82248842593</v>
      </c>
      <c r="C248" t="n">
        <v>10</v>
      </c>
      <c r="D248" t="n">
        <v>0</v>
      </c>
      <c r="E248" t="s">
        <v>259</v>
      </c>
      <c r="F248" t="s"/>
      <c r="G248" t="s"/>
      <c r="H248" t="s"/>
      <c r="I248" t="s"/>
      <c r="J248" t="n">
        <v>-0.34</v>
      </c>
      <c r="K248" t="n">
        <v>0.057</v>
      </c>
      <c r="L248" t="n">
        <v>0.9429999999999999</v>
      </c>
      <c r="M248" t="n">
        <v>0</v>
      </c>
    </row>
    <row r="249" spans="1:13">
      <c r="A249" s="1">
        <f>HYPERLINK("http://www.twitter.com/NathanBLawrence/status/998287613780873217", "998287613780873217")</f>
        <v/>
      </c>
      <c r="B249" s="2" t="n">
        <v>43240.82047453704</v>
      </c>
      <c r="C249" t="n">
        <v>7</v>
      </c>
      <c r="D249" t="n">
        <v>1</v>
      </c>
      <c r="E249" t="s">
        <v>260</v>
      </c>
      <c r="F249" t="s"/>
      <c r="G249" t="s"/>
      <c r="H249" t="s"/>
      <c r="I249" t="s"/>
      <c r="J249" t="n">
        <v>-0.3612</v>
      </c>
      <c r="K249" t="n">
        <v>0.054</v>
      </c>
      <c r="L249" t="n">
        <v>0.946</v>
      </c>
      <c r="M249" t="n">
        <v>0</v>
      </c>
    </row>
    <row r="250" spans="1:13">
      <c r="A250" s="1">
        <f>HYPERLINK("http://www.twitter.com/NathanBLawrence/status/998286048487616512", "998286048487616512")</f>
        <v/>
      </c>
      <c r="B250" s="2" t="n">
        <v>43240.81614583333</v>
      </c>
      <c r="C250" t="n">
        <v>5</v>
      </c>
      <c r="D250" t="n">
        <v>0</v>
      </c>
      <c r="E250" t="s">
        <v>261</v>
      </c>
      <c r="F250" t="s"/>
      <c r="G250" t="s"/>
      <c r="H250" t="s"/>
      <c r="I250" t="s"/>
      <c r="J250" t="n">
        <v>0</v>
      </c>
      <c r="K250" t="n">
        <v>0</v>
      </c>
      <c r="L250" t="n">
        <v>1</v>
      </c>
      <c r="M250" t="n">
        <v>0</v>
      </c>
    </row>
    <row r="251" spans="1:13">
      <c r="A251" s="1">
        <f>HYPERLINK("http://www.twitter.com/NathanBLawrence/status/998285933760823296", "998285933760823296")</f>
        <v/>
      </c>
      <c r="B251" s="2" t="n">
        <v>43240.81583333333</v>
      </c>
      <c r="C251" t="n">
        <v>6</v>
      </c>
      <c r="D251" t="n">
        <v>1</v>
      </c>
      <c r="E251" t="s">
        <v>262</v>
      </c>
      <c r="F251" t="s"/>
      <c r="G251" t="s"/>
      <c r="H251" t="s"/>
      <c r="I251" t="s"/>
      <c r="J251" t="n">
        <v>-0.5574</v>
      </c>
      <c r="K251" t="n">
        <v>0.104</v>
      </c>
      <c r="L251" t="n">
        <v>0.896</v>
      </c>
      <c r="M251" t="n">
        <v>0</v>
      </c>
    </row>
    <row r="252" spans="1:13">
      <c r="A252" s="1">
        <f>HYPERLINK("http://www.twitter.com/NathanBLawrence/status/998285668227825664", "998285668227825664")</f>
        <v/>
      </c>
      <c r="B252" s="2" t="n">
        <v>43240.81510416666</v>
      </c>
      <c r="C252" t="n">
        <v>13</v>
      </c>
      <c r="D252" t="n">
        <v>1</v>
      </c>
      <c r="E252" t="s">
        <v>263</v>
      </c>
      <c r="F252" t="s"/>
      <c r="G252" t="s"/>
      <c r="H252" t="s"/>
      <c r="I252" t="s"/>
      <c r="J252" t="n">
        <v>0.1134</v>
      </c>
      <c r="K252" t="n">
        <v>0.12</v>
      </c>
      <c r="L252" t="n">
        <v>0.792</v>
      </c>
      <c r="M252" t="n">
        <v>0.08799999999999999</v>
      </c>
    </row>
    <row r="253" spans="1:13">
      <c r="A253" s="1">
        <f>HYPERLINK("http://www.twitter.com/NathanBLawrence/status/998284534524227584", "998284534524227584")</f>
        <v/>
      </c>
      <c r="B253" s="2" t="n">
        <v>43240.81196759259</v>
      </c>
      <c r="C253" t="n">
        <v>9</v>
      </c>
      <c r="D253" t="n">
        <v>0</v>
      </c>
      <c r="E253" t="s">
        <v>264</v>
      </c>
      <c r="F253" t="s"/>
      <c r="G253" t="s"/>
      <c r="H253" t="s"/>
      <c r="I253" t="s"/>
      <c r="J253" t="n">
        <v>0.6027</v>
      </c>
      <c r="K253" t="n">
        <v>0</v>
      </c>
      <c r="L253" t="n">
        <v>0.8169999999999999</v>
      </c>
      <c r="M253" t="n">
        <v>0.183</v>
      </c>
    </row>
    <row r="254" spans="1:13">
      <c r="A254" s="1">
        <f>HYPERLINK("http://www.twitter.com/NathanBLawrence/status/998283971598274561", "998283971598274561")</f>
        <v/>
      </c>
      <c r="B254" s="2" t="n">
        <v>43240.81041666667</v>
      </c>
      <c r="C254" t="n">
        <v>0</v>
      </c>
      <c r="D254" t="n">
        <v>1161</v>
      </c>
      <c r="E254" t="s">
        <v>265</v>
      </c>
      <c r="F254" t="s"/>
      <c r="G254" t="s"/>
      <c r="H254" t="s"/>
      <c r="I254" t="s"/>
      <c r="J254" t="n">
        <v>-0.5255</v>
      </c>
      <c r="K254" t="n">
        <v>0.124</v>
      </c>
      <c r="L254" t="n">
        <v>0.876</v>
      </c>
      <c r="M254" t="n">
        <v>0</v>
      </c>
    </row>
    <row r="255" spans="1:13">
      <c r="A255" s="1">
        <f>HYPERLINK("http://www.twitter.com/NathanBLawrence/status/998283908843106304", "998283908843106304")</f>
        <v/>
      </c>
      <c r="B255" s="2" t="n">
        <v>43240.81024305556</v>
      </c>
      <c r="C255" t="n">
        <v>0</v>
      </c>
      <c r="D255" t="n">
        <v>890</v>
      </c>
      <c r="E255" t="s">
        <v>266</v>
      </c>
      <c r="F255" t="s"/>
      <c r="G255" t="s"/>
      <c r="H255" t="s"/>
      <c r="I255" t="s"/>
      <c r="J255" t="n">
        <v>0.5423</v>
      </c>
      <c r="K255" t="n">
        <v>0</v>
      </c>
      <c r="L255" t="n">
        <v>0.727</v>
      </c>
      <c r="M255" t="n">
        <v>0.273</v>
      </c>
    </row>
    <row r="256" spans="1:13">
      <c r="A256" s="1">
        <f>HYPERLINK("http://www.twitter.com/NathanBLawrence/status/998283862152130562", "998283862152130562")</f>
        <v/>
      </c>
      <c r="B256" s="2" t="n">
        <v>43240.81011574074</v>
      </c>
      <c r="C256" t="n">
        <v>0</v>
      </c>
      <c r="D256" t="n">
        <v>634</v>
      </c>
      <c r="E256" t="s">
        <v>267</v>
      </c>
      <c r="F256" t="s"/>
      <c r="G256" t="s"/>
      <c r="H256" t="s"/>
      <c r="I256" t="s"/>
      <c r="J256" t="n">
        <v>0.5362</v>
      </c>
      <c r="K256" t="n">
        <v>0</v>
      </c>
      <c r="L256" t="n">
        <v>0.878</v>
      </c>
      <c r="M256" t="n">
        <v>0.122</v>
      </c>
    </row>
    <row r="257" spans="1:13">
      <c r="A257" s="1">
        <f>HYPERLINK("http://www.twitter.com/NathanBLawrence/status/998283821194727424", "998283821194727424")</f>
        <v/>
      </c>
      <c r="B257" s="2" t="n">
        <v>43240.81</v>
      </c>
      <c r="C257" t="n">
        <v>0</v>
      </c>
      <c r="D257" t="n">
        <v>582</v>
      </c>
      <c r="E257" t="s">
        <v>268</v>
      </c>
      <c r="F257" t="s"/>
      <c r="G257" t="s"/>
      <c r="H257" t="s"/>
      <c r="I257" t="s"/>
      <c r="J257" t="n">
        <v>0</v>
      </c>
      <c r="K257" t="n">
        <v>0</v>
      </c>
      <c r="L257" t="n">
        <v>1</v>
      </c>
      <c r="M257" t="n">
        <v>0</v>
      </c>
    </row>
    <row r="258" spans="1:13">
      <c r="A258" s="1">
        <f>HYPERLINK("http://www.twitter.com/NathanBLawrence/status/998283728861442048", "998283728861442048")</f>
        <v/>
      </c>
      <c r="B258" s="2" t="n">
        <v>43240.80974537037</v>
      </c>
      <c r="C258" t="n">
        <v>0</v>
      </c>
      <c r="D258" t="n">
        <v>399</v>
      </c>
      <c r="E258" t="s">
        <v>269</v>
      </c>
      <c r="F258">
        <f>HYPERLINK("http://pbs.twimg.com/media/Ddp5n7hVMAEalSq.jpg", "http://pbs.twimg.com/media/Ddp5n7hVMAEalSq.jpg")</f>
        <v/>
      </c>
      <c r="G258" t="s"/>
      <c r="H258" t="s"/>
      <c r="I258" t="s"/>
      <c r="J258" t="n">
        <v>0</v>
      </c>
      <c r="K258" t="n">
        <v>0</v>
      </c>
      <c r="L258" t="n">
        <v>1</v>
      </c>
      <c r="M258" t="n">
        <v>0</v>
      </c>
    </row>
    <row r="259" spans="1:13">
      <c r="A259" s="1">
        <f>HYPERLINK("http://www.twitter.com/NathanBLawrence/status/998283636863451136", "998283636863451136")</f>
        <v/>
      </c>
      <c r="B259" s="2" t="n">
        <v>43240.80949074074</v>
      </c>
      <c r="C259" t="n">
        <v>0</v>
      </c>
      <c r="D259" t="n">
        <v>552</v>
      </c>
      <c r="E259" t="s">
        <v>270</v>
      </c>
      <c r="F259" t="s"/>
      <c r="G259" t="s"/>
      <c r="H259" t="s"/>
      <c r="I259" t="s"/>
      <c r="J259" t="n">
        <v>0.4939</v>
      </c>
      <c r="K259" t="n">
        <v>0</v>
      </c>
      <c r="L259" t="n">
        <v>0.819</v>
      </c>
      <c r="M259" t="n">
        <v>0.181</v>
      </c>
    </row>
    <row r="260" spans="1:13">
      <c r="A260" s="1">
        <f>HYPERLINK("http://www.twitter.com/NathanBLawrence/status/998283567103799297", "998283567103799297")</f>
        <v/>
      </c>
      <c r="B260" s="2" t="n">
        <v>43240.80930555556</v>
      </c>
      <c r="C260" t="n">
        <v>0</v>
      </c>
      <c r="D260" t="n">
        <v>652</v>
      </c>
      <c r="E260" t="s">
        <v>271</v>
      </c>
      <c r="F260">
        <f>HYPERLINK("http://pbs.twimg.com/media/Ddp5BX0VMAItPdf.jpg", "http://pbs.twimg.com/media/Ddp5BX0VMAItPdf.jpg")</f>
        <v/>
      </c>
      <c r="G260">
        <f>HYPERLINK("http://pbs.twimg.com/media/Ddp5FHIV0AUZPVT.jpg", "http://pbs.twimg.com/media/Ddp5FHIV0AUZPVT.jpg")</f>
        <v/>
      </c>
      <c r="H260" t="s"/>
      <c r="I260" t="s"/>
      <c r="J260" t="n">
        <v>-0.2263</v>
      </c>
      <c r="K260" t="n">
        <v>0.076</v>
      </c>
      <c r="L260" t="n">
        <v>0.924</v>
      </c>
      <c r="M260" t="n">
        <v>0</v>
      </c>
    </row>
    <row r="261" spans="1:13">
      <c r="A261" s="1">
        <f>HYPERLINK("http://www.twitter.com/NathanBLawrence/status/998283547231207424", "998283547231207424")</f>
        <v/>
      </c>
      <c r="B261" s="2" t="n">
        <v>43240.80924768518</v>
      </c>
      <c r="C261" t="n">
        <v>0</v>
      </c>
      <c r="D261" t="n">
        <v>445</v>
      </c>
      <c r="E261" t="s">
        <v>272</v>
      </c>
      <c r="F261">
        <f>HYPERLINK("http://pbs.twimg.com/media/Ddp4qhLV4AIc0sw.jpg", "http://pbs.twimg.com/media/Ddp4qhLV4AIc0sw.jpg")</f>
        <v/>
      </c>
      <c r="G261">
        <f>HYPERLINK("http://pbs.twimg.com/media/Ddp4vOkUwAAcSc6.jpg", "http://pbs.twimg.com/media/Ddp4vOkUwAAcSc6.jpg")</f>
        <v/>
      </c>
      <c r="H261" t="s"/>
      <c r="I261" t="s"/>
      <c r="J261" t="n">
        <v>0.2732</v>
      </c>
      <c r="K261" t="n">
        <v>0</v>
      </c>
      <c r="L261" t="n">
        <v>0.8110000000000001</v>
      </c>
      <c r="M261" t="n">
        <v>0.189</v>
      </c>
    </row>
    <row r="262" spans="1:13">
      <c r="A262" s="1">
        <f>HYPERLINK("http://www.twitter.com/NathanBLawrence/status/998283487227465728", "998283487227465728")</f>
        <v/>
      </c>
      <c r="B262" s="2" t="n">
        <v>43240.80908564815</v>
      </c>
      <c r="C262" t="n">
        <v>0</v>
      </c>
      <c r="D262" t="n">
        <v>487</v>
      </c>
      <c r="E262" t="s">
        <v>273</v>
      </c>
      <c r="F262" t="s"/>
      <c r="G262" t="s"/>
      <c r="H262" t="s"/>
      <c r="I262" t="s"/>
      <c r="J262" t="n">
        <v>0</v>
      </c>
      <c r="K262" t="n">
        <v>0</v>
      </c>
      <c r="L262" t="n">
        <v>1</v>
      </c>
      <c r="M262" t="n">
        <v>0</v>
      </c>
    </row>
    <row r="263" spans="1:13">
      <c r="A263" s="1">
        <f>HYPERLINK("http://www.twitter.com/NathanBLawrence/status/998283418528923648", "998283418528923648")</f>
        <v/>
      </c>
      <c r="B263" s="2" t="n">
        <v>43240.80888888889</v>
      </c>
      <c r="C263" t="n">
        <v>0</v>
      </c>
      <c r="D263" t="n">
        <v>633</v>
      </c>
      <c r="E263" t="s">
        <v>274</v>
      </c>
      <c r="F263">
        <f>HYPERLINK("http://pbs.twimg.com/media/Ddp38s_U0AEITwb.jpg", "http://pbs.twimg.com/media/Ddp38s_U0AEITwb.jpg")</f>
        <v/>
      </c>
      <c r="G263" t="s"/>
      <c r="H263" t="s"/>
      <c r="I263" t="s"/>
      <c r="J263" t="n">
        <v>0.4753</v>
      </c>
      <c r="K263" t="n">
        <v>0</v>
      </c>
      <c r="L263" t="n">
        <v>0.881</v>
      </c>
      <c r="M263" t="n">
        <v>0.119</v>
      </c>
    </row>
    <row r="264" spans="1:13">
      <c r="A264" s="1">
        <f>HYPERLINK("http://www.twitter.com/NathanBLawrence/status/998283263834648576", "998283263834648576")</f>
        <v/>
      </c>
      <c r="B264" s="2" t="n">
        <v>43240.80846064815</v>
      </c>
      <c r="C264" t="n">
        <v>0</v>
      </c>
      <c r="D264" t="n">
        <v>450</v>
      </c>
      <c r="E264" t="s">
        <v>275</v>
      </c>
      <c r="F264">
        <f>HYPERLINK("http://pbs.twimg.com/media/Ddp2I9iVQAApvTr.jpg", "http://pbs.twimg.com/media/Ddp2I9iVQAApvTr.jpg")</f>
        <v/>
      </c>
      <c r="G264" t="s"/>
      <c r="H264" t="s"/>
      <c r="I264" t="s"/>
      <c r="J264" t="n">
        <v>0.745</v>
      </c>
      <c r="K264" t="n">
        <v>0</v>
      </c>
      <c r="L264" t="n">
        <v>0.769</v>
      </c>
      <c r="M264" t="n">
        <v>0.231</v>
      </c>
    </row>
    <row r="265" spans="1:13">
      <c r="A265" s="1">
        <f>HYPERLINK("http://www.twitter.com/NathanBLawrence/status/998283211745591296", "998283211745591296")</f>
        <v/>
      </c>
      <c r="B265" s="2" t="n">
        <v>43240.80832175926</v>
      </c>
      <c r="C265" t="n">
        <v>0</v>
      </c>
      <c r="D265" t="n">
        <v>420</v>
      </c>
      <c r="E265" t="s">
        <v>276</v>
      </c>
      <c r="F265">
        <f>HYPERLINK("http://pbs.twimg.com/media/Ddp0-GeVAAABESD.jpg", "http://pbs.twimg.com/media/Ddp0-GeVAAABESD.jpg")</f>
        <v/>
      </c>
      <c r="G265">
        <f>HYPERLINK("http://pbs.twimg.com/media/Ddp1AMZVAAcftA2.jpg", "http://pbs.twimg.com/media/Ddp1AMZVAAcftA2.jpg")</f>
        <v/>
      </c>
      <c r="H265" t="s"/>
      <c r="I265" t="s"/>
      <c r="J265" t="n">
        <v>0</v>
      </c>
      <c r="K265" t="n">
        <v>0</v>
      </c>
      <c r="L265" t="n">
        <v>1</v>
      </c>
      <c r="M265" t="n">
        <v>0</v>
      </c>
    </row>
    <row r="266" spans="1:13">
      <c r="A266" s="1">
        <f>HYPERLINK("http://www.twitter.com/NathanBLawrence/status/998283165935398913", "998283165935398913")</f>
        <v/>
      </c>
      <c r="B266" s="2" t="n">
        <v>43240.80819444444</v>
      </c>
      <c r="C266" t="n">
        <v>0</v>
      </c>
      <c r="D266" t="n">
        <v>414</v>
      </c>
      <c r="E266" t="s">
        <v>277</v>
      </c>
      <c r="F266">
        <f>HYPERLINK("http://pbs.twimg.com/media/Ddp03qQVwAEkjmW.jpg", "http://pbs.twimg.com/media/Ddp03qQVwAEkjmW.jpg")</f>
        <v/>
      </c>
      <c r="G266" t="s"/>
      <c r="H266" t="s"/>
      <c r="I266" t="s"/>
      <c r="J266" t="n">
        <v>0</v>
      </c>
      <c r="K266" t="n">
        <v>0</v>
      </c>
      <c r="L266" t="n">
        <v>1</v>
      </c>
      <c r="M266" t="n">
        <v>0</v>
      </c>
    </row>
    <row r="267" spans="1:13">
      <c r="A267" s="1">
        <f>HYPERLINK("http://www.twitter.com/NathanBLawrence/status/998283118451671040", "998283118451671040")</f>
        <v/>
      </c>
      <c r="B267" s="2" t="n">
        <v>43240.80806712963</v>
      </c>
      <c r="C267" t="n">
        <v>0</v>
      </c>
      <c r="D267" t="n">
        <v>456</v>
      </c>
      <c r="E267" t="s">
        <v>278</v>
      </c>
      <c r="F267">
        <f>HYPERLINK("http://pbs.twimg.com/media/Ddp0bHAVMAEC3p-.jpg", "http://pbs.twimg.com/media/Ddp0bHAVMAEC3p-.jpg")</f>
        <v/>
      </c>
      <c r="G267" t="s"/>
      <c r="H267" t="s"/>
      <c r="I267" t="s"/>
      <c r="J267" t="n">
        <v>0.4588</v>
      </c>
      <c r="K267" t="n">
        <v>0</v>
      </c>
      <c r="L267" t="n">
        <v>0.852</v>
      </c>
      <c r="M267" t="n">
        <v>0.148</v>
      </c>
    </row>
    <row r="268" spans="1:13">
      <c r="A268" s="1">
        <f>HYPERLINK("http://www.twitter.com/NathanBLawrence/status/998283085257965568", "998283085257965568")</f>
        <v/>
      </c>
      <c r="B268" s="2" t="n">
        <v>43240.80797453703</v>
      </c>
      <c r="C268" t="n">
        <v>0</v>
      </c>
      <c r="D268" t="n">
        <v>530</v>
      </c>
      <c r="E268" t="s">
        <v>279</v>
      </c>
      <c r="F268">
        <f>HYPERLINK("http://pbs.twimg.com/media/Ddpz9keU8AEmGNr.jpg", "http://pbs.twimg.com/media/Ddpz9keU8AEmGNr.jpg")</f>
        <v/>
      </c>
      <c r="G268" t="s"/>
      <c r="H268" t="s"/>
      <c r="I268" t="s"/>
      <c r="J268" t="n">
        <v>0</v>
      </c>
      <c r="K268" t="n">
        <v>0</v>
      </c>
      <c r="L268" t="n">
        <v>1</v>
      </c>
      <c r="M268" t="n">
        <v>0</v>
      </c>
    </row>
    <row r="269" spans="1:13">
      <c r="A269" s="1">
        <f>HYPERLINK("http://www.twitter.com/NathanBLawrence/status/998283027510800384", "998283027510800384")</f>
        <v/>
      </c>
      <c r="B269" s="2" t="n">
        <v>43240.8078125</v>
      </c>
      <c r="C269" t="n">
        <v>0</v>
      </c>
      <c r="D269" t="n">
        <v>480</v>
      </c>
      <c r="E269" t="s">
        <v>280</v>
      </c>
      <c r="F269">
        <f>HYPERLINK("http://pbs.twimg.com/media/DdpzXojU8AALinT.jpg", "http://pbs.twimg.com/media/DdpzXojU8AALinT.jpg")</f>
        <v/>
      </c>
      <c r="G269">
        <f>HYPERLINK("http://pbs.twimg.com/media/DdpzcoyUQAA1mV9.jpg", "http://pbs.twimg.com/media/DdpzcoyUQAA1mV9.jpg")</f>
        <v/>
      </c>
      <c r="H269" t="s"/>
      <c r="I269" t="s"/>
      <c r="J269" t="n">
        <v>-0.2263</v>
      </c>
      <c r="K269" t="n">
        <v>0.079</v>
      </c>
      <c r="L269" t="n">
        <v>0.921</v>
      </c>
      <c r="M269" t="n">
        <v>0</v>
      </c>
    </row>
    <row r="270" spans="1:13">
      <c r="A270" s="1">
        <f>HYPERLINK("http://www.twitter.com/NathanBLawrence/status/998282955834277888", "998282955834277888")</f>
        <v/>
      </c>
      <c r="B270" s="2" t="n">
        <v>43240.80761574074</v>
      </c>
      <c r="C270" t="n">
        <v>0</v>
      </c>
      <c r="D270" t="n">
        <v>634</v>
      </c>
      <c r="E270" t="s">
        <v>281</v>
      </c>
      <c r="F270" t="s"/>
      <c r="G270" t="s"/>
      <c r="H270" t="s"/>
      <c r="I270" t="s"/>
      <c r="J270" t="n">
        <v>0</v>
      </c>
      <c r="K270" t="n">
        <v>0</v>
      </c>
      <c r="L270" t="n">
        <v>1</v>
      </c>
      <c r="M270" t="n">
        <v>0</v>
      </c>
    </row>
    <row r="271" spans="1:13">
      <c r="A271" s="1">
        <f>HYPERLINK("http://www.twitter.com/NathanBLawrence/status/998282891426545665", "998282891426545665")</f>
        <v/>
      </c>
      <c r="B271" s="2" t="n">
        <v>43240.80744212963</v>
      </c>
      <c r="C271" t="n">
        <v>0</v>
      </c>
      <c r="D271" t="n">
        <v>535</v>
      </c>
      <c r="E271" t="s">
        <v>282</v>
      </c>
      <c r="F271">
        <f>HYPERLINK("http://pbs.twimg.com/media/Ddpx-WkVAAUk4Xt.jpg", "http://pbs.twimg.com/media/Ddpx-WkVAAUk4Xt.jpg")</f>
        <v/>
      </c>
      <c r="G271" t="s"/>
      <c r="H271" t="s"/>
      <c r="I271" t="s"/>
      <c r="J271" t="n">
        <v>0</v>
      </c>
      <c r="K271" t="n">
        <v>0</v>
      </c>
      <c r="L271" t="n">
        <v>1</v>
      </c>
      <c r="M271" t="n">
        <v>0</v>
      </c>
    </row>
    <row r="272" spans="1:13">
      <c r="A272" s="1">
        <f>HYPERLINK("http://www.twitter.com/NathanBLawrence/status/998282806332551169", "998282806332551169")</f>
        <v/>
      </c>
      <c r="B272" s="2" t="n">
        <v>43240.80719907407</v>
      </c>
      <c r="C272" t="n">
        <v>0</v>
      </c>
      <c r="D272" t="n">
        <v>809</v>
      </c>
      <c r="E272" t="s">
        <v>283</v>
      </c>
      <c r="F272">
        <f>HYPERLINK("http://pbs.twimg.com/media/Ddpx0OfVAAEU7Q9.jpg", "http://pbs.twimg.com/media/Ddpx0OfVAAEU7Q9.jpg")</f>
        <v/>
      </c>
      <c r="G272" t="s"/>
      <c r="H272" t="s"/>
      <c r="I272" t="s"/>
      <c r="J272" t="n">
        <v>-0.4696</v>
      </c>
      <c r="K272" t="n">
        <v>0.117</v>
      </c>
      <c r="L272" t="n">
        <v>0.883</v>
      </c>
      <c r="M272" t="n">
        <v>0</v>
      </c>
    </row>
    <row r="273" spans="1:13">
      <c r="A273" s="1">
        <f>HYPERLINK("http://www.twitter.com/NathanBLawrence/status/998282756575526912", "998282756575526912")</f>
        <v/>
      </c>
      <c r="B273" s="2" t="n">
        <v>43240.80707175926</v>
      </c>
      <c r="C273" t="n">
        <v>0</v>
      </c>
      <c r="D273" t="n">
        <v>445</v>
      </c>
      <c r="E273" t="s">
        <v>284</v>
      </c>
      <c r="F273">
        <f>HYPERLINK("http://pbs.twimg.com/media/DdpxVgvV4AEAk5w.jpg", "http://pbs.twimg.com/media/DdpxVgvV4AEAk5w.jpg")</f>
        <v/>
      </c>
      <c r="G273" t="s"/>
      <c r="H273" t="s"/>
      <c r="I273" t="s"/>
      <c r="J273" t="n">
        <v>0</v>
      </c>
      <c r="K273" t="n">
        <v>0</v>
      </c>
      <c r="L273" t="n">
        <v>1</v>
      </c>
      <c r="M273" t="n">
        <v>0</v>
      </c>
    </row>
    <row r="274" spans="1:13">
      <c r="A274" s="1">
        <f>HYPERLINK("http://www.twitter.com/NathanBLawrence/status/998282698593452032", "998282698593452032")</f>
        <v/>
      </c>
      <c r="B274" s="2" t="n">
        <v>43240.80690972223</v>
      </c>
      <c r="C274" t="n">
        <v>0</v>
      </c>
      <c r="D274" t="n">
        <v>449</v>
      </c>
      <c r="E274" t="s">
        <v>285</v>
      </c>
      <c r="F274">
        <f>HYPERLINK("http://pbs.twimg.com/media/DdpxEd9VMAE8_bb.jpg", "http://pbs.twimg.com/media/DdpxEd9VMAE8_bb.jpg")</f>
        <v/>
      </c>
      <c r="G274" t="s"/>
      <c r="H274" t="s"/>
      <c r="I274" t="s"/>
      <c r="J274" t="n">
        <v>0</v>
      </c>
      <c r="K274" t="n">
        <v>0</v>
      </c>
      <c r="L274" t="n">
        <v>1</v>
      </c>
      <c r="M274" t="n">
        <v>0</v>
      </c>
    </row>
    <row r="275" spans="1:13">
      <c r="A275" s="1">
        <f>HYPERLINK("http://www.twitter.com/NathanBLawrence/status/998282628259135488", "998282628259135488")</f>
        <v/>
      </c>
      <c r="B275" s="2" t="n">
        <v>43240.80671296296</v>
      </c>
      <c r="C275" t="n">
        <v>0</v>
      </c>
      <c r="D275" t="n">
        <v>560</v>
      </c>
      <c r="E275" t="s">
        <v>286</v>
      </c>
      <c r="F275">
        <f>HYPERLINK("http://pbs.twimg.com/media/DdpwXQ4U8AI5rwZ.jpg", "http://pbs.twimg.com/media/DdpwXQ4U8AI5rwZ.jpg")</f>
        <v/>
      </c>
      <c r="G275">
        <f>HYPERLINK("http://pbs.twimg.com/media/DdpwaAnVQAEV9WR.jpg", "http://pbs.twimg.com/media/DdpwaAnVQAEV9WR.jpg")</f>
        <v/>
      </c>
      <c r="H275" t="s"/>
      <c r="I275" t="s"/>
      <c r="J275" t="n">
        <v>0</v>
      </c>
      <c r="K275" t="n">
        <v>0</v>
      </c>
      <c r="L275" t="n">
        <v>1</v>
      </c>
      <c r="M275" t="n">
        <v>0</v>
      </c>
    </row>
    <row r="276" spans="1:13">
      <c r="A276" s="1">
        <f>HYPERLINK("http://www.twitter.com/NathanBLawrence/status/998282433748348928", "998282433748348928")</f>
        <v/>
      </c>
      <c r="B276" s="2" t="n">
        <v>43240.80618055556</v>
      </c>
      <c r="C276" t="n">
        <v>0</v>
      </c>
      <c r="D276" t="n">
        <v>571</v>
      </c>
      <c r="E276" t="s">
        <v>287</v>
      </c>
      <c r="F276" t="s"/>
      <c r="G276" t="s"/>
      <c r="H276" t="s"/>
      <c r="I276" t="s"/>
      <c r="J276" t="n">
        <v>0</v>
      </c>
      <c r="K276" t="n">
        <v>0</v>
      </c>
      <c r="L276" t="n">
        <v>1</v>
      </c>
      <c r="M276" t="n">
        <v>0</v>
      </c>
    </row>
    <row r="277" spans="1:13">
      <c r="A277" s="1">
        <f>HYPERLINK("http://www.twitter.com/NathanBLawrence/status/998282373371330561", "998282373371330561")</f>
        <v/>
      </c>
      <c r="B277" s="2" t="n">
        <v>43240.80600694445</v>
      </c>
      <c r="C277" t="n">
        <v>4</v>
      </c>
      <c r="D277" t="n">
        <v>1</v>
      </c>
      <c r="E277" t="s">
        <v>288</v>
      </c>
      <c r="F277" t="s"/>
      <c r="G277" t="s"/>
      <c r="H277" t="s"/>
      <c r="I277" t="s"/>
      <c r="J277" t="n">
        <v>0</v>
      </c>
      <c r="K277" t="n">
        <v>0</v>
      </c>
      <c r="L277" t="n">
        <v>1</v>
      </c>
      <c r="M277" t="n">
        <v>0</v>
      </c>
    </row>
    <row r="278" spans="1:13">
      <c r="A278" s="1">
        <f>HYPERLINK("http://www.twitter.com/NathanBLawrence/status/998282313506025472", "998282313506025472")</f>
        <v/>
      </c>
      <c r="B278" s="2" t="n">
        <v>43240.80584490741</v>
      </c>
      <c r="C278" t="n">
        <v>0</v>
      </c>
      <c r="D278" t="n">
        <v>551</v>
      </c>
      <c r="E278" t="s">
        <v>289</v>
      </c>
      <c r="F278">
        <f>HYPERLINK("http://pbs.twimg.com/media/Ddpr76rU0AEyR6o.jpg", "http://pbs.twimg.com/media/Ddpr76rU0AEyR6o.jpg")</f>
        <v/>
      </c>
      <c r="G278" t="s"/>
      <c r="H278" t="s"/>
      <c r="I278" t="s"/>
      <c r="J278" t="n">
        <v>0</v>
      </c>
      <c r="K278" t="n">
        <v>0</v>
      </c>
      <c r="L278" t="n">
        <v>1</v>
      </c>
      <c r="M278" t="n">
        <v>0</v>
      </c>
    </row>
    <row r="279" spans="1:13">
      <c r="A279" s="1">
        <f>HYPERLINK("http://www.twitter.com/NathanBLawrence/status/998282251568791552", "998282251568791552")</f>
        <v/>
      </c>
      <c r="B279" s="2" t="n">
        <v>43240.80567129629</v>
      </c>
      <c r="C279" t="n">
        <v>0</v>
      </c>
      <c r="D279" t="n">
        <v>673</v>
      </c>
      <c r="E279" t="s">
        <v>290</v>
      </c>
      <c r="F279">
        <f>HYPERLINK("http://pbs.twimg.com/media/DdprkJDUwAAHrEX.jpg", "http://pbs.twimg.com/media/DdprkJDUwAAHrEX.jpg")</f>
        <v/>
      </c>
      <c r="G279" t="s"/>
      <c r="H279" t="s"/>
      <c r="I279" t="s"/>
      <c r="J279" t="n">
        <v>0</v>
      </c>
      <c r="K279" t="n">
        <v>0</v>
      </c>
      <c r="L279" t="n">
        <v>1</v>
      </c>
      <c r="M279" t="n">
        <v>0</v>
      </c>
    </row>
    <row r="280" spans="1:13">
      <c r="A280" s="1">
        <f>HYPERLINK("http://www.twitter.com/NathanBLawrence/status/998282167502307329", "998282167502307329")</f>
        <v/>
      </c>
      <c r="B280" s="2" t="n">
        <v>43240.80543981482</v>
      </c>
      <c r="C280" t="n">
        <v>0</v>
      </c>
      <c r="D280" t="n">
        <v>620</v>
      </c>
      <c r="E280" t="s">
        <v>291</v>
      </c>
      <c r="F280" t="s"/>
      <c r="G280" t="s"/>
      <c r="H280" t="s"/>
      <c r="I280" t="s"/>
      <c r="J280" t="n">
        <v>-0.2263</v>
      </c>
      <c r="K280" t="n">
        <v>0.073</v>
      </c>
      <c r="L280" t="n">
        <v>0.927</v>
      </c>
      <c r="M280" t="n">
        <v>0</v>
      </c>
    </row>
    <row r="281" spans="1:13">
      <c r="A281" s="1">
        <f>HYPERLINK("http://www.twitter.com/NathanBLawrence/status/998282091748970496", "998282091748970496")</f>
        <v/>
      </c>
      <c r="B281" s="2" t="n">
        <v>43240.80523148148</v>
      </c>
      <c r="C281" t="n">
        <v>0</v>
      </c>
      <c r="D281" t="n">
        <v>4173</v>
      </c>
      <c r="E281" t="s">
        <v>292</v>
      </c>
      <c r="F281" t="s"/>
      <c r="G281" t="s"/>
      <c r="H281" t="s"/>
      <c r="I281" t="s"/>
      <c r="J281" t="n">
        <v>-0.0258</v>
      </c>
      <c r="K281" t="n">
        <v>0.052</v>
      </c>
      <c r="L281" t="n">
        <v>0.899</v>
      </c>
      <c r="M281" t="n">
        <v>0.049</v>
      </c>
    </row>
    <row r="282" spans="1:13">
      <c r="A282" s="1">
        <f>HYPERLINK("http://www.twitter.com/NathanBLawrence/status/998281670947041280", "998281670947041280")</f>
        <v/>
      </c>
      <c r="B282" s="2" t="n">
        <v>43240.80407407408</v>
      </c>
      <c r="C282" t="n">
        <v>4</v>
      </c>
      <c r="D282" t="n">
        <v>3</v>
      </c>
      <c r="E282" t="s">
        <v>293</v>
      </c>
      <c r="F282" t="s"/>
      <c r="G282" t="s"/>
      <c r="H282" t="s"/>
      <c r="I282" t="s"/>
      <c r="J282" t="n">
        <v>-0.1027</v>
      </c>
      <c r="K282" t="n">
        <v>0.188</v>
      </c>
      <c r="L282" t="n">
        <v>0.636</v>
      </c>
      <c r="M282" t="n">
        <v>0.176</v>
      </c>
    </row>
    <row r="283" spans="1:13">
      <c r="A283" s="1">
        <f>HYPERLINK("http://www.twitter.com/NathanBLawrence/status/998281470719373312", "998281470719373312")</f>
        <v/>
      </c>
      <c r="B283" s="2" t="n">
        <v>43240.80351851852</v>
      </c>
      <c r="C283" t="n">
        <v>0</v>
      </c>
      <c r="D283" t="n">
        <v>12</v>
      </c>
      <c r="E283" t="s">
        <v>294</v>
      </c>
      <c r="F283" t="s"/>
      <c r="G283" t="s"/>
      <c r="H283" t="s"/>
      <c r="I283" t="s"/>
      <c r="J283" t="n">
        <v>0</v>
      </c>
      <c r="K283" t="n">
        <v>0</v>
      </c>
      <c r="L283" t="n">
        <v>1</v>
      </c>
      <c r="M283" t="n">
        <v>0</v>
      </c>
    </row>
    <row r="284" spans="1:13">
      <c r="A284" s="1">
        <f>HYPERLINK("http://www.twitter.com/NathanBLawrence/status/998281441417969666", "998281441417969666")</f>
        <v/>
      </c>
      <c r="B284" s="2" t="n">
        <v>43240.8034375</v>
      </c>
      <c r="C284" t="n">
        <v>0</v>
      </c>
      <c r="D284" t="n">
        <v>950</v>
      </c>
      <c r="E284" t="s">
        <v>295</v>
      </c>
      <c r="F284">
        <f>HYPERLINK("http://pbs.twimg.com/media/DdpxDvLU0AAMnu1.jpg", "http://pbs.twimg.com/media/DdpxDvLU0AAMnu1.jpg")</f>
        <v/>
      </c>
      <c r="G284" t="s"/>
      <c r="H284" t="s"/>
      <c r="I284" t="s"/>
      <c r="J284" t="n">
        <v>0</v>
      </c>
      <c r="K284" t="n">
        <v>0</v>
      </c>
      <c r="L284" t="n">
        <v>1</v>
      </c>
      <c r="M284" t="n">
        <v>0</v>
      </c>
    </row>
    <row r="285" spans="1:13">
      <c r="A285" s="1">
        <f>HYPERLINK("http://www.twitter.com/NathanBLawrence/status/998281393980432384", "998281393980432384")</f>
        <v/>
      </c>
      <c r="B285" s="2" t="n">
        <v>43240.80331018518</v>
      </c>
      <c r="C285" t="n">
        <v>4</v>
      </c>
      <c r="D285" t="n">
        <v>2</v>
      </c>
      <c r="E285" t="s">
        <v>296</v>
      </c>
      <c r="F285" t="s"/>
      <c r="G285" t="s"/>
      <c r="H285" t="s"/>
      <c r="I285" t="s"/>
      <c r="J285" t="n">
        <v>0</v>
      </c>
      <c r="K285" t="n">
        <v>0</v>
      </c>
      <c r="L285" t="n">
        <v>1</v>
      </c>
      <c r="M285" t="n">
        <v>0</v>
      </c>
    </row>
    <row r="286" spans="1:13">
      <c r="A286" s="1">
        <f>HYPERLINK("http://www.twitter.com/NathanBLawrence/status/998281257707433987", "998281257707433987")</f>
        <v/>
      </c>
      <c r="B286" s="2" t="n">
        <v>43240.80292824074</v>
      </c>
      <c r="C286" t="n">
        <v>7</v>
      </c>
      <c r="D286" t="n">
        <v>7</v>
      </c>
      <c r="E286" t="s">
        <v>297</v>
      </c>
      <c r="F286" t="s"/>
      <c r="G286" t="s"/>
      <c r="H286" t="s"/>
      <c r="I286" t="s"/>
      <c r="J286" t="n">
        <v>0</v>
      </c>
      <c r="K286" t="n">
        <v>0</v>
      </c>
      <c r="L286" t="n">
        <v>1</v>
      </c>
      <c r="M286" t="n">
        <v>0</v>
      </c>
    </row>
    <row r="287" spans="1:13">
      <c r="A287" s="1">
        <f>HYPERLINK("http://www.twitter.com/NathanBLawrence/status/998281060206039040", "998281060206039040")</f>
        <v/>
      </c>
      <c r="B287" s="2" t="n">
        <v>43240.80238425926</v>
      </c>
      <c r="C287" t="n">
        <v>9</v>
      </c>
      <c r="D287" t="n">
        <v>3</v>
      </c>
      <c r="E287" t="s">
        <v>298</v>
      </c>
      <c r="F287" t="s"/>
      <c r="G287" t="s"/>
      <c r="H287" t="s"/>
      <c r="I287" t="s"/>
      <c r="J287" t="n">
        <v>0</v>
      </c>
      <c r="K287" t="n">
        <v>0</v>
      </c>
      <c r="L287" t="n">
        <v>1</v>
      </c>
      <c r="M287" t="n">
        <v>0</v>
      </c>
    </row>
    <row r="288" spans="1:13">
      <c r="A288" s="1">
        <f>HYPERLINK("http://www.twitter.com/NathanBLawrence/status/998280929893236736", "998280929893236736")</f>
        <v/>
      </c>
      <c r="B288" s="2" t="n">
        <v>43240.80202546297</v>
      </c>
      <c r="C288" t="n">
        <v>2</v>
      </c>
      <c r="D288" t="n">
        <v>0</v>
      </c>
      <c r="E288" t="s">
        <v>299</v>
      </c>
      <c r="F288" t="s"/>
      <c r="G288" t="s"/>
      <c r="H288" t="s"/>
      <c r="I288" t="s"/>
      <c r="J288" t="n">
        <v>0</v>
      </c>
      <c r="K288" t="n">
        <v>0</v>
      </c>
      <c r="L288" t="n">
        <v>1</v>
      </c>
      <c r="M288" t="n">
        <v>0</v>
      </c>
    </row>
    <row r="289" spans="1:13">
      <c r="A289" s="1">
        <f>HYPERLINK("http://www.twitter.com/NathanBLawrence/status/998280815623598081", "998280815623598081")</f>
        <v/>
      </c>
      <c r="B289" s="2" t="n">
        <v>43240.80171296297</v>
      </c>
      <c r="C289" t="n">
        <v>0</v>
      </c>
      <c r="D289" t="n">
        <v>12</v>
      </c>
      <c r="E289" t="s">
        <v>300</v>
      </c>
      <c r="F289" t="s"/>
      <c r="G289" t="s"/>
      <c r="H289" t="s"/>
      <c r="I289" t="s"/>
      <c r="J289" t="n">
        <v>0.784</v>
      </c>
      <c r="K289" t="n">
        <v>0</v>
      </c>
      <c r="L289" t="n">
        <v>0.712</v>
      </c>
      <c r="M289" t="n">
        <v>0.288</v>
      </c>
    </row>
    <row r="290" spans="1:13">
      <c r="A290" s="1">
        <f>HYPERLINK("http://www.twitter.com/NathanBLawrence/status/998280737366261760", "998280737366261760")</f>
        <v/>
      </c>
      <c r="B290" s="2" t="n">
        <v>43240.80149305556</v>
      </c>
      <c r="C290" t="n">
        <v>2</v>
      </c>
      <c r="D290" t="n">
        <v>1</v>
      </c>
      <c r="E290" t="s">
        <v>301</v>
      </c>
      <c r="F290" t="s"/>
      <c r="G290" t="s"/>
      <c r="H290" t="s"/>
      <c r="I290" t="s"/>
      <c r="J290" t="n">
        <v>-0.3182</v>
      </c>
      <c r="K290" t="n">
        <v>0.155</v>
      </c>
      <c r="L290" t="n">
        <v>0.738</v>
      </c>
      <c r="M290" t="n">
        <v>0.107</v>
      </c>
    </row>
    <row r="291" spans="1:13">
      <c r="A291" s="1">
        <f>HYPERLINK("http://www.twitter.com/NathanBLawrence/status/998280391629783040", "998280391629783040")</f>
        <v/>
      </c>
      <c r="B291" s="2" t="n">
        <v>43240.80054398148</v>
      </c>
      <c r="C291" t="n">
        <v>0</v>
      </c>
      <c r="D291" t="n">
        <v>194</v>
      </c>
      <c r="E291" t="s">
        <v>302</v>
      </c>
      <c r="F291">
        <f>HYPERLINK("http://pbs.twimg.com/media/DdhJaItV0AAp5ut.jpg", "http://pbs.twimg.com/media/DdhJaItV0AAp5ut.jpg")</f>
        <v/>
      </c>
      <c r="G291" t="s"/>
      <c r="H291" t="s"/>
      <c r="I291" t="s"/>
      <c r="J291" t="n">
        <v>-0.4939</v>
      </c>
      <c r="K291" t="n">
        <v>0.181</v>
      </c>
      <c r="L291" t="n">
        <v>0.819</v>
      </c>
      <c r="M291" t="n">
        <v>0</v>
      </c>
    </row>
    <row r="292" spans="1:13">
      <c r="A292" s="1">
        <f>HYPERLINK("http://www.twitter.com/NathanBLawrence/status/998280096464039936", "998280096464039936")</f>
        <v/>
      </c>
      <c r="B292" s="2" t="n">
        <v>43240.79972222223</v>
      </c>
      <c r="C292" t="n">
        <v>5</v>
      </c>
      <c r="D292" t="n">
        <v>1</v>
      </c>
      <c r="E292" t="s">
        <v>303</v>
      </c>
      <c r="F292" t="s"/>
      <c r="G292" t="s"/>
      <c r="H292" t="s"/>
      <c r="I292" t="s"/>
      <c r="J292" t="n">
        <v>0</v>
      </c>
      <c r="K292" t="n">
        <v>0</v>
      </c>
      <c r="L292" t="n">
        <v>1</v>
      </c>
      <c r="M292" t="n">
        <v>0</v>
      </c>
    </row>
    <row r="293" spans="1:13">
      <c r="A293" s="1">
        <f>HYPERLINK("http://www.twitter.com/NathanBLawrence/status/998279954914689024", "998279954914689024")</f>
        <v/>
      </c>
      <c r="B293" s="2" t="n">
        <v>43240.79934027778</v>
      </c>
      <c r="C293" t="n">
        <v>5</v>
      </c>
      <c r="D293" t="n">
        <v>1</v>
      </c>
      <c r="E293" t="s">
        <v>304</v>
      </c>
      <c r="F293" t="s"/>
      <c r="G293" t="s"/>
      <c r="H293" t="s"/>
      <c r="I293" t="s"/>
      <c r="J293" t="n">
        <v>0</v>
      </c>
      <c r="K293" t="n">
        <v>0</v>
      </c>
      <c r="L293" t="n">
        <v>1</v>
      </c>
      <c r="M293" t="n">
        <v>0</v>
      </c>
    </row>
    <row r="294" spans="1:13">
      <c r="A294" s="1">
        <f>HYPERLINK("http://www.twitter.com/NathanBLawrence/status/998279878410579968", "998279878410579968")</f>
        <v/>
      </c>
      <c r="B294" s="2" t="n">
        <v>43240.79912037037</v>
      </c>
      <c r="C294" t="n">
        <v>7</v>
      </c>
      <c r="D294" t="n">
        <v>1</v>
      </c>
      <c r="E294" t="s">
        <v>305</v>
      </c>
      <c r="F294" t="s"/>
      <c r="G294" t="s"/>
      <c r="H294" t="s"/>
      <c r="I294" t="s"/>
      <c r="J294" t="n">
        <v>0.5053</v>
      </c>
      <c r="K294" t="n">
        <v>0.067</v>
      </c>
      <c r="L294" t="n">
        <v>0.796</v>
      </c>
      <c r="M294" t="n">
        <v>0.137</v>
      </c>
    </row>
    <row r="295" spans="1:13">
      <c r="A295" s="1">
        <f>HYPERLINK("http://www.twitter.com/NathanBLawrence/status/998279830348054528", "998279830348054528")</f>
        <v/>
      </c>
      <c r="B295" s="2" t="n">
        <v>43240.79899305556</v>
      </c>
      <c r="C295" t="n">
        <v>6</v>
      </c>
      <c r="D295" t="n">
        <v>2</v>
      </c>
      <c r="E295" t="s">
        <v>306</v>
      </c>
      <c r="F295" t="s"/>
      <c r="G295" t="s"/>
      <c r="H295" t="s"/>
      <c r="I295" t="s"/>
      <c r="J295" t="n">
        <v>-0.7901</v>
      </c>
      <c r="K295" t="n">
        <v>0.28</v>
      </c>
      <c r="L295" t="n">
        <v>0.72</v>
      </c>
      <c r="M295" t="n">
        <v>0</v>
      </c>
    </row>
    <row r="296" spans="1:13">
      <c r="A296" s="1">
        <f>HYPERLINK("http://www.twitter.com/NathanBLawrence/status/998279737679069185", "998279737679069185")</f>
        <v/>
      </c>
      <c r="B296" s="2" t="n">
        <v>43240.79873842592</v>
      </c>
      <c r="C296" t="n">
        <v>21</v>
      </c>
      <c r="D296" t="n">
        <v>5</v>
      </c>
      <c r="E296" t="s">
        <v>307</v>
      </c>
      <c r="F296" t="s"/>
      <c r="G296" t="s"/>
      <c r="H296" t="s"/>
      <c r="I296" t="s"/>
      <c r="J296" t="n">
        <v>0</v>
      </c>
      <c r="K296" t="n">
        <v>0</v>
      </c>
      <c r="L296" t="n">
        <v>1</v>
      </c>
      <c r="M296" t="n">
        <v>0</v>
      </c>
    </row>
    <row r="297" spans="1:13">
      <c r="A297" s="1">
        <f>HYPERLINK("http://www.twitter.com/NathanBLawrence/status/998279607836069888", "998279607836069888")</f>
        <v/>
      </c>
      <c r="B297" s="2" t="n">
        <v>43240.79837962963</v>
      </c>
      <c r="C297" t="n">
        <v>5</v>
      </c>
      <c r="D297" t="n">
        <v>5</v>
      </c>
      <c r="E297" t="s">
        <v>308</v>
      </c>
      <c r="F297" t="s"/>
      <c r="G297" t="s"/>
      <c r="H297" t="s"/>
      <c r="I297" t="s"/>
      <c r="J297" t="n">
        <v>-0.34</v>
      </c>
      <c r="K297" t="n">
        <v>0.167</v>
      </c>
      <c r="L297" t="n">
        <v>0.758</v>
      </c>
      <c r="M297" t="n">
        <v>0.076</v>
      </c>
    </row>
    <row r="298" spans="1:13">
      <c r="A298" s="1">
        <f>HYPERLINK("http://www.twitter.com/NathanBLawrence/status/998279476332060673", "998279476332060673")</f>
        <v/>
      </c>
      <c r="B298" s="2" t="n">
        <v>43240.79800925926</v>
      </c>
      <c r="C298" t="n">
        <v>4</v>
      </c>
      <c r="D298" t="n">
        <v>2</v>
      </c>
      <c r="E298" t="s">
        <v>309</v>
      </c>
      <c r="F298" t="s"/>
      <c r="G298" t="s"/>
      <c r="H298" t="s"/>
      <c r="I298" t="s"/>
      <c r="J298" t="n">
        <v>-0.5610000000000001</v>
      </c>
      <c r="K298" t="n">
        <v>0.118</v>
      </c>
      <c r="L298" t="n">
        <v>0.882</v>
      </c>
      <c r="M298" t="n">
        <v>0</v>
      </c>
    </row>
    <row r="299" spans="1:13">
      <c r="A299" s="1">
        <f>HYPERLINK("http://www.twitter.com/NathanBLawrence/status/998279368005709824", "998279368005709824")</f>
        <v/>
      </c>
      <c r="B299" s="2" t="n">
        <v>43240.79771990741</v>
      </c>
      <c r="C299" t="n">
        <v>3</v>
      </c>
      <c r="D299" t="n">
        <v>0</v>
      </c>
      <c r="E299" t="s">
        <v>310</v>
      </c>
      <c r="F299" t="s"/>
      <c r="G299" t="s"/>
      <c r="H299" t="s"/>
      <c r="I299" t="s"/>
      <c r="J299" t="n">
        <v>-0.2732</v>
      </c>
      <c r="K299" t="n">
        <v>0.07199999999999999</v>
      </c>
      <c r="L299" t="n">
        <v>0.928</v>
      </c>
      <c r="M299" t="n">
        <v>0</v>
      </c>
    </row>
    <row r="300" spans="1:13">
      <c r="A300" s="1">
        <f>HYPERLINK("http://www.twitter.com/NathanBLawrence/status/998278824373637120", "998278824373637120")</f>
        <v/>
      </c>
      <c r="B300" s="2" t="n">
        <v>43240.79621527778</v>
      </c>
      <c r="C300" t="n">
        <v>11</v>
      </c>
      <c r="D300" t="n">
        <v>5</v>
      </c>
      <c r="E300" t="s">
        <v>311</v>
      </c>
      <c r="F300" t="s"/>
      <c r="G300" t="s"/>
      <c r="H300" t="s"/>
      <c r="I300" t="s"/>
      <c r="J300" t="n">
        <v>-0.3818</v>
      </c>
      <c r="K300" t="n">
        <v>0.129</v>
      </c>
      <c r="L300" t="n">
        <v>0.8</v>
      </c>
      <c r="M300" t="n">
        <v>0.07099999999999999</v>
      </c>
    </row>
    <row r="301" spans="1:13">
      <c r="A301" s="1">
        <f>HYPERLINK("http://www.twitter.com/NathanBLawrence/status/998278120040906753", "998278120040906753")</f>
        <v/>
      </c>
      <c r="B301" s="2" t="n">
        <v>43240.79427083334</v>
      </c>
      <c r="C301" t="n">
        <v>5</v>
      </c>
      <c r="D301" t="n">
        <v>1</v>
      </c>
      <c r="E301" t="s">
        <v>312</v>
      </c>
      <c r="F301" t="s"/>
      <c r="G301" t="s"/>
      <c r="H301" t="s"/>
      <c r="I301" t="s"/>
      <c r="J301" t="n">
        <v>0</v>
      </c>
      <c r="K301" t="n">
        <v>0</v>
      </c>
      <c r="L301" t="n">
        <v>1</v>
      </c>
      <c r="M301" t="n">
        <v>0</v>
      </c>
    </row>
    <row r="302" spans="1:13">
      <c r="A302" s="1">
        <f>HYPERLINK("http://www.twitter.com/NathanBLawrence/status/998033703493226496", "998033703493226496")</f>
        <v/>
      </c>
      <c r="B302" s="2" t="n">
        <v>43240.11981481482</v>
      </c>
      <c r="C302" t="n">
        <v>21</v>
      </c>
      <c r="D302" t="n">
        <v>12</v>
      </c>
      <c r="E302" t="s">
        <v>313</v>
      </c>
      <c r="F302" t="s"/>
      <c r="G302" t="s"/>
      <c r="H302" t="s"/>
      <c r="I302" t="s"/>
      <c r="J302" t="n">
        <v>-0.4404</v>
      </c>
      <c r="K302" t="n">
        <v>0.139</v>
      </c>
      <c r="L302" t="n">
        <v>0.861</v>
      </c>
      <c r="M302" t="n">
        <v>0</v>
      </c>
    </row>
    <row r="303" spans="1:13">
      <c r="A303" s="1">
        <f>HYPERLINK("http://www.twitter.com/NathanBLawrence/status/998033593975779328", "998033593975779328")</f>
        <v/>
      </c>
      <c r="B303" s="2" t="n">
        <v>43240.11951388889</v>
      </c>
      <c r="C303" t="n">
        <v>15</v>
      </c>
      <c r="D303" t="n">
        <v>1</v>
      </c>
      <c r="E303" t="s">
        <v>314</v>
      </c>
      <c r="F303" t="s"/>
      <c r="G303" t="s"/>
      <c r="H303" t="s"/>
      <c r="I303" t="s"/>
      <c r="J303" t="n">
        <v>-0.4168</v>
      </c>
      <c r="K303" t="n">
        <v>0.122</v>
      </c>
      <c r="L303" t="n">
        <v>0.878</v>
      </c>
      <c r="M303" t="n">
        <v>0</v>
      </c>
    </row>
    <row r="304" spans="1:13">
      <c r="A304" s="1">
        <f>HYPERLINK("http://www.twitter.com/NathanBLawrence/status/998033365604356103", "998033365604356103")</f>
        <v/>
      </c>
      <c r="B304" s="2" t="n">
        <v>43240.11887731482</v>
      </c>
      <c r="C304" t="n">
        <v>15</v>
      </c>
      <c r="D304" t="n">
        <v>3</v>
      </c>
      <c r="E304" t="s">
        <v>315</v>
      </c>
      <c r="F304" t="s"/>
      <c r="G304" t="s"/>
      <c r="H304" t="s"/>
      <c r="I304" t="s"/>
      <c r="J304" t="n">
        <v>0.7457</v>
      </c>
      <c r="K304" t="n">
        <v>0.259</v>
      </c>
      <c r="L304" t="n">
        <v>0.349</v>
      </c>
      <c r="M304" t="n">
        <v>0.392</v>
      </c>
    </row>
    <row r="305" spans="1:13">
      <c r="A305" s="1">
        <f>HYPERLINK("http://www.twitter.com/NathanBLawrence/status/998032817740120068", "998032817740120068")</f>
        <v/>
      </c>
      <c r="B305" s="2" t="n">
        <v>43240.11736111111</v>
      </c>
      <c r="C305" t="n">
        <v>11</v>
      </c>
      <c r="D305" t="n">
        <v>10</v>
      </c>
      <c r="E305" t="s">
        <v>316</v>
      </c>
      <c r="F305" t="s"/>
      <c r="G305" t="s"/>
      <c r="H305" t="s"/>
      <c r="I305" t="s"/>
      <c r="J305" t="n">
        <v>0</v>
      </c>
      <c r="K305" t="n">
        <v>0</v>
      </c>
      <c r="L305" t="n">
        <v>1</v>
      </c>
      <c r="M305" t="n">
        <v>0</v>
      </c>
    </row>
    <row r="306" spans="1:13">
      <c r="A306" s="1">
        <f>HYPERLINK("http://www.twitter.com/NathanBLawrence/status/998032665868615681", "998032665868615681")</f>
        <v/>
      </c>
      <c r="B306" s="2" t="n">
        <v>43240.11694444445</v>
      </c>
      <c r="C306" t="n">
        <v>40</v>
      </c>
      <c r="D306" t="n">
        <v>18</v>
      </c>
      <c r="E306" t="s">
        <v>317</v>
      </c>
      <c r="F306" t="s"/>
      <c r="G306" t="s"/>
      <c r="H306" t="s"/>
      <c r="I306" t="s"/>
      <c r="J306" t="n">
        <v>-0.9185</v>
      </c>
      <c r="K306" t="n">
        <v>0.35</v>
      </c>
      <c r="L306" t="n">
        <v>0.601</v>
      </c>
      <c r="M306" t="n">
        <v>0.049</v>
      </c>
    </row>
    <row r="307" spans="1:13">
      <c r="A307" s="1">
        <f>HYPERLINK("http://www.twitter.com/NathanBLawrence/status/998031387268558849", "998031387268558849")</f>
        <v/>
      </c>
      <c r="B307" s="2" t="n">
        <v>43240.11341435185</v>
      </c>
      <c r="C307" t="n">
        <v>42</v>
      </c>
      <c r="D307" t="n">
        <v>16</v>
      </c>
      <c r="E307" t="s">
        <v>318</v>
      </c>
      <c r="F307" t="s"/>
      <c r="G307" t="s"/>
      <c r="H307" t="s"/>
      <c r="I307" t="s"/>
      <c r="J307" t="n">
        <v>0</v>
      </c>
      <c r="K307" t="n">
        <v>0</v>
      </c>
      <c r="L307" t="n">
        <v>1</v>
      </c>
      <c r="M307" t="n">
        <v>0</v>
      </c>
    </row>
    <row r="308" spans="1:13">
      <c r="A308" s="1">
        <f>HYPERLINK("http://www.twitter.com/NathanBLawrence/status/998031173249986560", "998031173249986560")</f>
        <v/>
      </c>
      <c r="B308" s="2" t="n">
        <v>43240.11282407407</v>
      </c>
      <c r="C308" t="n">
        <v>0</v>
      </c>
      <c r="D308" t="n">
        <v>511</v>
      </c>
      <c r="E308" t="s">
        <v>319</v>
      </c>
      <c r="F308">
        <f>HYPERLINK("http://pbs.twimg.com/media/Ddmb8cgU0AAovgt.jpg", "http://pbs.twimg.com/media/Ddmb8cgU0AAovgt.jpg")</f>
        <v/>
      </c>
      <c r="G308" t="s"/>
      <c r="H308" t="s"/>
      <c r="I308" t="s"/>
      <c r="J308" t="n">
        <v>0.128</v>
      </c>
      <c r="K308" t="n">
        <v>0.149</v>
      </c>
      <c r="L308" t="n">
        <v>0.643</v>
      </c>
      <c r="M308" t="n">
        <v>0.209</v>
      </c>
    </row>
    <row r="309" spans="1:13">
      <c r="A309" s="1">
        <f>HYPERLINK("http://www.twitter.com/NathanBLawrence/status/998031044988170250", "998031044988170250")</f>
        <v/>
      </c>
      <c r="B309" s="2" t="n">
        <v>43240.11247685185</v>
      </c>
      <c r="C309" t="n">
        <v>11</v>
      </c>
      <c r="D309" t="n">
        <v>3</v>
      </c>
      <c r="E309" t="s">
        <v>320</v>
      </c>
      <c r="F309" t="s"/>
      <c r="G309" t="s"/>
      <c r="H309" t="s"/>
      <c r="I309" t="s"/>
      <c r="J309" t="n">
        <v>-0.8756</v>
      </c>
      <c r="K309" t="n">
        <v>0.288</v>
      </c>
      <c r="L309" t="n">
        <v>0.578</v>
      </c>
      <c r="M309" t="n">
        <v>0.134</v>
      </c>
    </row>
    <row r="310" spans="1:13">
      <c r="A310" s="1">
        <f>HYPERLINK("http://www.twitter.com/NathanBLawrence/status/998029663959068674", "998029663959068674")</f>
        <v/>
      </c>
      <c r="B310" s="2" t="n">
        <v>43240.10866898148</v>
      </c>
      <c r="C310" t="n">
        <v>3</v>
      </c>
      <c r="D310" t="n">
        <v>0</v>
      </c>
      <c r="E310" t="s">
        <v>321</v>
      </c>
      <c r="F310" t="s"/>
      <c r="G310" t="s"/>
      <c r="H310" t="s"/>
      <c r="I310" t="s"/>
      <c r="J310" t="n">
        <v>-0.4939</v>
      </c>
      <c r="K310" t="n">
        <v>0.241</v>
      </c>
      <c r="L310" t="n">
        <v>0.639</v>
      </c>
      <c r="M310" t="n">
        <v>0.12</v>
      </c>
    </row>
    <row r="311" spans="1:13">
      <c r="A311" s="1">
        <f>HYPERLINK("http://www.twitter.com/NathanBLawrence/status/998028027815542785", "998028027815542785")</f>
        <v/>
      </c>
      <c r="B311" s="2" t="n">
        <v>43240.10414351852</v>
      </c>
      <c r="C311" t="n">
        <v>4</v>
      </c>
      <c r="D311" t="n">
        <v>0</v>
      </c>
      <c r="E311" t="s">
        <v>322</v>
      </c>
      <c r="F311" t="s"/>
      <c r="G311" t="s"/>
      <c r="H311" t="s"/>
      <c r="I311" t="s"/>
      <c r="J311" t="n">
        <v>0.5994</v>
      </c>
      <c r="K311" t="n">
        <v>0</v>
      </c>
      <c r="L311" t="n">
        <v>0.794</v>
      </c>
      <c r="M311" t="n">
        <v>0.206</v>
      </c>
    </row>
    <row r="312" spans="1:13">
      <c r="A312" s="1">
        <f>HYPERLINK("http://www.twitter.com/NathanBLawrence/status/998027853680623618", "998027853680623618")</f>
        <v/>
      </c>
      <c r="B312" s="2" t="n">
        <v>43240.10366898148</v>
      </c>
      <c r="C312" t="n">
        <v>7</v>
      </c>
      <c r="D312" t="n">
        <v>5</v>
      </c>
      <c r="E312" t="s">
        <v>323</v>
      </c>
      <c r="F312" t="s"/>
      <c r="G312" t="s"/>
      <c r="H312" t="s"/>
      <c r="I312" t="s"/>
      <c r="J312" t="n">
        <v>0</v>
      </c>
      <c r="K312" t="n">
        <v>0</v>
      </c>
      <c r="L312" t="n">
        <v>1</v>
      </c>
      <c r="M312" t="n">
        <v>0</v>
      </c>
    </row>
    <row r="313" spans="1:13">
      <c r="A313" s="1">
        <f>HYPERLINK("http://www.twitter.com/NathanBLawrence/status/998027593789026304", "998027593789026304")</f>
        <v/>
      </c>
      <c r="B313" s="2" t="n">
        <v>43240.10295138889</v>
      </c>
      <c r="C313" t="n">
        <v>36</v>
      </c>
      <c r="D313" t="n">
        <v>15</v>
      </c>
      <c r="E313" t="s">
        <v>324</v>
      </c>
      <c r="F313" t="s"/>
      <c r="G313" t="s"/>
      <c r="H313" t="s"/>
      <c r="I313" t="s"/>
      <c r="J313" t="n">
        <v>-0.8100000000000001</v>
      </c>
      <c r="K313" t="n">
        <v>0.259</v>
      </c>
      <c r="L313" t="n">
        <v>0.741</v>
      </c>
      <c r="M313" t="n">
        <v>0</v>
      </c>
    </row>
    <row r="314" spans="1:13">
      <c r="A314" s="1">
        <f>HYPERLINK("http://www.twitter.com/NathanBLawrence/status/998027374401732608", "998027374401732608")</f>
        <v/>
      </c>
      <c r="B314" s="2" t="n">
        <v>43240.10234953704</v>
      </c>
      <c r="C314" t="n">
        <v>13</v>
      </c>
      <c r="D314" t="n">
        <v>3</v>
      </c>
      <c r="E314" t="s">
        <v>325</v>
      </c>
      <c r="F314" t="s"/>
      <c r="G314" t="s"/>
      <c r="H314" t="s"/>
      <c r="I314" t="s"/>
      <c r="J314" t="n">
        <v>0</v>
      </c>
      <c r="K314" t="n">
        <v>0</v>
      </c>
      <c r="L314" t="n">
        <v>1</v>
      </c>
      <c r="M314" t="n">
        <v>0</v>
      </c>
    </row>
    <row r="315" spans="1:13">
      <c r="A315" s="1">
        <f>HYPERLINK("http://www.twitter.com/NathanBLawrence/status/998027122672254976", "998027122672254976")</f>
        <v/>
      </c>
      <c r="B315" s="2" t="n">
        <v>43240.10165509259</v>
      </c>
      <c r="C315" t="n">
        <v>12</v>
      </c>
      <c r="D315" t="n">
        <v>6</v>
      </c>
      <c r="E315" t="s">
        <v>326</v>
      </c>
      <c r="F315" t="s"/>
      <c r="G315" t="s"/>
      <c r="H315" t="s"/>
      <c r="I315" t="s"/>
      <c r="J315" t="n">
        <v>0</v>
      </c>
      <c r="K315" t="n">
        <v>0</v>
      </c>
      <c r="L315" t="n">
        <v>1</v>
      </c>
      <c r="M315" t="n">
        <v>0</v>
      </c>
    </row>
    <row r="316" spans="1:13">
      <c r="A316" s="1">
        <f>HYPERLINK("http://www.twitter.com/NathanBLawrence/status/998026728990691328", "998026728990691328")</f>
        <v/>
      </c>
      <c r="B316" s="2" t="n">
        <v>43240.10056712963</v>
      </c>
      <c r="C316" t="n">
        <v>7</v>
      </c>
      <c r="D316" t="n">
        <v>5</v>
      </c>
      <c r="E316" t="s">
        <v>327</v>
      </c>
      <c r="F316" t="s"/>
      <c r="G316" t="s"/>
      <c r="H316" t="s"/>
      <c r="I316" t="s"/>
      <c r="J316" t="n">
        <v>-0.5719</v>
      </c>
      <c r="K316" t="n">
        <v>0.171</v>
      </c>
      <c r="L316" t="n">
        <v>0.829</v>
      </c>
      <c r="M316" t="n">
        <v>0</v>
      </c>
    </row>
    <row r="317" spans="1:13">
      <c r="A317" s="1">
        <f>HYPERLINK("http://www.twitter.com/NathanBLawrence/status/998026335543963648", "998026335543963648")</f>
        <v/>
      </c>
      <c r="B317" s="2" t="n">
        <v>43240.09947916667</v>
      </c>
      <c r="C317" t="n">
        <v>3</v>
      </c>
      <c r="D317" t="n">
        <v>2</v>
      </c>
      <c r="E317" t="s">
        <v>328</v>
      </c>
      <c r="F317" t="s"/>
      <c r="G317" t="s"/>
      <c r="H317" t="s"/>
      <c r="I317" t="s"/>
      <c r="J317" t="n">
        <v>-0.0688</v>
      </c>
      <c r="K317" t="n">
        <v>0.159</v>
      </c>
      <c r="L317" t="n">
        <v>0.699</v>
      </c>
      <c r="M317" t="n">
        <v>0.142</v>
      </c>
    </row>
    <row r="318" spans="1:13">
      <c r="A318" s="1">
        <f>HYPERLINK("http://www.twitter.com/NathanBLawrence/status/998024740596928512", "998024740596928512")</f>
        <v/>
      </c>
      <c r="B318" s="2" t="n">
        <v>43240.09508101852</v>
      </c>
      <c r="C318" t="n">
        <v>5</v>
      </c>
      <c r="D318" t="n">
        <v>1</v>
      </c>
      <c r="E318" t="s">
        <v>329</v>
      </c>
      <c r="F318" t="s"/>
      <c r="G318" t="s"/>
      <c r="H318" t="s"/>
      <c r="I318" t="s"/>
      <c r="J318" t="n">
        <v>0.296</v>
      </c>
      <c r="K318" t="n">
        <v>0</v>
      </c>
      <c r="L318" t="n">
        <v>0.845</v>
      </c>
      <c r="M318" t="n">
        <v>0.155</v>
      </c>
    </row>
    <row r="319" spans="1:13">
      <c r="A319" s="1">
        <f>HYPERLINK("http://www.twitter.com/NathanBLawrence/status/998021998365196288", "998021998365196288")</f>
        <v/>
      </c>
      <c r="B319" s="2" t="n">
        <v>43240.08751157407</v>
      </c>
      <c r="C319" t="n">
        <v>8</v>
      </c>
      <c r="D319" t="n">
        <v>4</v>
      </c>
      <c r="E319" t="s">
        <v>330</v>
      </c>
      <c r="F319" t="s"/>
      <c r="G319" t="s"/>
      <c r="H319" t="s"/>
      <c r="I319" t="s"/>
      <c r="J319" t="n">
        <v>0</v>
      </c>
      <c r="K319" t="n">
        <v>0</v>
      </c>
      <c r="L319" t="n">
        <v>1</v>
      </c>
      <c r="M319" t="n">
        <v>0</v>
      </c>
    </row>
    <row r="320" spans="1:13">
      <c r="A320" s="1">
        <f>HYPERLINK("http://www.twitter.com/NathanBLawrence/status/998021829049466880", "998021829049466880")</f>
        <v/>
      </c>
      <c r="B320" s="2" t="n">
        <v>43240.08704861111</v>
      </c>
      <c r="C320" t="n">
        <v>5</v>
      </c>
      <c r="D320" t="n">
        <v>3</v>
      </c>
      <c r="E320" t="s">
        <v>331</v>
      </c>
      <c r="F320" t="s"/>
      <c r="G320" t="s"/>
      <c r="H320" t="s"/>
      <c r="I320" t="s"/>
      <c r="J320" t="n">
        <v>0.2732</v>
      </c>
      <c r="K320" t="n">
        <v>0.03</v>
      </c>
      <c r="L320" t="n">
        <v>0.917</v>
      </c>
      <c r="M320" t="n">
        <v>0.053</v>
      </c>
    </row>
    <row r="321" spans="1:13">
      <c r="A321" s="1">
        <f>HYPERLINK("http://www.twitter.com/NathanBLawrence/status/998021404904706048", "998021404904706048")</f>
        <v/>
      </c>
      <c r="B321" s="2" t="n">
        <v>43240.08586805555</v>
      </c>
      <c r="C321" t="n">
        <v>7</v>
      </c>
      <c r="D321" t="n">
        <v>5</v>
      </c>
      <c r="E321" t="s">
        <v>332</v>
      </c>
      <c r="F321" t="s"/>
      <c r="G321" t="s"/>
      <c r="H321" t="s"/>
      <c r="I321" t="s"/>
      <c r="J321" t="n">
        <v>0</v>
      </c>
      <c r="K321" t="n">
        <v>0</v>
      </c>
      <c r="L321" t="n">
        <v>1</v>
      </c>
      <c r="M321" t="n">
        <v>0</v>
      </c>
    </row>
    <row r="322" spans="1:13">
      <c r="A322" s="1">
        <f>HYPERLINK("http://www.twitter.com/NathanBLawrence/status/998017196101066752", "998017196101066752")</f>
        <v/>
      </c>
      <c r="B322" s="2" t="n">
        <v>43240.07425925926</v>
      </c>
      <c r="C322" t="n">
        <v>4</v>
      </c>
      <c r="D322" t="n">
        <v>4</v>
      </c>
      <c r="E322" t="s">
        <v>333</v>
      </c>
      <c r="F322" t="s"/>
      <c r="G322" t="s"/>
      <c r="H322" t="s"/>
      <c r="I322" t="s"/>
      <c r="J322" t="n">
        <v>0</v>
      </c>
      <c r="K322" t="n">
        <v>0</v>
      </c>
      <c r="L322" t="n">
        <v>1</v>
      </c>
      <c r="M322" t="n">
        <v>0</v>
      </c>
    </row>
    <row r="323" spans="1:13">
      <c r="A323" s="1">
        <f>HYPERLINK("http://www.twitter.com/NathanBLawrence/status/998016353398243330", "998016353398243330")</f>
        <v/>
      </c>
      <c r="B323" s="2" t="n">
        <v>43240.07193287037</v>
      </c>
      <c r="C323" t="n">
        <v>7</v>
      </c>
      <c r="D323" t="n">
        <v>4</v>
      </c>
      <c r="E323" t="s">
        <v>334</v>
      </c>
      <c r="F323" t="s"/>
      <c r="G323" t="s"/>
      <c r="H323" t="s"/>
      <c r="I323" t="s"/>
      <c r="J323" t="n">
        <v>-0.7269</v>
      </c>
      <c r="K323" t="n">
        <v>0.156</v>
      </c>
      <c r="L323" t="n">
        <v>0.844</v>
      </c>
      <c r="M323" t="n">
        <v>0</v>
      </c>
    </row>
    <row r="324" spans="1:13">
      <c r="A324" s="1">
        <f>HYPERLINK("http://www.twitter.com/NathanBLawrence/status/998015518622674944", "998015518622674944")</f>
        <v/>
      </c>
      <c r="B324" s="2" t="n">
        <v>43240.06962962963</v>
      </c>
      <c r="C324" t="n">
        <v>10</v>
      </c>
      <c r="D324" t="n">
        <v>8</v>
      </c>
      <c r="E324" t="s">
        <v>335</v>
      </c>
      <c r="F324" t="s"/>
      <c r="G324" t="s"/>
      <c r="H324" t="s"/>
      <c r="I324" t="s"/>
      <c r="J324" t="n">
        <v>0</v>
      </c>
      <c r="K324" t="n">
        <v>0</v>
      </c>
      <c r="L324" t="n">
        <v>1</v>
      </c>
      <c r="M324" t="n">
        <v>0</v>
      </c>
    </row>
    <row r="325" spans="1:13">
      <c r="A325" s="1">
        <f>HYPERLINK("http://www.twitter.com/NathanBLawrence/status/998015296391798784", "998015296391798784")</f>
        <v/>
      </c>
      <c r="B325" s="2" t="n">
        <v>43240.06901620371</v>
      </c>
      <c r="C325" t="n">
        <v>54</v>
      </c>
      <c r="D325" t="n">
        <v>19</v>
      </c>
      <c r="E325" t="s">
        <v>336</v>
      </c>
      <c r="F325" t="s"/>
      <c r="G325" t="s"/>
      <c r="H325" t="s"/>
      <c r="I325" t="s"/>
      <c r="J325" t="n">
        <v>0.3664</v>
      </c>
      <c r="K325" t="n">
        <v>0.104</v>
      </c>
      <c r="L325" t="n">
        <v>0.737</v>
      </c>
      <c r="M325" t="n">
        <v>0.159</v>
      </c>
    </row>
    <row r="326" spans="1:13">
      <c r="A326" s="1">
        <f>HYPERLINK("http://www.twitter.com/NathanBLawrence/status/998014582927970304", "998014582927970304")</f>
        <v/>
      </c>
      <c r="B326" s="2" t="n">
        <v>43240.06704861111</v>
      </c>
      <c r="C326" t="n">
        <v>0</v>
      </c>
      <c r="D326" t="n">
        <v>4159</v>
      </c>
      <c r="E326" t="s">
        <v>337</v>
      </c>
      <c r="F326" t="s"/>
      <c r="G326" t="s"/>
      <c r="H326" t="s"/>
      <c r="I326" t="s"/>
      <c r="J326" t="n">
        <v>-0.0516</v>
      </c>
      <c r="K326" t="n">
        <v>0.175</v>
      </c>
      <c r="L326" t="n">
        <v>0.657</v>
      </c>
      <c r="M326" t="n">
        <v>0.168</v>
      </c>
    </row>
    <row r="327" spans="1:13">
      <c r="A327" s="1">
        <f>HYPERLINK("http://www.twitter.com/NathanBLawrence/status/997964605241479170", "997964605241479170")</f>
        <v/>
      </c>
      <c r="B327" s="2" t="n">
        <v>43239.92913194445</v>
      </c>
      <c r="C327" t="n">
        <v>0</v>
      </c>
      <c r="D327" t="n">
        <v>0</v>
      </c>
      <c r="E327" t="s">
        <v>338</v>
      </c>
      <c r="F327" t="s"/>
      <c r="G327" t="s"/>
      <c r="H327" t="s"/>
      <c r="I327" t="s"/>
      <c r="J327" t="n">
        <v>-0.3294</v>
      </c>
      <c r="K327" t="n">
        <v>0.173</v>
      </c>
      <c r="L327" t="n">
        <v>0.698</v>
      </c>
      <c r="M327" t="n">
        <v>0.129</v>
      </c>
    </row>
    <row r="328" spans="1:13">
      <c r="A328" s="1">
        <f>HYPERLINK("http://www.twitter.com/NathanBLawrence/status/997963554002161664", "997963554002161664")</f>
        <v/>
      </c>
      <c r="B328" s="2" t="n">
        <v>43239.92623842593</v>
      </c>
      <c r="C328" t="n">
        <v>15</v>
      </c>
      <c r="D328" t="n">
        <v>12</v>
      </c>
      <c r="E328" t="s">
        <v>339</v>
      </c>
      <c r="F328" t="s"/>
      <c r="G328" t="s"/>
      <c r="H328" t="s"/>
      <c r="I328" t="s"/>
      <c r="J328" t="n">
        <v>0</v>
      </c>
      <c r="K328" t="n">
        <v>0.066</v>
      </c>
      <c r="L328" t="n">
        <v>0.868</v>
      </c>
      <c r="M328" t="n">
        <v>0.066</v>
      </c>
    </row>
    <row r="329" spans="1:13">
      <c r="A329" s="1">
        <f>HYPERLINK("http://www.twitter.com/NathanBLawrence/status/997963241497157632", "997963241497157632")</f>
        <v/>
      </c>
      <c r="B329" s="2" t="n">
        <v>43239.92537037037</v>
      </c>
      <c r="C329" t="n">
        <v>0</v>
      </c>
      <c r="D329" t="n">
        <v>5556</v>
      </c>
      <c r="E329" t="s">
        <v>340</v>
      </c>
      <c r="F329" t="s"/>
      <c r="G329" t="s"/>
      <c r="H329" t="s"/>
      <c r="I329" t="s"/>
      <c r="J329" t="n">
        <v>-0.75</v>
      </c>
      <c r="K329" t="n">
        <v>0.225</v>
      </c>
      <c r="L329" t="n">
        <v>0.775</v>
      </c>
      <c r="M329" t="n">
        <v>0</v>
      </c>
    </row>
    <row r="330" spans="1:13">
      <c r="A330" s="1">
        <f>HYPERLINK("http://www.twitter.com/NathanBLawrence/status/997963163499819008", "997963163499819008")</f>
        <v/>
      </c>
      <c r="B330" s="2" t="n">
        <v>43239.92516203703</v>
      </c>
      <c r="C330" t="n">
        <v>16</v>
      </c>
      <c r="D330" t="n">
        <v>1</v>
      </c>
      <c r="E330" t="s">
        <v>341</v>
      </c>
      <c r="F330" t="s"/>
      <c r="G330" t="s"/>
      <c r="H330" t="s"/>
      <c r="I330" t="s"/>
      <c r="J330" t="n">
        <v>-0.6369</v>
      </c>
      <c r="K330" t="n">
        <v>0.259</v>
      </c>
      <c r="L330" t="n">
        <v>0.741</v>
      </c>
      <c r="M330" t="n">
        <v>0</v>
      </c>
    </row>
    <row r="331" spans="1:13">
      <c r="A331" s="1">
        <f>HYPERLINK("http://www.twitter.com/NathanBLawrence/status/997963053382516736", "997963053382516736")</f>
        <v/>
      </c>
      <c r="B331" s="2" t="n">
        <v>43239.92484953703</v>
      </c>
      <c r="C331" t="n">
        <v>25</v>
      </c>
      <c r="D331" t="n">
        <v>1</v>
      </c>
      <c r="E331" t="s">
        <v>342</v>
      </c>
      <c r="F331" t="s"/>
      <c r="G331" t="s"/>
      <c r="H331" t="s"/>
      <c r="I331" t="s"/>
      <c r="J331" t="n">
        <v>-0.6409</v>
      </c>
      <c r="K331" t="n">
        <v>0.214</v>
      </c>
      <c r="L331" t="n">
        <v>0.671</v>
      </c>
      <c r="M331" t="n">
        <v>0.116</v>
      </c>
    </row>
    <row r="332" spans="1:13">
      <c r="A332" s="1">
        <f>HYPERLINK("http://www.twitter.com/NathanBLawrence/status/997962735173300224", "997962735173300224")</f>
        <v/>
      </c>
      <c r="B332" s="2" t="n">
        <v>43239.92396990741</v>
      </c>
      <c r="C332" t="n">
        <v>73</v>
      </c>
      <c r="D332" t="n">
        <v>11</v>
      </c>
      <c r="E332" t="s">
        <v>343</v>
      </c>
      <c r="F332" t="s"/>
      <c r="G332" t="s"/>
      <c r="H332" t="s"/>
      <c r="I332" t="s"/>
      <c r="J332" t="n">
        <v>-0.4368</v>
      </c>
      <c r="K332" t="n">
        <v>0.08799999999999999</v>
      </c>
      <c r="L332" t="n">
        <v>0.912</v>
      </c>
      <c r="M332" t="n">
        <v>0</v>
      </c>
    </row>
    <row r="333" spans="1:13">
      <c r="A333" s="1">
        <f>HYPERLINK("http://www.twitter.com/NathanBLawrence/status/997921298377359360", "997921298377359360")</f>
        <v/>
      </c>
      <c r="B333" s="2" t="n">
        <v>43239.80962962963</v>
      </c>
      <c r="C333" t="n">
        <v>7</v>
      </c>
      <c r="D333" t="n">
        <v>4</v>
      </c>
      <c r="E333" t="s">
        <v>344</v>
      </c>
      <c r="F333" t="s"/>
      <c r="G333" t="s"/>
      <c r="H333" t="s"/>
      <c r="I333" t="s"/>
      <c r="J333" t="n">
        <v>-0.5707</v>
      </c>
      <c r="K333" t="n">
        <v>0.291</v>
      </c>
      <c r="L333" t="n">
        <v>0.709</v>
      </c>
      <c r="M333" t="n">
        <v>0</v>
      </c>
    </row>
    <row r="334" spans="1:13">
      <c r="A334" s="1">
        <f>HYPERLINK("http://www.twitter.com/NathanBLawrence/status/997921018810265600", "997921018810265600")</f>
        <v/>
      </c>
      <c r="B334" s="2" t="n">
        <v>43239.80886574074</v>
      </c>
      <c r="C334" t="n">
        <v>12</v>
      </c>
      <c r="D334" t="n">
        <v>7</v>
      </c>
      <c r="E334" t="s">
        <v>345</v>
      </c>
      <c r="F334" t="s"/>
      <c r="G334" t="s"/>
      <c r="H334" t="s"/>
      <c r="I334" t="s"/>
      <c r="J334" t="n">
        <v>-0.4101</v>
      </c>
      <c r="K334" t="n">
        <v>0.165</v>
      </c>
      <c r="L334" t="n">
        <v>0.738</v>
      </c>
      <c r="M334" t="n">
        <v>0.097</v>
      </c>
    </row>
    <row r="335" spans="1:13">
      <c r="A335" s="1">
        <f>HYPERLINK("http://www.twitter.com/NathanBLawrence/status/997920943405060096", "997920943405060096")</f>
        <v/>
      </c>
      <c r="B335" s="2" t="n">
        <v>43239.8086574074</v>
      </c>
      <c r="C335" t="n">
        <v>18</v>
      </c>
      <c r="D335" t="n">
        <v>9</v>
      </c>
      <c r="E335" t="s">
        <v>346</v>
      </c>
      <c r="F335" t="s"/>
      <c r="G335" t="s"/>
      <c r="H335" t="s"/>
      <c r="I335" t="s"/>
      <c r="J335" t="n">
        <v>0</v>
      </c>
      <c r="K335" t="n">
        <v>0</v>
      </c>
      <c r="L335" t="n">
        <v>1</v>
      </c>
      <c r="M335" t="n">
        <v>0</v>
      </c>
    </row>
    <row r="336" spans="1:13">
      <c r="A336" s="1">
        <f>HYPERLINK("http://www.twitter.com/NathanBLawrence/status/997888501986160641", "997888501986160641")</f>
        <v/>
      </c>
      <c r="B336" s="2" t="n">
        <v>43239.71913194445</v>
      </c>
      <c r="C336" t="n">
        <v>21</v>
      </c>
      <c r="D336" t="n">
        <v>13</v>
      </c>
      <c r="E336" t="s">
        <v>347</v>
      </c>
      <c r="F336" t="s"/>
      <c r="G336" t="s"/>
      <c r="H336" t="s"/>
      <c r="I336" t="s"/>
      <c r="J336" t="n">
        <v>0.3382</v>
      </c>
      <c r="K336" t="n">
        <v>0.061</v>
      </c>
      <c r="L336" t="n">
        <v>0.839</v>
      </c>
      <c r="M336" t="n">
        <v>0.1</v>
      </c>
    </row>
    <row r="337" spans="1:13">
      <c r="A337" s="1">
        <f>HYPERLINK("http://www.twitter.com/NathanBLawrence/status/997887995050057728", "997887995050057728")</f>
        <v/>
      </c>
      <c r="B337" s="2" t="n">
        <v>43239.71773148148</v>
      </c>
      <c r="C337" t="n">
        <v>8</v>
      </c>
      <c r="D337" t="n">
        <v>4</v>
      </c>
      <c r="E337" t="s">
        <v>348</v>
      </c>
      <c r="F337" t="s"/>
      <c r="G337" t="s"/>
      <c r="H337" t="s"/>
      <c r="I337" t="s"/>
      <c r="J337" t="n">
        <v>-0.7758</v>
      </c>
      <c r="K337" t="n">
        <v>0.376</v>
      </c>
      <c r="L337" t="n">
        <v>0.421</v>
      </c>
      <c r="M337" t="n">
        <v>0.203</v>
      </c>
    </row>
    <row r="338" spans="1:13">
      <c r="A338" s="1">
        <f>HYPERLINK("http://www.twitter.com/NathanBLawrence/status/997887970039361536", "997887970039361536")</f>
        <v/>
      </c>
      <c r="B338" s="2" t="n">
        <v>43239.71766203704</v>
      </c>
      <c r="C338" t="n">
        <v>0</v>
      </c>
      <c r="D338" t="n">
        <v>15639</v>
      </c>
      <c r="E338" t="s">
        <v>349</v>
      </c>
      <c r="F338" t="s"/>
      <c r="G338" t="s"/>
      <c r="H338" t="s"/>
      <c r="I338" t="s"/>
      <c r="J338" t="n">
        <v>0.5423</v>
      </c>
      <c r="K338" t="n">
        <v>0</v>
      </c>
      <c r="L338" t="n">
        <v>0.8090000000000001</v>
      </c>
      <c r="M338" t="n">
        <v>0.191</v>
      </c>
    </row>
    <row r="339" spans="1:13">
      <c r="A339" s="1">
        <f>HYPERLINK("http://www.twitter.com/NathanBLawrence/status/997887716569137152", "997887716569137152")</f>
        <v/>
      </c>
      <c r="B339" s="2" t="n">
        <v>43239.71696759259</v>
      </c>
      <c r="C339" t="n">
        <v>2</v>
      </c>
      <c r="D339" t="n">
        <v>2</v>
      </c>
      <c r="E339" t="s">
        <v>350</v>
      </c>
      <c r="F339" t="s"/>
      <c r="G339" t="s"/>
      <c r="H339" t="s"/>
      <c r="I339" t="s"/>
      <c r="J339" t="n">
        <v>0.3818</v>
      </c>
      <c r="K339" t="n">
        <v>0</v>
      </c>
      <c r="L339" t="n">
        <v>0.867</v>
      </c>
      <c r="M339" t="n">
        <v>0.133</v>
      </c>
    </row>
    <row r="340" spans="1:13">
      <c r="A340" s="1">
        <f>HYPERLINK("http://www.twitter.com/NathanBLawrence/status/997887559421186048", "997887559421186048")</f>
        <v/>
      </c>
      <c r="B340" s="2" t="n">
        <v>43239.71652777777</v>
      </c>
      <c r="C340" t="n">
        <v>3</v>
      </c>
      <c r="D340" t="n">
        <v>5</v>
      </c>
      <c r="E340" t="s">
        <v>351</v>
      </c>
      <c r="F340" t="s"/>
      <c r="G340" t="s"/>
      <c r="H340" t="s"/>
      <c r="I340" t="s"/>
      <c r="J340" t="n">
        <v>-0.6705</v>
      </c>
      <c r="K340" t="n">
        <v>0.256</v>
      </c>
      <c r="L340" t="n">
        <v>0.744</v>
      </c>
      <c r="M340" t="n">
        <v>0</v>
      </c>
    </row>
    <row r="341" spans="1:13">
      <c r="A341" s="1">
        <f>HYPERLINK("http://www.twitter.com/NathanBLawrence/status/997887526818922496", "997887526818922496")</f>
        <v/>
      </c>
      <c r="B341" s="2" t="n">
        <v>43239.71643518518</v>
      </c>
      <c r="C341" t="n">
        <v>5</v>
      </c>
      <c r="D341" t="n">
        <v>7</v>
      </c>
      <c r="E341" t="s">
        <v>352</v>
      </c>
      <c r="F341" t="s"/>
      <c r="G341" t="s"/>
      <c r="H341" t="s"/>
      <c r="I341" t="s"/>
      <c r="J341" t="n">
        <v>-0.8209</v>
      </c>
      <c r="K341" t="n">
        <v>0.308</v>
      </c>
      <c r="L341" t="n">
        <v>0.6919999999999999</v>
      </c>
      <c r="M341" t="n">
        <v>0</v>
      </c>
    </row>
    <row r="342" spans="1:13">
      <c r="A342" s="1">
        <f>HYPERLINK("http://www.twitter.com/NathanBLawrence/status/997887487887339521", "997887487887339521")</f>
        <v/>
      </c>
      <c r="B342" s="2" t="n">
        <v>43239.71633101852</v>
      </c>
      <c r="C342" t="n">
        <v>4</v>
      </c>
      <c r="D342" t="n">
        <v>5</v>
      </c>
      <c r="E342" t="s">
        <v>353</v>
      </c>
      <c r="F342" t="s"/>
      <c r="G342" t="s"/>
      <c r="H342" t="s"/>
      <c r="I342" t="s"/>
      <c r="J342" t="n">
        <v>0</v>
      </c>
      <c r="K342" t="n">
        <v>0</v>
      </c>
      <c r="L342" t="n">
        <v>1</v>
      </c>
      <c r="M342" t="n">
        <v>0</v>
      </c>
    </row>
    <row r="343" spans="1:13">
      <c r="A343" s="1">
        <f>HYPERLINK("http://www.twitter.com/NathanBLawrence/status/997620917093130241", "997620917093130241")</f>
        <v/>
      </c>
      <c r="B343" s="2" t="n">
        <v>43238.98074074074</v>
      </c>
      <c r="C343" t="n">
        <v>0</v>
      </c>
      <c r="D343" t="n">
        <v>3</v>
      </c>
      <c r="E343" t="s">
        <v>354</v>
      </c>
      <c r="F343" t="s"/>
      <c r="G343" t="s"/>
      <c r="H343" t="s"/>
      <c r="I343" t="s"/>
      <c r="J343" t="n">
        <v>0.5859</v>
      </c>
      <c r="K343" t="n">
        <v>0</v>
      </c>
      <c r="L343" t="n">
        <v>0.826</v>
      </c>
      <c r="M343" t="n">
        <v>0.174</v>
      </c>
    </row>
    <row r="344" spans="1:13">
      <c r="A344" s="1">
        <f>HYPERLINK("http://www.twitter.com/NathanBLawrence/status/997620804287254528", "997620804287254528")</f>
        <v/>
      </c>
      <c r="B344" s="2" t="n">
        <v>43238.98042824074</v>
      </c>
      <c r="C344" t="n">
        <v>0</v>
      </c>
      <c r="D344" t="n">
        <v>56</v>
      </c>
      <c r="E344" t="s">
        <v>355</v>
      </c>
      <c r="F344" t="s"/>
      <c r="G344" t="s"/>
      <c r="H344" t="s"/>
      <c r="I344" t="s"/>
      <c r="J344" t="n">
        <v>-0.4559</v>
      </c>
      <c r="K344" t="n">
        <v>0.239</v>
      </c>
      <c r="L344" t="n">
        <v>0.607</v>
      </c>
      <c r="M344" t="n">
        <v>0.153</v>
      </c>
    </row>
    <row r="345" spans="1:13">
      <c r="A345" s="1">
        <f>HYPERLINK("http://www.twitter.com/NathanBLawrence/status/997620720417914880", "997620720417914880")</f>
        <v/>
      </c>
      <c r="B345" s="2" t="n">
        <v>43238.98019675926</v>
      </c>
      <c r="C345" t="n">
        <v>0</v>
      </c>
      <c r="D345" t="n">
        <v>46</v>
      </c>
      <c r="E345" t="s">
        <v>356</v>
      </c>
      <c r="F345">
        <f>HYPERLINK("http://pbs.twimg.com/media/DdhAftjUwAAHP5M.jpg", "http://pbs.twimg.com/media/DdhAftjUwAAHP5M.jpg")</f>
        <v/>
      </c>
      <c r="G345" t="s"/>
      <c r="H345" t="s"/>
      <c r="I345" t="s"/>
      <c r="J345" t="n">
        <v>0</v>
      </c>
      <c r="K345" t="n">
        <v>0</v>
      </c>
      <c r="L345" t="n">
        <v>1</v>
      </c>
      <c r="M345" t="n">
        <v>0</v>
      </c>
    </row>
    <row r="346" spans="1:13">
      <c r="A346" s="1">
        <f>HYPERLINK("http://www.twitter.com/NathanBLawrence/status/997620477093789696", "997620477093789696")</f>
        <v/>
      </c>
      <c r="B346" s="2" t="n">
        <v>43238.97952546296</v>
      </c>
      <c r="C346" t="n">
        <v>0</v>
      </c>
      <c r="D346" t="n">
        <v>9518</v>
      </c>
      <c r="E346" t="s">
        <v>357</v>
      </c>
      <c r="F346" t="s"/>
      <c r="G346" t="s"/>
      <c r="H346" t="s"/>
      <c r="I346" t="s"/>
      <c r="J346" t="n">
        <v>-0.3612</v>
      </c>
      <c r="K346" t="n">
        <v>0.218</v>
      </c>
      <c r="L346" t="n">
        <v>0.669</v>
      </c>
      <c r="M346" t="n">
        <v>0.113</v>
      </c>
    </row>
    <row r="347" spans="1:13">
      <c r="A347" s="1">
        <f>HYPERLINK("http://www.twitter.com/NathanBLawrence/status/997620299150516224", "997620299150516224")</f>
        <v/>
      </c>
      <c r="B347" s="2" t="n">
        <v>43238.97902777778</v>
      </c>
      <c r="C347" t="n">
        <v>6</v>
      </c>
      <c r="D347" t="n">
        <v>0</v>
      </c>
      <c r="E347" t="s">
        <v>358</v>
      </c>
      <c r="F347" t="s"/>
      <c r="G347" t="s"/>
      <c r="H347" t="s"/>
      <c r="I347" t="s"/>
      <c r="J347" t="n">
        <v>0</v>
      </c>
      <c r="K347" t="n">
        <v>0</v>
      </c>
      <c r="L347" t="n">
        <v>1</v>
      </c>
      <c r="M347" t="n">
        <v>0</v>
      </c>
    </row>
    <row r="348" spans="1:13">
      <c r="A348" s="1">
        <f>HYPERLINK("http://www.twitter.com/NathanBLawrence/status/997620214387752960", "997620214387752960")</f>
        <v/>
      </c>
      <c r="B348" s="2" t="n">
        <v>43238.97879629629</v>
      </c>
      <c r="C348" t="n">
        <v>0</v>
      </c>
      <c r="D348" t="n">
        <v>1330</v>
      </c>
      <c r="E348" t="s">
        <v>359</v>
      </c>
      <c r="F348" t="s"/>
      <c r="G348" t="s"/>
      <c r="H348" t="s"/>
      <c r="I348" t="s"/>
      <c r="J348" t="n">
        <v>0.7003</v>
      </c>
      <c r="K348" t="n">
        <v>0</v>
      </c>
      <c r="L348" t="n">
        <v>0.674</v>
      </c>
      <c r="M348" t="n">
        <v>0.326</v>
      </c>
    </row>
    <row r="349" spans="1:13">
      <c r="A349" s="1">
        <f>HYPERLINK("http://www.twitter.com/NathanBLawrence/status/997620139620106242", "997620139620106242")</f>
        <v/>
      </c>
      <c r="B349" s="2" t="n">
        <v>43238.97858796296</v>
      </c>
      <c r="C349" t="n">
        <v>0</v>
      </c>
      <c r="D349" t="n">
        <v>1494</v>
      </c>
      <c r="E349" t="s">
        <v>360</v>
      </c>
      <c r="F349">
        <f>HYPERLINK("http://pbs.twimg.com/media/Dc8Df7hWAAE571_.jpg", "http://pbs.twimg.com/media/Dc8Df7hWAAE571_.jpg")</f>
        <v/>
      </c>
      <c r="G349" t="s"/>
      <c r="H349" t="s"/>
      <c r="I349" t="s"/>
      <c r="J349" t="n">
        <v>-0.9231</v>
      </c>
      <c r="K349" t="n">
        <v>0.454</v>
      </c>
      <c r="L349" t="n">
        <v>0.546</v>
      </c>
      <c r="M349" t="n">
        <v>0</v>
      </c>
    </row>
    <row r="350" spans="1:13">
      <c r="A350" s="1">
        <f>HYPERLINK("http://www.twitter.com/NathanBLawrence/status/997620072825864192", "997620072825864192")</f>
        <v/>
      </c>
      <c r="B350" s="2" t="n">
        <v>43238.97840277778</v>
      </c>
      <c r="C350" t="n">
        <v>0</v>
      </c>
      <c r="D350" t="n">
        <v>1452</v>
      </c>
      <c r="E350" t="s">
        <v>361</v>
      </c>
      <c r="F350">
        <f>HYPERLINK("https://video.twimg.com/ext_tw_video/997603987527417856/pu/vid/1280x720/aCit9513WPTYMbfo.mp4?tag=3", "https://video.twimg.com/ext_tw_video/997603987527417856/pu/vid/1280x720/aCit9513WPTYMbfo.mp4?tag=3")</f>
        <v/>
      </c>
      <c r="G350" t="s"/>
      <c r="H350" t="s"/>
      <c r="I350" t="s"/>
      <c r="J350" t="n">
        <v>0.7034</v>
      </c>
      <c r="K350" t="n">
        <v>0</v>
      </c>
      <c r="L350" t="n">
        <v>0.743</v>
      </c>
      <c r="M350" t="n">
        <v>0.257</v>
      </c>
    </row>
    <row r="351" spans="1:13">
      <c r="A351" s="1">
        <f>HYPERLINK("http://www.twitter.com/NathanBLawrence/status/997619743308693511", "997619743308693511")</f>
        <v/>
      </c>
      <c r="B351" s="2" t="n">
        <v>43238.9775</v>
      </c>
      <c r="C351" t="n">
        <v>6</v>
      </c>
      <c r="D351" t="n">
        <v>2</v>
      </c>
      <c r="E351" t="s">
        <v>362</v>
      </c>
      <c r="F351" t="s"/>
      <c r="G351" t="s"/>
      <c r="H351" t="s"/>
      <c r="I351" t="s"/>
      <c r="J351" t="n">
        <v>0.128</v>
      </c>
      <c r="K351" t="n">
        <v>0</v>
      </c>
      <c r="L351" t="n">
        <v>0.87</v>
      </c>
      <c r="M351" t="n">
        <v>0.13</v>
      </c>
    </row>
    <row r="352" spans="1:13">
      <c r="A352" s="1">
        <f>HYPERLINK("http://www.twitter.com/NathanBLawrence/status/997596333878865920", "997596333878865920")</f>
        <v/>
      </c>
      <c r="B352" s="2" t="n">
        <v>43238.91290509259</v>
      </c>
      <c r="C352" t="n">
        <v>8</v>
      </c>
      <c r="D352" t="n">
        <v>9</v>
      </c>
      <c r="E352" t="s">
        <v>363</v>
      </c>
      <c r="F352" t="s"/>
      <c r="G352" t="s"/>
      <c r="H352" t="s"/>
      <c r="I352" t="s"/>
      <c r="J352" t="n">
        <v>-0.6311</v>
      </c>
      <c r="K352" t="n">
        <v>0.109</v>
      </c>
      <c r="L352" t="n">
        <v>0.891</v>
      </c>
      <c r="M352" t="n">
        <v>0</v>
      </c>
    </row>
    <row r="353" spans="1:13">
      <c r="A353" s="1">
        <f>HYPERLINK("http://www.twitter.com/NathanBLawrence/status/997595802619920385", "997595802619920385")</f>
        <v/>
      </c>
      <c r="B353" s="2" t="n">
        <v>43238.91143518518</v>
      </c>
      <c r="C353" t="n">
        <v>15</v>
      </c>
      <c r="D353" t="n">
        <v>19</v>
      </c>
      <c r="E353" t="s">
        <v>364</v>
      </c>
      <c r="F353" t="s"/>
      <c r="G353" t="s"/>
      <c r="H353" t="s"/>
      <c r="I353" t="s"/>
      <c r="J353" t="n">
        <v>0.3544</v>
      </c>
      <c r="K353" t="n">
        <v>0.079</v>
      </c>
      <c r="L353" t="n">
        <v>0.804</v>
      </c>
      <c r="M353" t="n">
        <v>0.118</v>
      </c>
    </row>
    <row r="354" spans="1:13">
      <c r="A354" s="1">
        <f>HYPERLINK("http://www.twitter.com/NathanBLawrence/status/997595421202526208", "997595421202526208")</f>
        <v/>
      </c>
      <c r="B354" s="2" t="n">
        <v>43238.91038194444</v>
      </c>
      <c r="C354" t="n">
        <v>3</v>
      </c>
      <c r="D354" t="n">
        <v>9</v>
      </c>
      <c r="E354" t="s">
        <v>365</v>
      </c>
      <c r="F354" t="s"/>
      <c r="G354" t="s"/>
      <c r="H354" t="s"/>
      <c r="I354" t="s"/>
      <c r="J354" t="n">
        <v>-0.0772</v>
      </c>
      <c r="K354" t="n">
        <v>0.056</v>
      </c>
      <c r="L354" t="n">
        <v>0.944</v>
      </c>
      <c r="M354" t="n">
        <v>0</v>
      </c>
    </row>
    <row r="355" spans="1:13">
      <c r="A355" s="1">
        <f>HYPERLINK("http://www.twitter.com/NathanBLawrence/status/997595369717485568", "997595369717485568")</f>
        <v/>
      </c>
      <c r="B355" s="2" t="n">
        <v>43238.91024305556</v>
      </c>
      <c r="C355" t="n">
        <v>2</v>
      </c>
      <c r="D355" t="n">
        <v>2</v>
      </c>
      <c r="E355" t="s">
        <v>366</v>
      </c>
      <c r="F355" t="s"/>
      <c r="G355" t="s"/>
      <c r="H355" t="s"/>
      <c r="I355" t="s"/>
      <c r="J355" t="n">
        <v>-0.68</v>
      </c>
      <c r="K355" t="n">
        <v>0.213</v>
      </c>
      <c r="L355" t="n">
        <v>0.787</v>
      </c>
      <c r="M355" t="n">
        <v>0</v>
      </c>
    </row>
    <row r="356" spans="1:13">
      <c r="A356" s="1">
        <f>HYPERLINK("http://www.twitter.com/NathanBLawrence/status/997595084353777666", "997595084353777666")</f>
        <v/>
      </c>
      <c r="B356" s="2" t="n">
        <v>43238.90945601852</v>
      </c>
      <c r="C356" t="n">
        <v>3</v>
      </c>
      <c r="D356" t="n">
        <v>3</v>
      </c>
      <c r="E356" t="s">
        <v>367</v>
      </c>
      <c r="F356" t="s"/>
      <c r="G356" t="s"/>
      <c r="H356" t="s"/>
      <c r="I356" t="s"/>
      <c r="J356" t="n">
        <v>0.5106000000000001</v>
      </c>
      <c r="K356" t="n">
        <v>0</v>
      </c>
      <c r="L356" t="n">
        <v>0.852</v>
      </c>
      <c r="M356" t="n">
        <v>0.148</v>
      </c>
    </row>
    <row r="357" spans="1:13">
      <c r="A357" s="1">
        <f>HYPERLINK("http://www.twitter.com/NathanBLawrence/status/997594968343568385", "997594968343568385")</f>
        <v/>
      </c>
      <c r="B357" s="2" t="n">
        <v>43238.90913194444</v>
      </c>
      <c r="C357" t="n">
        <v>4</v>
      </c>
      <c r="D357" t="n">
        <v>3</v>
      </c>
      <c r="E357" t="s">
        <v>368</v>
      </c>
      <c r="F357" t="s"/>
      <c r="G357" t="s"/>
      <c r="H357" t="s"/>
      <c r="I357" t="s"/>
      <c r="J357" t="n">
        <v>-0.128</v>
      </c>
      <c r="K357" t="n">
        <v>0.152</v>
      </c>
      <c r="L357" t="n">
        <v>0.717</v>
      </c>
      <c r="M357" t="n">
        <v>0.13</v>
      </c>
    </row>
    <row r="358" spans="1:13">
      <c r="A358" s="1">
        <f>HYPERLINK("http://www.twitter.com/NathanBLawrence/status/997594867126566912", "997594867126566912")</f>
        <v/>
      </c>
      <c r="B358" s="2" t="n">
        <v>43238.90885416666</v>
      </c>
      <c r="C358" t="n">
        <v>7</v>
      </c>
      <c r="D358" t="n">
        <v>5</v>
      </c>
      <c r="E358" t="s">
        <v>369</v>
      </c>
      <c r="F358" t="s"/>
      <c r="G358" t="s"/>
      <c r="H358" t="s"/>
      <c r="I358" t="s"/>
      <c r="J358" t="n">
        <v>0</v>
      </c>
      <c r="K358" t="n">
        <v>0</v>
      </c>
      <c r="L358" t="n">
        <v>1</v>
      </c>
      <c r="M358" t="n">
        <v>0</v>
      </c>
    </row>
    <row r="359" spans="1:13">
      <c r="A359" s="1">
        <f>HYPERLINK("http://www.twitter.com/NathanBLawrence/status/997587832691568642", "997587832691568642")</f>
        <v/>
      </c>
      <c r="B359" s="2" t="n">
        <v>43238.88944444444</v>
      </c>
      <c r="C359" t="n">
        <v>0</v>
      </c>
      <c r="D359" t="n">
        <v>1183</v>
      </c>
      <c r="E359" t="s">
        <v>370</v>
      </c>
      <c r="F359">
        <f>HYPERLINK("https://video.twimg.com/ext_tw_video/965227437444550656/pu/vid/480x480/pDCQuvqa-8VWgMkU.mp4", "https://video.twimg.com/ext_tw_video/965227437444550656/pu/vid/480x480/pDCQuvqa-8VWgMkU.mp4")</f>
        <v/>
      </c>
      <c r="G359" t="s"/>
      <c r="H359" t="s"/>
      <c r="I359" t="s"/>
      <c r="J359" t="n">
        <v>-0.4861</v>
      </c>
      <c r="K359" t="n">
        <v>0.106</v>
      </c>
      <c r="L359" t="n">
        <v>0.74</v>
      </c>
      <c r="M359" t="n">
        <v>0.154</v>
      </c>
    </row>
    <row r="360" spans="1:13">
      <c r="A360" s="1">
        <f>HYPERLINK("http://www.twitter.com/NathanBLawrence/status/997587769143713792", "997587769143713792")</f>
        <v/>
      </c>
      <c r="B360" s="2" t="n">
        <v>43238.88927083334</v>
      </c>
      <c r="C360" t="n">
        <v>0</v>
      </c>
      <c r="D360" t="n">
        <v>143</v>
      </c>
      <c r="E360" t="s">
        <v>371</v>
      </c>
      <c r="F360">
        <f>HYPERLINK("http://pbs.twimg.com/media/Ddgg511V4AA8g-_.jpg", "http://pbs.twimg.com/media/Ddgg511V4AA8g-_.jpg")</f>
        <v/>
      </c>
      <c r="G360" t="s"/>
      <c r="H360" t="s"/>
      <c r="I360" t="s"/>
      <c r="J360" t="n">
        <v>0</v>
      </c>
      <c r="K360" t="n">
        <v>0</v>
      </c>
      <c r="L360" t="n">
        <v>1</v>
      </c>
      <c r="M360" t="n">
        <v>0</v>
      </c>
    </row>
    <row r="361" spans="1:13">
      <c r="A361" s="1">
        <f>HYPERLINK("http://www.twitter.com/NathanBLawrence/status/997586992551489536", "997586992551489536")</f>
        <v/>
      </c>
      <c r="B361" s="2" t="n">
        <v>43238.88711805556</v>
      </c>
      <c r="C361" t="n">
        <v>6</v>
      </c>
      <c r="D361" t="n">
        <v>7</v>
      </c>
      <c r="E361" t="s">
        <v>372</v>
      </c>
      <c r="F361" t="s"/>
      <c r="G361" t="s"/>
      <c r="H361" t="s"/>
      <c r="I361" t="s"/>
      <c r="J361" t="n">
        <v>0.128</v>
      </c>
      <c r="K361" t="n">
        <v>0</v>
      </c>
      <c r="L361" t="n">
        <v>0.909</v>
      </c>
      <c r="M361" t="n">
        <v>0.091</v>
      </c>
    </row>
    <row r="362" spans="1:13">
      <c r="A362" s="1">
        <f>HYPERLINK("http://www.twitter.com/NathanBLawrence/status/997586601533358080", "997586601533358080")</f>
        <v/>
      </c>
      <c r="B362" s="2" t="n">
        <v>43238.88604166666</v>
      </c>
      <c r="C362" t="n">
        <v>2</v>
      </c>
      <c r="D362" t="n">
        <v>1</v>
      </c>
      <c r="E362" t="s">
        <v>373</v>
      </c>
      <c r="F362" t="s"/>
      <c r="G362" t="s"/>
      <c r="H362" t="s"/>
      <c r="I362" t="s"/>
      <c r="J362" t="n">
        <v>0.743</v>
      </c>
      <c r="K362" t="n">
        <v>0.103</v>
      </c>
      <c r="L362" t="n">
        <v>0.675</v>
      </c>
      <c r="M362" t="n">
        <v>0.221</v>
      </c>
    </row>
    <row r="363" spans="1:13">
      <c r="A363" s="1">
        <f>HYPERLINK("http://www.twitter.com/NathanBLawrence/status/997586354736267264", "997586354736267264")</f>
        <v/>
      </c>
      <c r="B363" s="2" t="n">
        <v>43238.88535879629</v>
      </c>
      <c r="C363" t="n">
        <v>3</v>
      </c>
      <c r="D363" t="n">
        <v>0</v>
      </c>
      <c r="E363" t="s">
        <v>374</v>
      </c>
      <c r="F363" t="s"/>
      <c r="G363" t="s"/>
      <c r="H363" t="s"/>
      <c r="I363" t="s"/>
      <c r="J363" t="n">
        <v>-0.6486</v>
      </c>
      <c r="K363" t="n">
        <v>0.31</v>
      </c>
      <c r="L363" t="n">
        <v>0.591</v>
      </c>
      <c r="M363" t="n">
        <v>0.099</v>
      </c>
    </row>
    <row r="364" spans="1:13">
      <c r="A364" s="1">
        <f>HYPERLINK("http://www.twitter.com/NathanBLawrence/status/997585745840717824", "997585745840717824")</f>
        <v/>
      </c>
      <c r="B364" s="2" t="n">
        <v>43238.88368055555</v>
      </c>
      <c r="C364" t="n">
        <v>15</v>
      </c>
      <c r="D364" t="n">
        <v>13</v>
      </c>
      <c r="E364" t="s">
        <v>375</v>
      </c>
      <c r="F364" t="s"/>
      <c r="G364" t="s"/>
      <c r="H364" t="s"/>
      <c r="I364" t="s"/>
      <c r="J364" t="n">
        <v>0</v>
      </c>
      <c r="K364" t="n">
        <v>0</v>
      </c>
      <c r="L364" t="n">
        <v>1</v>
      </c>
      <c r="M364" t="n">
        <v>0</v>
      </c>
    </row>
    <row r="365" spans="1:13">
      <c r="A365" s="1">
        <f>HYPERLINK("http://www.twitter.com/NathanBLawrence/status/997585071316992000", "997585071316992000")</f>
        <v/>
      </c>
      <c r="B365" s="2" t="n">
        <v>43238.88181712963</v>
      </c>
      <c r="C365" t="n">
        <v>4</v>
      </c>
      <c r="D365" t="n">
        <v>2</v>
      </c>
      <c r="E365" t="s">
        <v>376</v>
      </c>
      <c r="F365" t="s"/>
      <c r="G365" t="s"/>
      <c r="H365" t="s"/>
      <c r="I365" t="s"/>
      <c r="J365" t="n">
        <v>0</v>
      </c>
      <c r="K365" t="n">
        <v>0</v>
      </c>
      <c r="L365" t="n">
        <v>1</v>
      </c>
      <c r="M365" t="n">
        <v>0</v>
      </c>
    </row>
    <row r="366" spans="1:13">
      <c r="A366" s="1">
        <f>HYPERLINK("http://www.twitter.com/NathanBLawrence/status/997584382947803136", "997584382947803136")</f>
        <v/>
      </c>
      <c r="B366" s="2" t="n">
        <v>43238.87991898148</v>
      </c>
      <c r="C366" t="n">
        <v>1</v>
      </c>
      <c r="D366" t="n">
        <v>0</v>
      </c>
      <c r="E366" t="s">
        <v>377</v>
      </c>
      <c r="F366" t="s"/>
      <c r="G366" t="s"/>
      <c r="H366" t="s"/>
      <c r="I366" t="s"/>
      <c r="J366" t="n">
        <v>-0.5423</v>
      </c>
      <c r="K366" t="n">
        <v>0.212</v>
      </c>
      <c r="L366" t="n">
        <v>0.788</v>
      </c>
      <c r="M366" t="n">
        <v>0</v>
      </c>
    </row>
    <row r="367" spans="1:13">
      <c r="A367" s="1">
        <f>HYPERLINK("http://www.twitter.com/NathanBLawrence/status/997583979535417344", "997583979535417344")</f>
        <v/>
      </c>
      <c r="B367" s="2" t="n">
        <v>43238.87880787037</v>
      </c>
      <c r="C367" t="n">
        <v>9</v>
      </c>
      <c r="D367" t="n">
        <v>1</v>
      </c>
      <c r="E367" t="s">
        <v>378</v>
      </c>
      <c r="F367" t="s"/>
      <c r="G367" t="s"/>
      <c r="H367" t="s"/>
      <c r="I367" t="s"/>
      <c r="J367" t="n">
        <v>-0.2225</v>
      </c>
      <c r="K367" t="n">
        <v>0.049</v>
      </c>
      <c r="L367" t="n">
        <v>0.877</v>
      </c>
      <c r="M367" t="n">
        <v>0.074</v>
      </c>
    </row>
    <row r="368" spans="1:13">
      <c r="A368" s="1">
        <f>HYPERLINK("http://www.twitter.com/NathanBLawrence/status/997583262049492993", "997583262049492993")</f>
        <v/>
      </c>
      <c r="B368" s="2" t="n">
        <v>43238.8768287037</v>
      </c>
      <c r="C368" t="n">
        <v>21</v>
      </c>
      <c r="D368" t="n">
        <v>6</v>
      </c>
      <c r="E368" t="s">
        <v>379</v>
      </c>
      <c r="F368" t="s"/>
      <c r="G368" t="s"/>
      <c r="H368" t="s"/>
      <c r="I368" t="s"/>
      <c r="J368" t="n">
        <v>-0.5461</v>
      </c>
      <c r="K368" t="n">
        <v>0.153</v>
      </c>
      <c r="L368" t="n">
        <v>0.847</v>
      </c>
      <c r="M368" t="n">
        <v>0</v>
      </c>
    </row>
    <row r="369" spans="1:13">
      <c r="A369" s="1">
        <f>HYPERLINK("http://www.twitter.com/NathanBLawrence/status/997582704425164800", "997582704425164800")</f>
        <v/>
      </c>
      <c r="B369" s="2" t="n">
        <v>43238.87528935185</v>
      </c>
      <c r="C369" t="n">
        <v>1</v>
      </c>
      <c r="D369" t="n">
        <v>2</v>
      </c>
      <c r="E369" t="s">
        <v>380</v>
      </c>
      <c r="F369" t="s"/>
      <c r="G369" t="s"/>
      <c r="H369" t="s"/>
      <c r="I369" t="s"/>
      <c r="J369" t="n">
        <v>0.4321</v>
      </c>
      <c r="K369" t="n">
        <v>0</v>
      </c>
      <c r="L369" t="n">
        <v>0.84</v>
      </c>
      <c r="M369" t="n">
        <v>0.16</v>
      </c>
    </row>
    <row r="370" spans="1:13">
      <c r="A370" s="1">
        <f>HYPERLINK("http://www.twitter.com/NathanBLawrence/status/997582483892850688", "997582483892850688")</f>
        <v/>
      </c>
      <c r="B370" s="2" t="n">
        <v>43238.8746875</v>
      </c>
      <c r="C370" t="n">
        <v>7</v>
      </c>
      <c r="D370" t="n">
        <v>1</v>
      </c>
      <c r="E370" t="s">
        <v>381</v>
      </c>
      <c r="F370" t="s"/>
      <c r="G370" t="s"/>
      <c r="H370" t="s"/>
      <c r="I370" t="s"/>
      <c r="J370" t="n">
        <v>-0.5411</v>
      </c>
      <c r="K370" t="n">
        <v>0.193</v>
      </c>
      <c r="L370" t="n">
        <v>0.664</v>
      </c>
      <c r="M370" t="n">
        <v>0.143</v>
      </c>
    </row>
    <row r="371" spans="1:13">
      <c r="A371" s="1">
        <f>HYPERLINK("http://www.twitter.com/NathanBLawrence/status/997581435748794368", "997581435748794368")</f>
        <v/>
      </c>
      <c r="B371" s="2" t="n">
        <v>43238.87179398148</v>
      </c>
      <c r="C371" t="n">
        <v>5</v>
      </c>
      <c r="D371" t="n">
        <v>1</v>
      </c>
      <c r="E371" t="s">
        <v>382</v>
      </c>
      <c r="F371" t="s"/>
      <c r="G371" t="s"/>
      <c r="H371" t="s"/>
      <c r="I371" t="s"/>
      <c r="J371" t="n">
        <v>0.3744</v>
      </c>
      <c r="K371" t="n">
        <v>0</v>
      </c>
      <c r="L371" t="n">
        <v>0.8110000000000001</v>
      </c>
      <c r="M371" t="n">
        <v>0.189</v>
      </c>
    </row>
    <row r="372" spans="1:13">
      <c r="A372" s="1">
        <f>HYPERLINK("http://www.twitter.com/NathanBLawrence/status/997581354672910337", "997581354672910337")</f>
        <v/>
      </c>
      <c r="B372" s="2" t="n">
        <v>43238.8715625</v>
      </c>
      <c r="C372" t="n">
        <v>4</v>
      </c>
      <c r="D372" t="n">
        <v>0</v>
      </c>
      <c r="E372" t="s">
        <v>383</v>
      </c>
      <c r="F372" t="s"/>
      <c r="G372" t="s"/>
      <c r="H372" t="s"/>
      <c r="I372" t="s"/>
      <c r="J372" t="n">
        <v>0</v>
      </c>
      <c r="K372" t="n">
        <v>0</v>
      </c>
      <c r="L372" t="n">
        <v>1</v>
      </c>
      <c r="M372" t="n">
        <v>0</v>
      </c>
    </row>
    <row r="373" spans="1:13">
      <c r="A373" s="1">
        <f>HYPERLINK("http://www.twitter.com/NathanBLawrence/status/997579598853431296", "997579598853431296")</f>
        <v/>
      </c>
      <c r="B373" s="2" t="n">
        <v>43238.86672453704</v>
      </c>
      <c r="C373" t="n">
        <v>14</v>
      </c>
      <c r="D373" t="n">
        <v>3</v>
      </c>
      <c r="E373" t="s">
        <v>384</v>
      </c>
      <c r="F373" t="s"/>
      <c r="G373" t="s"/>
      <c r="H373" t="s"/>
      <c r="I373" t="s"/>
      <c r="J373" t="n">
        <v>0.7669</v>
      </c>
      <c r="K373" t="n">
        <v>0</v>
      </c>
      <c r="L373" t="n">
        <v>0.819</v>
      </c>
      <c r="M373" t="n">
        <v>0.181</v>
      </c>
    </row>
    <row r="374" spans="1:13">
      <c r="A374" s="1">
        <f>HYPERLINK("http://www.twitter.com/NathanBLawrence/status/997579043846279169", "997579043846279169")</f>
        <v/>
      </c>
      <c r="B374" s="2" t="n">
        <v>43238.86518518518</v>
      </c>
      <c r="C374" t="n">
        <v>28</v>
      </c>
      <c r="D374" t="n">
        <v>8</v>
      </c>
      <c r="E374" t="s">
        <v>385</v>
      </c>
      <c r="F374" t="s"/>
      <c r="G374" t="s"/>
      <c r="H374" t="s"/>
      <c r="I374" t="s"/>
      <c r="J374" t="n">
        <v>0.7902</v>
      </c>
      <c r="K374" t="n">
        <v>0</v>
      </c>
      <c r="L374" t="n">
        <v>0.741</v>
      </c>
      <c r="M374" t="n">
        <v>0.259</v>
      </c>
    </row>
    <row r="375" spans="1:13">
      <c r="A375" s="1">
        <f>HYPERLINK("http://www.twitter.com/NathanBLawrence/status/997576114011717632", "997576114011717632")</f>
        <v/>
      </c>
      <c r="B375" s="2" t="n">
        <v>43238.85710648148</v>
      </c>
      <c r="C375" t="n">
        <v>2</v>
      </c>
      <c r="D375" t="n">
        <v>1</v>
      </c>
      <c r="E375" t="s">
        <v>386</v>
      </c>
      <c r="F375" t="s"/>
      <c r="G375" t="s"/>
      <c r="H375" t="s"/>
      <c r="I375" t="s"/>
      <c r="J375" t="n">
        <v>-0.9571</v>
      </c>
      <c r="K375" t="n">
        <v>0.35</v>
      </c>
      <c r="L375" t="n">
        <v>0.577</v>
      </c>
      <c r="M375" t="n">
        <v>0.073</v>
      </c>
    </row>
    <row r="376" spans="1:13">
      <c r="A376" s="1">
        <f>HYPERLINK("http://www.twitter.com/NathanBLawrence/status/997507364013068289", "997507364013068289")</f>
        <v/>
      </c>
      <c r="B376" s="2" t="n">
        <v>43238.66739583333</v>
      </c>
      <c r="C376" t="n">
        <v>24</v>
      </c>
      <c r="D376" t="n">
        <v>15</v>
      </c>
      <c r="E376" t="s">
        <v>387</v>
      </c>
      <c r="F376" t="s"/>
      <c r="G376" t="s"/>
      <c r="H376" t="s"/>
      <c r="I376" t="s"/>
      <c r="J376" t="n">
        <v>-0.8885</v>
      </c>
      <c r="K376" t="n">
        <v>0.237</v>
      </c>
      <c r="L376" t="n">
        <v>0.763</v>
      </c>
      <c r="M376" t="n">
        <v>0</v>
      </c>
    </row>
    <row r="377" spans="1:13">
      <c r="A377" s="1">
        <f>HYPERLINK("http://www.twitter.com/NathanBLawrence/status/997493673762832384", "997493673762832384")</f>
        <v/>
      </c>
      <c r="B377" s="2" t="n">
        <v>43238.62961805556</v>
      </c>
      <c r="C377" t="n">
        <v>0</v>
      </c>
      <c r="D377" t="n">
        <v>293</v>
      </c>
      <c r="E377" t="s">
        <v>388</v>
      </c>
      <c r="F377" t="s"/>
      <c r="G377" t="s"/>
      <c r="H377" t="s"/>
      <c r="I377" t="s"/>
      <c r="J377" t="n">
        <v>-0.6037</v>
      </c>
      <c r="K377" t="n">
        <v>0.188</v>
      </c>
      <c r="L377" t="n">
        <v>0.8120000000000001</v>
      </c>
      <c r="M377" t="n">
        <v>0</v>
      </c>
    </row>
    <row r="378" spans="1:13">
      <c r="A378" s="1">
        <f>HYPERLINK("http://www.twitter.com/NathanBLawrence/status/997493486621343745", "997493486621343745")</f>
        <v/>
      </c>
      <c r="B378" s="2" t="n">
        <v>43238.62909722222</v>
      </c>
      <c r="C378" t="n">
        <v>9</v>
      </c>
      <c r="D378" t="n">
        <v>3</v>
      </c>
      <c r="E378" t="s">
        <v>389</v>
      </c>
      <c r="F378" t="s"/>
      <c r="G378" t="s"/>
      <c r="H378" t="s"/>
      <c r="I378" t="s"/>
      <c r="J378" t="n">
        <v>-0.25</v>
      </c>
      <c r="K378" t="n">
        <v>0.101</v>
      </c>
      <c r="L378" t="n">
        <v>0.828</v>
      </c>
      <c r="M378" t="n">
        <v>0.07099999999999999</v>
      </c>
    </row>
    <row r="379" spans="1:13">
      <c r="A379" s="1">
        <f>HYPERLINK("http://www.twitter.com/NathanBLawrence/status/997492574548979712", "997492574548979712")</f>
        <v/>
      </c>
      <c r="B379" s="2" t="n">
        <v>43238.62657407407</v>
      </c>
      <c r="C379" t="n">
        <v>35</v>
      </c>
      <c r="D379" t="n">
        <v>18</v>
      </c>
      <c r="E379" t="s">
        <v>390</v>
      </c>
      <c r="F379" t="s"/>
      <c r="G379" t="s"/>
      <c r="H379" t="s"/>
      <c r="I379" t="s"/>
      <c r="J379" t="n">
        <v>-0.8112</v>
      </c>
      <c r="K379" t="n">
        <v>0.198</v>
      </c>
      <c r="L379" t="n">
        <v>0.802</v>
      </c>
      <c r="M379" t="n">
        <v>0</v>
      </c>
    </row>
    <row r="380" spans="1:13">
      <c r="A380" s="1">
        <f>HYPERLINK("http://www.twitter.com/NathanBLawrence/status/997490913113882624", "997490913113882624")</f>
        <v/>
      </c>
      <c r="B380" s="2" t="n">
        <v>43238.62199074074</v>
      </c>
      <c r="C380" t="n">
        <v>0</v>
      </c>
      <c r="D380" t="n">
        <v>21356</v>
      </c>
      <c r="E380" t="s">
        <v>391</v>
      </c>
      <c r="F380" t="s"/>
      <c r="G380" t="s"/>
      <c r="H380" t="s"/>
      <c r="I380" t="s"/>
      <c r="J380" t="n">
        <v>0</v>
      </c>
      <c r="K380" t="n">
        <v>0</v>
      </c>
      <c r="L380" t="n">
        <v>1</v>
      </c>
      <c r="M380" t="n">
        <v>0</v>
      </c>
    </row>
    <row r="381" spans="1:13">
      <c r="A381" s="1">
        <f>HYPERLINK("http://www.twitter.com/NathanBLawrence/status/997490357695725568", "997490357695725568")</f>
        <v/>
      </c>
      <c r="B381" s="2" t="n">
        <v>43238.62046296296</v>
      </c>
      <c r="C381" t="n">
        <v>0</v>
      </c>
      <c r="D381" t="n">
        <v>43148</v>
      </c>
      <c r="E381" t="s">
        <v>392</v>
      </c>
      <c r="F381" t="s"/>
      <c r="G381" t="s"/>
      <c r="H381" t="s"/>
      <c r="I381" t="s"/>
      <c r="J381" t="n">
        <v>-0.92</v>
      </c>
      <c r="K381" t="n">
        <v>0.45</v>
      </c>
      <c r="L381" t="n">
        <v>0.55</v>
      </c>
      <c r="M381" t="n">
        <v>0</v>
      </c>
    </row>
    <row r="382" spans="1:13">
      <c r="A382" s="1">
        <f>HYPERLINK("http://www.twitter.com/NathanBLawrence/status/997490022294081538", "997490022294081538")</f>
        <v/>
      </c>
      <c r="B382" s="2" t="n">
        <v>43238.61953703704</v>
      </c>
      <c r="C382" t="n">
        <v>0</v>
      </c>
      <c r="D382" t="n">
        <v>23945</v>
      </c>
      <c r="E382" t="s">
        <v>393</v>
      </c>
      <c r="F382" t="s"/>
      <c r="G382" t="s"/>
      <c r="H382" t="s"/>
      <c r="I382" t="s"/>
      <c r="J382" t="n">
        <v>-0.4588</v>
      </c>
      <c r="K382" t="n">
        <v>0.143</v>
      </c>
      <c r="L382" t="n">
        <v>0.857</v>
      </c>
      <c r="M382" t="n">
        <v>0</v>
      </c>
    </row>
    <row r="383" spans="1:13">
      <c r="A383" s="1">
        <f>HYPERLINK("http://www.twitter.com/NathanBLawrence/status/997489919848169473", "997489919848169473")</f>
        <v/>
      </c>
      <c r="B383" s="2" t="n">
        <v>43238.61925925926</v>
      </c>
      <c r="C383" t="n">
        <v>0</v>
      </c>
      <c r="D383" t="n">
        <v>26921</v>
      </c>
      <c r="E383" t="s">
        <v>394</v>
      </c>
      <c r="F383" t="s"/>
      <c r="G383" t="s"/>
      <c r="H383" t="s"/>
      <c r="I383" t="s"/>
      <c r="J383" t="n">
        <v>0</v>
      </c>
      <c r="K383" t="n">
        <v>0</v>
      </c>
      <c r="L383" t="n">
        <v>1</v>
      </c>
      <c r="M383" t="n">
        <v>0</v>
      </c>
    </row>
    <row r="384" spans="1:13">
      <c r="A384" s="1">
        <f>HYPERLINK("http://www.twitter.com/NathanBLawrence/status/997488793320964096", "997488793320964096")</f>
        <v/>
      </c>
      <c r="B384" s="2" t="n">
        <v>43238.61614583333</v>
      </c>
      <c r="C384" t="n">
        <v>9</v>
      </c>
      <c r="D384" t="n">
        <v>3</v>
      </c>
      <c r="E384" t="s">
        <v>395</v>
      </c>
      <c r="F384" t="s"/>
      <c r="G384" t="s"/>
      <c r="H384" t="s"/>
      <c r="I384" t="s"/>
      <c r="J384" t="n">
        <v>-0.0772</v>
      </c>
      <c r="K384" t="n">
        <v>0.1</v>
      </c>
      <c r="L384" t="n">
        <v>0.8080000000000001</v>
      </c>
      <c r="M384" t="n">
        <v>0.093</v>
      </c>
    </row>
    <row r="385" spans="1:13">
      <c r="A385" s="1">
        <f>HYPERLINK("http://www.twitter.com/NathanBLawrence/status/997488228713168896", "997488228713168896")</f>
        <v/>
      </c>
      <c r="B385" s="2" t="n">
        <v>43238.61458333334</v>
      </c>
      <c r="C385" t="n">
        <v>11</v>
      </c>
      <c r="D385" t="n">
        <v>9</v>
      </c>
      <c r="E385" t="s">
        <v>396</v>
      </c>
      <c r="F385" t="s"/>
      <c r="G385" t="s"/>
      <c r="H385" t="s"/>
      <c r="I385" t="s"/>
      <c r="J385" t="n">
        <v>-0.2942</v>
      </c>
      <c r="K385" t="n">
        <v>0.132</v>
      </c>
      <c r="L385" t="n">
        <v>0.797</v>
      </c>
      <c r="M385" t="n">
        <v>0.07099999999999999</v>
      </c>
    </row>
    <row r="386" spans="1:13">
      <c r="A386" s="1">
        <f>HYPERLINK("http://www.twitter.com/NathanBLawrence/status/997316943844528128", "997316943844528128")</f>
        <v/>
      </c>
      <c r="B386" s="2" t="n">
        <v>43238.14193287037</v>
      </c>
      <c r="C386" t="n">
        <v>23</v>
      </c>
      <c r="D386" t="n">
        <v>7</v>
      </c>
      <c r="E386" t="s">
        <v>397</v>
      </c>
      <c r="F386" t="s"/>
      <c r="G386" t="s"/>
      <c r="H386" t="s"/>
      <c r="I386" t="s"/>
      <c r="J386" t="n">
        <v>0.8016</v>
      </c>
      <c r="K386" t="n">
        <v>0</v>
      </c>
      <c r="L386" t="n">
        <v>0.661</v>
      </c>
      <c r="M386" t="n">
        <v>0.339</v>
      </c>
    </row>
    <row r="387" spans="1:13">
      <c r="A387" s="1">
        <f>HYPERLINK("http://www.twitter.com/NathanBLawrence/status/997316585898496000", "997316585898496000")</f>
        <v/>
      </c>
      <c r="B387" s="2" t="n">
        <v>43238.1409375</v>
      </c>
      <c r="C387" t="n">
        <v>8</v>
      </c>
      <c r="D387" t="n">
        <v>5</v>
      </c>
      <c r="E387" t="s">
        <v>398</v>
      </c>
      <c r="F387" t="s"/>
      <c r="G387" t="s"/>
      <c r="H387" t="s"/>
      <c r="I387" t="s"/>
      <c r="J387" t="n">
        <v>0</v>
      </c>
      <c r="K387" t="n">
        <v>0</v>
      </c>
      <c r="L387" t="n">
        <v>1</v>
      </c>
      <c r="M387" t="n">
        <v>0</v>
      </c>
    </row>
    <row r="388" spans="1:13">
      <c r="A388" s="1">
        <f>HYPERLINK("http://www.twitter.com/NathanBLawrence/status/997316432726671360", "997316432726671360")</f>
        <v/>
      </c>
      <c r="B388" s="2" t="n">
        <v>43238.14052083333</v>
      </c>
      <c r="C388" t="n">
        <v>13</v>
      </c>
      <c r="D388" t="n">
        <v>6</v>
      </c>
      <c r="E388" t="s">
        <v>399</v>
      </c>
      <c r="F388" t="s"/>
      <c r="G388" t="s"/>
      <c r="H388" t="s"/>
      <c r="I388" t="s"/>
      <c r="J388" t="n">
        <v>0</v>
      </c>
      <c r="K388" t="n">
        <v>0</v>
      </c>
      <c r="L388" t="n">
        <v>1</v>
      </c>
      <c r="M388" t="n">
        <v>0</v>
      </c>
    </row>
    <row r="389" spans="1:13">
      <c r="A389" s="1">
        <f>HYPERLINK("http://www.twitter.com/NathanBLawrence/status/997316261590675456", "997316261590675456")</f>
        <v/>
      </c>
      <c r="B389" s="2" t="n">
        <v>43238.1400462963</v>
      </c>
      <c r="C389" t="n">
        <v>0</v>
      </c>
      <c r="D389" t="n">
        <v>715</v>
      </c>
      <c r="E389" t="s">
        <v>400</v>
      </c>
      <c r="F389">
        <f>HYPERLINK("https://video.twimg.com/ext_tw_video/997226991903371264/pu/vid/720x720/qlEmzk8LVj2Efhts.mp4?tag=3", "https://video.twimg.com/ext_tw_video/997226991903371264/pu/vid/720x720/qlEmzk8LVj2Efhts.mp4?tag=3")</f>
        <v/>
      </c>
      <c r="G389" t="s"/>
      <c r="H389" t="s"/>
      <c r="I389" t="s"/>
      <c r="J389" t="n">
        <v>-0.6892</v>
      </c>
      <c r="K389" t="n">
        <v>0.19</v>
      </c>
      <c r="L389" t="n">
        <v>0.8100000000000001</v>
      </c>
      <c r="M389" t="n">
        <v>0</v>
      </c>
    </row>
    <row r="390" spans="1:13">
      <c r="A390" s="1">
        <f>HYPERLINK("http://www.twitter.com/NathanBLawrence/status/997316146297647104", "997316146297647104")</f>
        <v/>
      </c>
      <c r="B390" s="2" t="n">
        <v>43238.1397337963</v>
      </c>
      <c r="C390" t="n">
        <v>0</v>
      </c>
      <c r="D390" t="n">
        <v>22</v>
      </c>
      <c r="E390" t="s">
        <v>401</v>
      </c>
      <c r="F390">
        <f>HYPERLINK("http://pbs.twimg.com/media/DdcKpy3U0AAL88t.jpg", "http://pbs.twimg.com/media/DdcKpy3U0AAL88t.jpg")</f>
        <v/>
      </c>
      <c r="G390" t="s"/>
      <c r="H390" t="s"/>
      <c r="I390" t="s"/>
      <c r="J390" t="n">
        <v>0</v>
      </c>
      <c r="K390" t="n">
        <v>0</v>
      </c>
      <c r="L390" t="n">
        <v>1</v>
      </c>
      <c r="M390" t="n">
        <v>0</v>
      </c>
    </row>
    <row r="391" spans="1:13">
      <c r="A391" s="1">
        <f>HYPERLINK("http://www.twitter.com/NathanBLawrence/status/997315546684186624", "997315546684186624")</f>
        <v/>
      </c>
      <c r="B391" s="2" t="n">
        <v>43238.13807870371</v>
      </c>
      <c r="C391" t="n">
        <v>29</v>
      </c>
      <c r="D391" t="n">
        <v>19</v>
      </c>
      <c r="E391" t="s">
        <v>402</v>
      </c>
      <c r="F391" t="s"/>
      <c r="G391" t="s"/>
      <c r="H391" t="s"/>
      <c r="I391" t="s"/>
      <c r="J391" t="n">
        <v>0.7772</v>
      </c>
      <c r="K391" t="n">
        <v>0.065</v>
      </c>
      <c r="L391" t="n">
        <v>0.742</v>
      </c>
      <c r="M391" t="n">
        <v>0.194</v>
      </c>
    </row>
    <row r="392" spans="1:13">
      <c r="A392" s="1">
        <f>HYPERLINK("http://www.twitter.com/NathanBLawrence/status/997315035784347648", "997315035784347648")</f>
        <v/>
      </c>
      <c r="B392" s="2" t="n">
        <v>43238.13666666667</v>
      </c>
      <c r="C392" t="n">
        <v>0</v>
      </c>
      <c r="D392" t="n">
        <v>2223</v>
      </c>
      <c r="E392" t="s">
        <v>403</v>
      </c>
      <c r="F392" t="s"/>
      <c r="G392" t="s"/>
      <c r="H392" t="s"/>
      <c r="I392" t="s"/>
      <c r="J392" t="n">
        <v>0</v>
      </c>
      <c r="K392" t="n">
        <v>0</v>
      </c>
      <c r="L392" t="n">
        <v>1</v>
      </c>
      <c r="M392" t="n">
        <v>0</v>
      </c>
    </row>
    <row r="393" spans="1:13">
      <c r="A393" s="1">
        <f>HYPERLINK("http://www.twitter.com/NathanBLawrence/status/997314882335719424", "997314882335719424")</f>
        <v/>
      </c>
      <c r="B393" s="2" t="n">
        <v>43238.13623842593</v>
      </c>
      <c r="C393" t="n">
        <v>8</v>
      </c>
      <c r="D393" t="n">
        <v>3</v>
      </c>
      <c r="E393" t="s">
        <v>404</v>
      </c>
      <c r="F393" t="s"/>
      <c r="G393" t="s"/>
      <c r="H393" t="s"/>
      <c r="I393" t="s"/>
      <c r="J393" t="n">
        <v>-0.6351</v>
      </c>
      <c r="K393" t="n">
        <v>0.23</v>
      </c>
      <c r="L393" t="n">
        <v>0.77</v>
      </c>
      <c r="M393" t="n">
        <v>0</v>
      </c>
    </row>
    <row r="394" spans="1:13">
      <c r="A394" s="1">
        <f>HYPERLINK("http://www.twitter.com/NathanBLawrence/status/997314677607612419", "997314677607612419")</f>
        <v/>
      </c>
      <c r="B394" s="2" t="n">
        <v>43238.13568287037</v>
      </c>
      <c r="C394" t="n">
        <v>0</v>
      </c>
      <c r="D394" t="n">
        <v>3340</v>
      </c>
      <c r="E394" t="s">
        <v>405</v>
      </c>
      <c r="F394" t="s"/>
      <c r="G394" t="s"/>
      <c r="H394" t="s"/>
      <c r="I394" t="s"/>
      <c r="J394" t="n">
        <v>-0.2263</v>
      </c>
      <c r="K394" t="n">
        <v>0.239</v>
      </c>
      <c r="L394" t="n">
        <v>0.518</v>
      </c>
      <c r="M394" t="n">
        <v>0.243</v>
      </c>
    </row>
    <row r="395" spans="1:13">
      <c r="A395" s="1">
        <f>HYPERLINK("http://www.twitter.com/NathanBLawrence/status/997314480655679489", "997314480655679489")</f>
        <v/>
      </c>
      <c r="B395" s="2" t="n">
        <v>43238.13513888889</v>
      </c>
      <c r="C395" t="n">
        <v>0</v>
      </c>
      <c r="D395" t="n">
        <v>2675</v>
      </c>
      <c r="E395" t="s">
        <v>406</v>
      </c>
      <c r="F395" t="s"/>
      <c r="G395" t="s"/>
      <c r="H395" t="s"/>
      <c r="I395" t="s"/>
      <c r="J395" t="n">
        <v>-0.5106000000000001</v>
      </c>
      <c r="K395" t="n">
        <v>0.129</v>
      </c>
      <c r="L395" t="n">
        <v>0.824</v>
      </c>
      <c r="M395" t="n">
        <v>0.047</v>
      </c>
    </row>
    <row r="396" spans="1:13">
      <c r="A396" s="1">
        <f>HYPERLINK("http://www.twitter.com/NathanBLawrence/status/997314340679122944", "997314340679122944")</f>
        <v/>
      </c>
      <c r="B396" s="2" t="n">
        <v>43238.13474537037</v>
      </c>
      <c r="C396" t="n">
        <v>0</v>
      </c>
      <c r="D396" t="n">
        <v>663</v>
      </c>
      <c r="E396" t="s">
        <v>407</v>
      </c>
      <c r="F396" t="s"/>
      <c r="G396" t="s"/>
      <c r="H396" t="s"/>
      <c r="I396" t="s"/>
      <c r="J396" t="n">
        <v>0.6988</v>
      </c>
      <c r="K396" t="n">
        <v>0</v>
      </c>
      <c r="L396" t="n">
        <v>0.8070000000000001</v>
      </c>
      <c r="M396" t="n">
        <v>0.193</v>
      </c>
    </row>
    <row r="397" spans="1:13">
      <c r="A397" s="1">
        <f>HYPERLINK("http://www.twitter.com/NathanBLawrence/status/997313490401484800", "997313490401484800")</f>
        <v/>
      </c>
      <c r="B397" s="2" t="n">
        <v>43238.13239583333</v>
      </c>
      <c r="C397" t="n">
        <v>17</v>
      </c>
      <c r="D397" t="n">
        <v>7</v>
      </c>
      <c r="E397" t="s">
        <v>408</v>
      </c>
      <c r="F397" t="s"/>
      <c r="G397" t="s"/>
      <c r="H397" t="s"/>
      <c r="I397" t="s"/>
      <c r="J397" t="n">
        <v>0.7776999999999999</v>
      </c>
      <c r="K397" t="n">
        <v>0</v>
      </c>
      <c r="L397" t="n">
        <v>0.746</v>
      </c>
      <c r="M397" t="n">
        <v>0.254</v>
      </c>
    </row>
    <row r="398" spans="1:13">
      <c r="A398" s="1">
        <f>HYPERLINK("http://www.twitter.com/NathanBLawrence/status/997312571609776128", "997312571609776128")</f>
        <v/>
      </c>
      <c r="B398" s="2" t="n">
        <v>43238.12986111111</v>
      </c>
      <c r="C398" t="n">
        <v>15</v>
      </c>
      <c r="D398" t="n">
        <v>12</v>
      </c>
      <c r="E398" t="s">
        <v>409</v>
      </c>
      <c r="F398" t="s"/>
      <c r="G398" t="s"/>
      <c r="H398" t="s"/>
      <c r="I398" t="s"/>
      <c r="J398" t="n">
        <v>0.743</v>
      </c>
      <c r="K398" t="n">
        <v>0</v>
      </c>
      <c r="L398" t="n">
        <v>0.76</v>
      </c>
      <c r="M398" t="n">
        <v>0.24</v>
      </c>
    </row>
    <row r="399" spans="1:13">
      <c r="A399" s="1">
        <f>HYPERLINK("http://www.twitter.com/NathanBLawrence/status/997312270584565760", "997312270584565760")</f>
        <v/>
      </c>
      <c r="B399" s="2" t="n">
        <v>43238.12903935185</v>
      </c>
      <c r="C399" t="n">
        <v>10</v>
      </c>
      <c r="D399" t="n">
        <v>6</v>
      </c>
      <c r="E399" t="s">
        <v>410</v>
      </c>
      <c r="F399" t="s"/>
      <c r="G399" t="s"/>
      <c r="H399" t="s"/>
      <c r="I399" t="s"/>
      <c r="J399" t="n">
        <v>0</v>
      </c>
      <c r="K399" t="n">
        <v>0</v>
      </c>
      <c r="L399" t="n">
        <v>1</v>
      </c>
      <c r="M399" t="n">
        <v>0</v>
      </c>
    </row>
    <row r="400" spans="1:13">
      <c r="A400" s="1">
        <f>HYPERLINK("http://www.twitter.com/NathanBLawrence/status/997300094192906240", "997300094192906240")</f>
        <v/>
      </c>
      <c r="B400" s="2" t="n">
        <v>43238.09543981482</v>
      </c>
      <c r="C400" t="n">
        <v>0</v>
      </c>
      <c r="D400" t="n">
        <v>63</v>
      </c>
      <c r="E400" t="s">
        <v>411</v>
      </c>
      <c r="F400" t="s"/>
      <c r="G400" t="s"/>
      <c r="H400" t="s"/>
      <c r="I400" t="s"/>
      <c r="J400" t="n">
        <v>-0.1531</v>
      </c>
      <c r="K400" t="n">
        <v>0.115</v>
      </c>
      <c r="L400" t="n">
        <v>0.791</v>
      </c>
      <c r="M400" t="n">
        <v>0.094</v>
      </c>
    </row>
    <row r="401" spans="1:13">
      <c r="A401" s="1">
        <f>HYPERLINK("http://www.twitter.com/NathanBLawrence/status/997299915154837504", "997299915154837504")</f>
        <v/>
      </c>
      <c r="B401" s="2" t="n">
        <v>43238.09494212963</v>
      </c>
      <c r="C401" t="n">
        <v>9</v>
      </c>
      <c r="D401" t="n">
        <v>7</v>
      </c>
      <c r="E401" t="s">
        <v>412</v>
      </c>
      <c r="F401" t="s"/>
      <c r="G401" t="s"/>
      <c r="H401" t="s"/>
      <c r="I401" t="s"/>
      <c r="J401" t="n">
        <v>0.2732</v>
      </c>
      <c r="K401" t="n">
        <v>0</v>
      </c>
      <c r="L401" t="n">
        <v>0.826</v>
      </c>
      <c r="M401" t="n">
        <v>0.174</v>
      </c>
    </row>
    <row r="402" spans="1:13">
      <c r="A402" s="1">
        <f>HYPERLINK("http://www.twitter.com/NathanBLawrence/status/997270572907118593", "997270572907118593")</f>
        <v/>
      </c>
      <c r="B402" s="2" t="n">
        <v>43238.01396990741</v>
      </c>
      <c r="C402" t="n">
        <v>12</v>
      </c>
      <c r="D402" t="n">
        <v>5</v>
      </c>
      <c r="E402" t="s">
        <v>413</v>
      </c>
      <c r="F402" t="s"/>
      <c r="G402" t="s"/>
      <c r="H402" t="s"/>
      <c r="I402" t="s"/>
      <c r="J402" t="n">
        <v>0</v>
      </c>
      <c r="K402" t="n">
        <v>0</v>
      </c>
      <c r="L402" t="n">
        <v>1</v>
      </c>
      <c r="M402" t="n">
        <v>0</v>
      </c>
    </row>
    <row r="403" spans="1:13">
      <c r="A403" s="1">
        <f>HYPERLINK("http://www.twitter.com/NathanBLawrence/status/997269417783263232", "997269417783263232")</f>
        <v/>
      </c>
      <c r="B403" s="2" t="n">
        <v>43238.01078703703</v>
      </c>
      <c r="C403" t="n">
        <v>8</v>
      </c>
      <c r="D403" t="n">
        <v>4</v>
      </c>
      <c r="E403" t="s">
        <v>414</v>
      </c>
      <c r="F403" t="s"/>
      <c r="G403" t="s"/>
      <c r="H403" t="s"/>
      <c r="I403" t="s"/>
      <c r="J403" t="n">
        <v>0</v>
      </c>
      <c r="K403" t="n">
        <v>0</v>
      </c>
      <c r="L403" t="n">
        <v>1</v>
      </c>
      <c r="M403" t="n">
        <v>0</v>
      </c>
    </row>
    <row r="404" spans="1:13">
      <c r="A404" s="1">
        <f>HYPERLINK("http://www.twitter.com/NathanBLawrence/status/997268878869737473", "997268878869737473")</f>
        <v/>
      </c>
      <c r="B404" s="2" t="n">
        <v>43238.00929398148</v>
      </c>
      <c r="C404" t="n">
        <v>14</v>
      </c>
      <c r="D404" t="n">
        <v>3</v>
      </c>
      <c r="E404" t="s">
        <v>415</v>
      </c>
      <c r="F404" t="s"/>
      <c r="G404" t="s"/>
      <c r="H404" t="s"/>
      <c r="I404" t="s"/>
      <c r="J404" t="n">
        <v>0</v>
      </c>
      <c r="K404" t="n">
        <v>0</v>
      </c>
      <c r="L404" t="n">
        <v>1</v>
      </c>
      <c r="M404" t="n">
        <v>0</v>
      </c>
    </row>
    <row r="405" spans="1:13">
      <c r="A405" s="1">
        <f>HYPERLINK("http://www.twitter.com/NathanBLawrence/status/997268365038182400", "997268365038182400")</f>
        <v/>
      </c>
      <c r="B405" s="2" t="n">
        <v>43238.00788194445</v>
      </c>
      <c r="C405" t="n">
        <v>9</v>
      </c>
      <c r="D405" t="n">
        <v>4</v>
      </c>
      <c r="E405" t="s">
        <v>416</v>
      </c>
      <c r="F405" t="s"/>
      <c r="G405" t="s"/>
      <c r="H405" t="s"/>
      <c r="I405" t="s"/>
      <c r="J405" t="n">
        <v>-0.7678</v>
      </c>
      <c r="K405" t="n">
        <v>0.197</v>
      </c>
      <c r="L405" t="n">
        <v>0.803</v>
      </c>
      <c r="M405" t="n">
        <v>0</v>
      </c>
    </row>
    <row r="406" spans="1:13">
      <c r="A406" s="1">
        <f>HYPERLINK("http://www.twitter.com/NathanBLawrence/status/997267906009313280", "997267906009313280")</f>
        <v/>
      </c>
      <c r="B406" s="2" t="n">
        <v>43238.0066087963</v>
      </c>
      <c r="C406" t="n">
        <v>10</v>
      </c>
      <c r="D406" t="n">
        <v>5</v>
      </c>
      <c r="E406" t="s">
        <v>417</v>
      </c>
      <c r="F406" t="s"/>
      <c r="G406" t="s"/>
      <c r="H406" t="s"/>
      <c r="I406" t="s"/>
      <c r="J406" t="n">
        <v>-0.9359</v>
      </c>
      <c r="K406" t="n">
        <v>0.341</v>
      </c>
      <c r="L406" t="n">
        <v>0.629</v>
      </c>
      <c r="M406" t="n">
        <v>0.03</v>
      </c>
    </row>
    <row r="407" spans="1:13">
      <c r="A407" s="1">
        <f>HYPERLINK("http://www.twitter.com/NathanBLawrence/status/997267333683937280", "997267333683937280")</f>
        <v/>
      </c>
      <c r="B407" s="2" t="n">
        <v>43238.00503472222</v>
      </c>
      <c r="C407" t="n">
        <v>2</v>
      </c>
      <c r="D407" t="n">
        <v>0</v>
      </c>
      <c r="E407" t="s">
        <v>418</v>
      </c>
      <c r="F407" t="s"/>
      <c r="G407" t="s"/>
      <c r="H407" t="s"/>
      <c r="I407" t="s"/>
      <c r="J407" t="n">
        <v>0</v>
      </c>
      <c r="K407" t="n">
        <v>0</v>
      </c>
      <c r="L407" t="n">
        <v>1</v>
      </c>
      <c r="M407" t="n">
        <v>0</v>
      </c>
    </row>
    <row r="408" spans="1:13">
      <c r="A408" s="1">
        <f>HYPERLINK("http://www.twitter.com/NathanBLawrence/status/997267037368930305", "997267037368930305")</f>
        <v/>
      </c>
      <c r="B408" s="2" t="n">
        <v>43238.00421296297</v>
      </c>
      <c r="C408" t="n">
        <v>10</v>
      </c>
      <c r="D408" t="n">
        <v>4</v>
      </c>
      <c r="E408" t="s">
        <v>419</v>
      </c>
      <c r="F408" t="s"/>
      <c r="G408" t="s"/>
      <c r="H408" t="s"/>
      <c r="I408" t="s"/>
      <c r="J408" t="n">
        <v>0.7269</v>
      </c>
      <c r="K408" t="n">
        <v>0.079</v>
      </c>
      <c r="L408" t="n">
        <v>0.678</v>
      </c>
      <c r="M408" t="n">
        <v>0.244</v>
      </c>
    </row>
    <row r="409" spans="1:13">
      <c r="A409" s="1">
        <f>HYPERLINK("http://www.twitter.com/NathanBLawrence/status/997266511101247489", "997266511101247489")</f>
        <v/>
      </c>
      <c r="B409" s="2" t="n">
        <v>43238.0027662037</v>
      </c>
      <c r="C409" t="n">
        <v>0</v>
      </c>
      <c r="D409" t="n">
        <v>431</v>
      </c>
      <c r="E409" t="s">
        <v>420</v>
      </c>
      <c r="F409">
        <f>HYPERLINK("http://pbs.twimg.com/media/DdamaBUVwAERWbG.jpg", "http://pbs.twimg.com/media/DdamaBUVwAERWbG.jpg")</f>
        <v/>
      </c>
      <c r="G409" t="s"/>
      <c r="H409" t="s"/>
      <c r="I409" t="s"/>
      <c r="J409" t="n">
        <v>0</v>
      </c>
      <c r="K409" t="n">
        <v>0</v>
      </c>
      <c r="L409" t="n">
        <v>1</v>
      </c>
      <c r="M409" t="n">
        <v>0</v>
      </c>
    </row>
    <row r="410" spans="1:13">
      <c r="A410" s="1">
        <f>HYPERLINK("http://www.twitter.com/NathanBLawrence/status/997266397292969984", "997266397292969984")</f>
        <v/>
      </c>
      <c r="B410" s="2" t="n">
        <v>43238.0024537037</v>
      </c>
      <c r="C410" t="n">
        <v>10</v>
      </c>
      <c r="D410" t="n">
        <v>2</v>
      </c>
      <c r="E410" t="s">
        <v>421</v>
      </c>
      <c r="F410" t="s"/>
      <c r="G410" t="s"/>
      <c r="H410" t="s"/>
      <c r="I410" t="s"/>
      <c r="J410" t="n">
        <v>0</v>
      </c>
      <c r="K410" t="n">
        <v>0</v>
      </c>
      <c r="L410" t="n">
        <v>1</v>
      </c>
      <c r="M410" t="n">
        <v>0</v>
      </c>
    </row>
    <row r="411" spans="1:13">
      <c r="A411" s="1">
        <f>HYPERLINK("http://www.twitter.com/NathanBLawrence/status/997266317584482304", "997266317584482304")</f>
        <v/>
      </c>
      <c r="B411" s="2" t="n">
        <v>43238.00223379629</v>
      </c>
      <c r="C411" t="n">
        <v>0</v>
      </c>
      <c r="D411" t="n">
        <v>9855</v>
      </c>
      <c r="E411" t="s">
        <v>422</v>
      </c>
      <c r="F411">
        <f>HYPERLINK("http://pbs.twimg.com/media/DAtTzazXoAkGfC4.jpg", "http://pbs.twimg.com/media/DAtTzazXoAkGfC4.jpg")</f>
        <v/>
      </c>
      <c r="G411" t="s"/>
      <c r="H411" t="s"/>
      <c r="I411" t="s"/>
      <c r="J411" t="n">
        <v>-0.0521</v>
      </c>
      <c r="K411" t="n">
        <v>0.157</v>
      </c>
      <c r="L411" t="n">
        <v>0.698</v>
      </c>
      <c r="M411" t="n">
        <v>0.145</v>
      </c>
    </row>
    <row r="412" spans="1:13">
      <c r="A412" s="1">
        <f>HYPERLINK("http://www.twitter.com/NathanBLawrence/status/997266184012578817", "997266184012578817")</f>
        <v/>
      </c>
      <c r="B412" s="2" t="n">
        <v>43238.00186342592</v>
      </c>
      <c r="C412" t="n">
        <v>24</v>
      </c>
      <c r="D412" t="n">
        <v>8</v>
      </c>
      <c r="E412" t="s">
        <v>423</v>
      </c>
      <c r="F412" t="s"/>
      <c r="G412" t="s"/>
      <c r="H412" t="s"/>
      <c r="I412" t="s"/>
      <c r="J412" t="n">
        <v>-0.5697</v>
      </c>
      <c r="K412" t="n">
        <v>0.103</v>
      </c>
      <c r="L412" t="n">
        <v>0.897</v>
      </c>
      <c r="M412" t="n">
        <v>0</v>
      </c>
    </row>
    <row r="413" spans="1:13">
      <c r="A413" s="1">
        <f>HYPERLINK("http://www.twitter.com/NathanBLawrence/status/997265604863119360", "997265604863119360")</f>
        <v/>
      </c>
      <c r="B413" s="2" t="n">
        <v>43238.0002662037</v>
      </c>
      <c r="C413" t="n">
        <v>7</v>
      </c>
      <c r="D413" t="n">
        <v>3</v>
      </c>
      <c r="E413" t="s">
        <v>424</v>
      </c>
      <c r="F413" t="s"/>
      <c r="G413" t="s"/>
      <c r="H413" t="s"/>
      <c r="I413" t="s"/>
      <c r="J413" t="n">
        <v>-0.5574</v>
      </c>
      <c r="K413" t="n">
        <v>0.231</v>
      </c>
      <c r="L413" t="n">
        <v>0.769</v>
      </c>
      <c r="M413" t="n">
        <v>0</v>
      </c>
    </row>
    <row r="414" spans="1:13">
      <c r="A414" s="1">
        <f>HYPERLINK("http://www.twitter.com/NathanBLawrence/status/997265139681259520", "997265139681259520")</f>
        <v/>
      </c>
      <c r="B414" s="2" t="n">
        <v>43237.99898148148</v>
      </c>
      <c r="C414" t="n">
        <v>9</v>
      </c>
      <c r="D414" t="n">
        <v>6</v>
      </c>
      <c r="E414" t="s">
        <v>425</v>
      </c>
      <c r="F414" t="s"/>
      <c r="G414" t="s"/>
      <c r="H414" t="s"/>
      <c r="I414" t="s"/>
      <c r="J414" t="n">
        <v>-0.4199</v>
      </c>
      <c r="K414" t="n">
        <v>0.151</v>
      </c>
      <c r="L414" t="n">
        <v>0.78</v>
      </c>
      <c r="M414" t="n">
        <v>0.06900000000000001</v>
      </c>
    </row>
    <row r="415" spans="1:13">
      <c r="A415" s="1">
        <f>HYPERLINK("http://www.twitter.com/NathanBLawrence/status/997264508149055488", "997264508149055488")</f>
        <v/>
      </c>
      <c r="B415" s="2" t="n">
        <v>43237.9972337963</v>
      </c>
      <c r="C415" t="n">
        <v>6</v>
      </c>
      <c r="D415" t="n">
        <v>13</v>
      </c>
      <c r="E415" t="s">
        <v>426</v>
      </c>
      <c r="F415" t="s"/>
      <c r="G415" t="s"/>
      <c r="H415" t="s"/>
      <c r="I415" t="s"/>
      <c r="J415" t="n">
        <v>-0.9325</v>
      </c>
      <c r="K415" t="n">
        <v>0.583</v>
      </c>
      <c r="L415" t="n">
        <v>0.417</v>
      </c>
      <c r="M415" t="n">
        <v>0</v>
      </c>
    </row>
    <row r="416" spans="1:13">
      <c r="A416" s="1">
        <f>HYPERLINK("http://www.twitter.com/NathanBLawrence/status/997261294720827392", "997261294720827392")</f>
        <v/>
      </c>
      <c r="B416" s="2" t="n">
        <v>43237.98836805556</v>
      </c>
      <c r="C416" t="n">
        <v>8</v>
      </c>
      <c r="D416" t="n">
        <v>6</v>
      </c>
      <c r="E416" t="s">
        <v>427</v>
      </c>
      <c r="F416" t="s"/>
      <c r="G416" t="s"/>
      <c r="H416" t="s"/>
      <c r="I416" t="s"/>
      <c r="J416" t="n">
        <v>0</v>
      </c>
      <c r="K416" t="n">
        <v>0</v>
      </c>
      <c r="L416" t="n">
        <v>1</v>
      </c>
      <c r="M416" t="n">
        <v>0</v>
      </c>
    </row>
    <row r="417" spans="1:13">
      <c r="A417" s="1">
        <f>HYPERLINK("http://www.twitter.com/NathanBLawrence/status/997260217078333440", "997260217078333440")</f>
        <v/>
      </c>
      <c r="B417" s="2" t="n">
        <v>43237.98539351852</v>
      </c>
      <c r="C417" t="n">
        <v>4</v>
      </c>
      <c r="D417" t="n">
        <v>0</v>
      </c>
      <c r="E417" t="s">
        <v>428</v>
      </c>
      <c r="F417" t="s"/>
      <c r="G417" t="s"/>
      <c r="H417" t="s"/>
      <c r="I417" t="s"/>
      <c r="J417" t="n">
        <v>-0.296</v>
      </c>
      <c r="K417" t="n">
        <v>0.355</v>
      </c>
      <c r="L417" t="n">
        <v>0.645</v>
      </c>
      <c r="M417" t="n">
        <v>0</v>
      </c>
    </row>
    <row r="418" spans="1:13">
      <c r="A418" s="1">
        <f>HYPERLINK("http://www.twitter.com/NathanBLawrence/status/997259849938300928", "997259849938300928")</f>
        <v/>
      </c>
      <c r="B418" s="2" t="n">
        <v>43237.98438657408</v>
      </c>
      <c r="C418" t="n">
        <v>0</v>
      </c>
      <c r="D418" t="n">
        <v>1</v>
      </c>
      <c r="E418" t="s">
        <v>429</v>
      </c>
      <c r="F418" t="s"/>
      <c r="G418" t="s"/>
      <c r="H418" t="s"/>
      <c r="I418" t="s"/>
      <c r="J418" t="n">
        <v>0.0258</v>
      </c>
      <c r="K418" t="n">
        <v>0.164</v>
      </c>
      <c r="L418" t="n">
        <v>0.667</v>
      </c>
      <c r="M418" t="n">
        <v>0.169</v>
      </c>
    </row>
    <row r="419" spans="1:13">
      <c r="A419" s="1">
        <f>HYPERLINK("http://www.twitter.com/NathanBLawrence/status/997259678701662210", "997259678701662210")</f>
        <v/>
      </c>
      <c r="B419" s="2" t="n">
        <v>43237.98391203704</v>
      </c>
      <c r="C419" t="n">
        <v>0</v>
      </c>
      <c r="D419" t="n">
        <v>5125</v>
      </c>
      <c r="E419" t="s">
        <v>430</v>
      </c>
      <c r="F419" t="s"/>
      <c r="G419" t="s"/>
      <c r="H419" t="s"/>
      <c r="I419" t="s"/>
      <c r="J419" t="n">
        <v>0.5994</v>
      </c>
      <c r="K419" t="n">
        <v>0</v>
      </c>
      <c r="L419" t="n">
        <v>0.843</v>
      </c>
      <c r="M419" t="n">
        <v>0.157</v>
      </c>
    </row>
    <row r="420" spans="1:13">
      <c r="A420" s="1">
        <f>HYPERLINK("http://www.twitter.com/NathanBLawrence/status/997254811614507008", "997254811614507008")</f>
        <v/>
      </c>
      <c r="B420" s="2" t="n">
        <v>43237.97047453704</v>
      </c>
      <c r="C420" t="n">
        <v>0</v>
      </c>
      <c r="D420" t="n">
        <v>425</v>
      </c>
      <c r="E420" t="s">
        <v>431</v>
      </c>
      <c r="F420" t="s"/>
      <c r="G420" t="s"/>
      <c r="H420" t="s"/>
      <c r="I420" t="s"/>
      <c r="J420" t="n">
        <v>-0.5859</v>
      </c>
      <c r="K420" t="n">
        <v>0.211</v>
      </c>
      <c r="L420" t="n">
        <v>0.789</v>
      </c>
      <c r="M420" t="n">
        <v>0</v>
      </c>
    </row>
    <row r="421" spans="1:13">
      <c r="A421" s="1">
        <f>HYPERLINK("http://www.twitter.com/NathanBLawrence/status/997254608878616578", "997254608878616578")</f>
        <v/>
      </c>
      <c r="B421" s="2" t="n">
        <v>43237.96991898148</v>
      </c>
      <c r="C421" t="n">
        <v>0</v>
      </c>
      <c r="D421" t="n">
        <v>132</v>
      </c>
      <c r="E421" t="s">
        <v>432</v>
      </c>
      <c r="F421" t="s"/>
      <c r="G421" t="s"/>
      <c r="H421" t="s"/>
      <c r="I421" t="s"/>
      <c r="J421" t="n">
        <v>0.128</v>
      </c>
      <c r="K421" t="n">
        <v>0</v>
      </c>
      <c r="L421" t="n">
        <v>0.927</v>
      </c>
      <c r="M421" t="n">
        <v>0.073</v>
      </c>
    </row>
    <row r="422" spans="1:13">
      <c r="A422" s="1">
        <f>HYPERLINK("http://www.twitter.com/NathanBLawrence/status/997254592864796672", "997254592864796672")</f>
        <v/>
      </c>
      <c r="B422" s="2" t="n">
        <v>43237.96987268519</v>
      </c>
      <c r="C422" t="n">
        <v>0</v>
      </c>
      <c r="D422" t="n">
        <v>722</v>
      </c>
      <c r="E422" t="s">
        <v>433</v>
      </c>
      <c r="F422" t="s"/>
      <c r="G422" t="s"/>
      <c r="H422" t="s"/>
      <c r="I422" t="s"/>
      <c r="J422" t="n">
        <v>0.3818</v>
      </c>
      <c r="K422" t="n">
        <v>0</v>
      </c>
      <c r="L422" t="n">
        <v>0.894</v>
      </c>
      <c r="M422" t="n">
        <v>0.106</v>
      </c>
    </row>
    <row r="423" spans="1:13">
      <c r="A423" s="1">
        <f>HYPERLINK("http://www.twitter.com/NathanBLawrence/status/997254294188388352", "997254294188388352")</f>
        <v/>
      </c>
      <c r="B423" s="2" t="n">
        <v>43237.96905092592</v>
      </c>
      <c r="C423" t="n">
        <v>0</v>
      </c>
      <c r="D423" t="n">
        <v>174</v>
      </c>
      <c r="E423" t="s">
        <v>434</v>
      </c>
      <c r="F423" t="s"/>
      <c r="G423" t="s"/>
      <c r="H423" t="s"/>
      <c r="I423" t="s"/>
      <c r="J423" t="n">
        <v>0.3182</v>
      </c>
      <c r="K423" t="n">
        <v>0</v>
      </c>
      <c r="L423" t="n">
        <v>0.892</v>
      </c>
      <c r="M423" t="n">
        <v>0.108</v>
      </c>
    </row>
    <row r="424" spans="1:13">
      <c r="A424" s="1">
        <f>HYPERLINK("http://www.twitter.com/NathanBLawrence/status/997254150504169472", "997254150504169472")</f>
        <v/>
      </c>
      <c r="B424" s="2" t="n">
        <v>43237.96865740741</v>
      </c>
      <c r="C424" t="n">
        <v>0</v>
      </c>
      <c r="D424" t="n">
        <v>829</v>
      </c>
      <c r="E424" t="s">
        <v>435</v>
      </c>
      <c r="F424" t="s"/>
      <c r="G424" t="s"/>
      <c r="H424" t="s"/>
      <c r="I424" t="s"/>
      <c r="J424" t="n">
        <v>0</v>
      </c>
      <c r="K424" t="n">
        <v>0</v>
      </c>
      <c r="L424" t="n">
        <v>1</v>
      </c>
      <c r="M424" t="n">
        <v>0</v>
      </c>
    </row>
    <row r="425" spans="1:13">
      <c r="A425" s="1">
        <f>HYPERLINK("http://www.twitter.com/NathanBLawrence/status/997254104551383041", "997254104551383041")</f>
        <v/>
      </c>
      <c r="B425" s="2" t="n">
        <v>43237.96853009259</v>
      </c>
      <c r="C425" t="n">
        <v>0</v>
      </c>
      <c r="D425" t="n">
        <v>311</v>
      </c>
      <c r="E425" t="s">
        <v>436</v>
      </c>
      <c r="F425" t="s"/>
      <c r="G425" t="s"/>
      <c r="H425" t="s"/>
      <c r="I425" t="s"/>
      <c r="J425" t="n">
        <v>0.6249</v>
      </c>
      <c r="K425" t="n">
        <v>0</v>
      </c>
      <c r="L425" t="n">
        <v>0.837</v>
      </c>
      <c r="M425" t="n">
        <v>0.163</v>
      </c>
    </row>
    <row r="426" spans="1:13">
      <c r="A426" s="1">
        <f>HYPERLINK("http://www.twitter.com/NathanBLawrence/status/997254041112526853", "997254041112526853")</f>
        <v/>
      </c>
      <c r="B426" s="2" t="n">
        <v>43237.96835648148</v>
      </c>
      <c r="C426" t="n">
        <v>14</v>
      </c>
      <c r="D426" t="n">
        <v>4</v>
      </c>
      <c r="E426" t="s">
        <v>437</v>
      </c>
      <c r="F426" t="s"/>
      <c r="G426" t="s"/>
      <c r="H426" t="s"/>
      <c r="I426" t="s"/>
      <c r="J426" t="n">
        <v>-0.5106000000000001</v>
      </c>
      <c r="K426" t="n">
        <v>0.355</v>
      </c>
      <c r="L426" t="n">
        <v>0.645</v>
      </c>
      <c r="M426" t="n">
        <v>0</v>
      </c>
    </row>
    <row r="427" spans="1:13">
      <c r="A427" s="1">
        <f>HYPERLINK("http://www.twitter.com/NathanBLawrence/status/997253853954244608", "997253853954244608")</f>
        <v/>
      </c>
      <c r="B427" s="2" t="n">
        <v>43237.96783564815</v>
      </c>
      <c r="C427" t="n">
        <v>0</v>
      </c>
      <c r="D427" t="n">
        <v>2284</v>
      </c>
      <c r="E427" t="s">
        <v>438</v>
      </c>
      <c r="F427" t="s"/>
      <c r="G427" t="s"/>
      <c r="H427" t="s"/>
      <c r="I427" t="s"/>
      <c r="J427" t="n">
        <v>-0.3818</v>
      </c>
      <c r="K427" t="n">
        <v>0.102</v>
      </c>
      <c r="L427" t="n">
        <v>0.898</v>
      </c>
      <c r="M427" t="n">
        <v>0</v>
      </c>
    </row>
    <row r="428" spans="1:13">
      <c r="A428" s="1">
        <f>HYPERLINK("http://www.twitter.com/NathanBLawrence/status/997253781174665216", "997253781174665216")</f>
        <v/>
      </c>
      <c r="B428" s="2" t="n">
        <v>43237.96763888889</v>
      </c>
      <c r="C428" t="n">
        <v>0</v>
      </c>
      <c r="D428" t="n">
        <v>517</v>
      </c>
      <c r="E428" t="s">
        <v>439</v>
      </c>
      <c r="F428" t="s"/>
      <c r="G428" t="s"/>
      <c r="H428" t="s"/>
      <c r="I428" t="s"/>
      <c r="J428" t="n">
        <v>0</v>
      </c>
      <c r="K428" t="n">
        <v>0</v>
      </c>
      <c r="L428" t="n">
        <v>1</v>
      </c>
      <c r="M428" t="n">
        <v>0</v>
      </c>
    </row>
    <row r="429" spans="1:13">
      <c r="A429" s="1">
        <f>HYPERLINK("http://www.twitter.com/NathanBLawrence/status/997253736060805122", "997253736060805122")</f>
        <v/>
      </c>
      <c r="B429" s="2" t="n">
        <v>43237.96751157408</v>
      </c>
      <c r="C429" t="n">
        <v>0</v>
      </c>
      <c r="D429" t="n">
        <v>16783</v>
      </c>
      <c r="E429" t="s">
        <v>440</v>
      </c>
      <c r="F429" t="s"/>
      <c r="G429" t="s"/>
      <c r="H429" t="s"/>
      <c r="I429" t="s"/>
      <c r="J429" t="n">
        <v>-0.765</v>
      </c>
      <c r="K429" t="n">
        <v>0.258</v>
      </c>
      <c r="L429" t="n">
        <v>0.742</v>
      </c>
      <c r="M429" t="n">
        <v>0</v>
      </c>
    </row>
    <row r="430" spans="1:13">
      <c r="A430" s="1">
        <f>HYPERLINK("http://www.twitter.com/NathanBLawrence/status/997253257926881280", "997253257926881280")</f>
        <v/>
      </c>
      <c r="B430" s="2" t="n">
        <v>43237.96619212963</v>
      </c>
      <c r="C430" t="n">
        <v>0</v>
      </c>
      <c r="D430" t="n">
        <v>6673</v>
      </c>
      <c r="E430" t="s">
        <v>441</v>
      </c>
      <c r="F430" t="s"/>
      <c r="G430" t="s"/>
      <c r="H430" t="s"/>
      <c r="I430" t="s"/>
      <c r="J430" t="n">
        <v>0</v>
      </c>
      <c r="K430" t="n">
        <v>0</v>
      </c>
      <c r="L430" t="n">
        <v>1</v>
      </c>
      <c r="M430" t="n">
        <v>0</v>
      </c>
    </row>
    <row r="431" spans="1:13">
      <c r="A431" s="1">
        <f>HYPERLINK("http://www.twitter.com/NathanBLawrence/status/997253175613669377", "997253175613669377")</f>
        <v/>
      </c>
      <c r="B431" s="2" t="n">
        <v>43237.96596064815</v>
      </c>
      <c r="C431" t="n">
        <v>0</v>
      </c>
      <c r="D431" t="n">
        <v>4391</v>
      </c>
      <c r="E431" t="s">
        <v>442</v>
      </c>
      <c r="F431" t="s"/>
      <c r="G431" t="s"/>
      <c r="H431" t="s"/>
      <c r="I431" t="s"/>
      <c r="J431" t="n">
        <v>0</v>
      </c>
      <c r="K431" t="n">
        <v>0</v>
      </c>
      <c r="L431" t="n">
        <v>1</v>
      </c>
      <c r="M431" t="n">
        <v>0</v>
      </c>
    </row>
    <row r="432" spans="1:13">
      <c r="A432" s="1">
        <f>HYPERLINK("http://www.twitter.com/NathanBLawrence/status/997253052460548096", "997253052460548096")</f>
        <v/>
      </c>
      <c r="B432" s="2" t="n">
        <v>43237.965625</v>
      </c>
      <c r="C432" t="n">
        <v>0</v>
      </c>
      <c r="D432" t="n">
        <v>3064</v>
      </c>
      <c r="E432" t="s">
        <v>443</v>
      </c>
      <c r="F432" t="s"/>
      <c r="G432" t="s"/>
      <c r="H432" t="s"/>
      <c r="I432" t="s"/>
      <c r="J432" t="n">
        <v>-0.4588</v>
      </c>
      <c r="K432" t="n">
        <v>0.125</v>
      </c>
      <c r="L432" t="n">
        <v>0.875</v>
      </c>
      <c r="M432" t="n">
        <v>0</v>
      </c>
    </row>
    <row r="433" spans="1:13">
      <c r="A433" s="1">
        <f>HYPERLINK("http://www.twitter.com/NathanBLawrence/status/997252879885918208", "997252879885918208")</f>
        <v/>
      </c>
      <c r="B433" s="2" t="n">
        <v>43237.96515046297</v>
      </c>
      <c r="C433" t="n">
        <v>0</v>
      </c>
      <c r="D433" t="n">
        <v>4873</v>
      </c>
      <c r="E433" t="s">
        <v>444</v>
      </c>
      <c r="F433" t="s"/>
      <c r="G433" t="s"/>
      <c r="H433" t="s"/>
      <c r="I433" t="s"/>
      <c r="J433" t="n">
        <v>-0.4404</v>
      </c>
      <c r="K433" t="n">
        <v>0.116</v>
      </c>
      <c r="L433" t="n">
        <v>0.884</v>
      </c>
      <c r="M433" t="n">
        <v>0</v>
      </c>
    </row>
    <row r="434" spans="1:13">
      <c r="A434" s="1">
        <f>HYPERLINK("http://www.twitter.com/NathanBLawrence/status/997252796406628352", "997252796406628352")</f>
        <v/>
      </c>
      <c r="B434" s="2" t="n">
        <v>43237.96491898148</v>
      </c>
      <c r="C434" t="n">
        <v>0</v>
      </c>
      <c r="D434" t="n">
        <v>846</v>
      </c>
      <c r="E434" t="s">
        <v>445</v>
      </c>
      <c r="F434" t="s"/>
      <c r="G434" t="s"/>
      <c r="H434" t="s"/>
      <c r="I434" t="s"/>
      <c r="J434" t="n">
        <v>-0.5266999999999999</v>
      </c>
      <c r="K434" t="n">
        <v>0.139</v>
      </c>
      <c r="L434" t="n">
        <v>0.861</v>
      </c>
      <c r="M434" t="n">
        <v>0</v>
      </c>
    </row>
    <row r="435" spans="1:13">
      <c r="A435" s="1">
        <f>HYPERLINK("http://www.twitter.com/NathanBLawrence/status/997252702089302023", "997252702089302023")</f>
        <v/>
      </c>
      <c r="B435" s="2" t="n">
        <v>43237.96465277778</v>
      </c>
      <c r="C435" t="n">
        <v>0</v>
      </c>
      <c r="D435" t="n">
        <v>998</v>
      </c>
      <c r="E435" t="s">
        <v>446</v>
      </c>
      <c r="F435" t="s"/>
      <c r="G435" t="s"/>
      <c r="H435" t="s"/>
      <c r="I435" t="s"/>
      <c r="J435" t="n">
        <v>0.5574</v>
      </c>
      <c r="K435" t="n">
        <v>0</v>
      </c>
      <c r="L435" t="n">
        <v>0.841</v>
      </c>
      <c r="M435" t="n">
        <v>0.159</v>
      </c>
    </row>
    <row r="436" spans="1:13">
      <c r="A436" s="1">
        <f>HYPERLINK("http://www.twitter.com/NathanBLawrence/status/997252572468592640", "997252572468592640")</f>
        <v/>
      </c>
      <c r="B436" s="2" t="n">
        <v>43237.96429398148</v>
      </c>
      <c r="C436" t="n">
        <v>0</v>
      </c>
      <c r="D436" t="n">
        <v>3911</v>
      </c>
      <c r="E436" t="s">
        <v>447</v>
      </c>
      <c r="F436" t="s"/>
      <c r="G436" t="s"/>
      <c r="H436" t="s"/>
      <c r="I436" t="s"/>
      <c r="J436" t="n">
        <v>-0.296</v>
      </c>
      <c r="K436" t="n">
        <v>0.08400000000000001</v>
      </c>
      <c r="L436" t="n">
        <v>0.916</v>
      </c>
      <c r="M436" t="n">
        <v>0</v>
      </c>
    </row>
    <row r="437" spans="1:13">
      <c r="A437" s="1">
        <f>HYPERLINK("http://www.twitter.com/NathanBLawrence/status/997252545553645568", "997252545553645568")</f>
        <v/>
      </c>
      <c r="B437" s="2" t="n">
        <v>43237.96422453703</v>
      </c>
      <c r="C437" t="n">
        <v>0</v>
      </c>
      <c r="D437" t="n">
        <v>1106</v>
      </c>
      <c r="E437" t="s">
        <v>448</v>
      </c>
      <c r="F437" t="s"/>
      <c r="G437" t="s"/>
      <c r="H437" t="s"/>
      <c r="I437" t="s"/>
      <c r="J437" t="n">
        <v>0</v>
      </c>
      <c r="K437" t="n">
        <v>0</v>
      </c>
      <c r="L437" t="n">
        <v>1</v>
      </c>
      <c r="M437" t="n">
        <v>0</v>
      </c>
    </row>
    <row r="438" spans="1:13">
      <c r="A438" s="1">
        <f>HYPERLINK("http://www.twitter.com/NathanBLawrence/status/997252140509745152", "997252140509745152")</f>
        <v/>
      </c>
      <c r="B438" s="2" t="n">
        <v>43237.96311342593</v>
      </c>
      <c r="C438" t="n">
        <v>0</v>
      </c>
      <c r="D438" t="n">
        <v>580</v>
      </c>
      <c r="E438" t="s">
        <v>449</v>
      </c>
      <c r="F438" t="s"/>
      <c r="G438" t="s"/>
      <c r="H438" t="s"/>
      <c r="I438" t="s"/>
      <c r="J438" t="n">
        <v>-0.7876</v>
      </c>
      <c r="K438" t="n">
        <v>0.248</v>
      </c>
      <c r="L438" t="n">
        <v>0.752</v>
      </c>
      <c r="M438" t="n">
        <v>0</v>
      </c>
    </row>
    <row r="439" spans="1:13">
      <c r="A439" s="1">
        <f>HYPERLINK("http://www.twitter.com/NathanBLawrence/status/997252090748485632", "997252090748485632")</f>
        <v/>
      </c>
      <c r="B439" s="2" t="n">
        <v>43237.96297453704</v>
      </c>
      <c r="C439" t="n">
        <v>0</v>
      </c>
      <c r="D439" t="n">
        <v>35</v>
      </c>
      <c r="E439" t="s">
        <v>450</v>
      </c>
      <c r="F439" t="s"/>
      <c r="G439" t="s"/>
      <c r="H439" t="s"/>
      <c r="I439" t="s"/>
      <c r="J439" t="n">
        <v>-0.6124000000000001</v>
      </c>
      <c r="K439" t="n">
        <v>0.16</v>
      </c>
      <c r="L439" t="n">
        <v>0.84</v>
      </c>
      <c r="M439" t="n">
        <v>0</v>
      </c>
    </row>
    <row r="440" spans="1:13">
      <c r="A440" s="1">
        <f>HYPERLINK("http://www.twitter.com/NathanBLawrence/status/997252029213896707", "997252029213896707")</f>
        <v/>
      </c>
      <c r="B440" s="2" t="n">
        <v>43237.96280092592</v>
      </c>
      <c r="C440" t="n">
        <v>0</v>
      </c>
      <c r="D440" t="n">
        <v>5</v>
      </c>
      <c r="E440" t="s">
        <v>451</v>
      </c>
      <c r="F440" t="s"/>
      <c r="G440" t="s"/>
      <c r="H440" t="s"/>
      <c r="I440" t="s"/>
      <c r="J440" t="n">
        <v>0</v>
      </c>
      <c r="K440" t="n">
        <v>0</v>
      </c>
      <c r="L440" t="n">
        <v>1</v>
      </c>
      <c r="M440" t="n">
        <v>0</v>
      </c>
    </row>
    <row r="441" spans="1:13">
      <c r="A441" s="1">
        <f>HYPERLINK("http://www.twitter.com/NathanBLawrence/status/997250981409775617", "997250981409775617")</f>
        <v/>
      </c>
      <c r="B441" s="2" t="n">
        <v>43237.95990740741</v>
      </c>
      <c r="C441" t="n">
        <v>6</v>
      </c>
      <c r="D441" t="n">
        <v>2</v>
      </c>
      <c r="E441" t="s">
        <v>452</v>
      </c>
      <c r="F441" t="s"/>
      <c r="G441" t="s"/>
      <c r="H441" t="s"/>
      <c r="I441" t="s"/>
      <c r="J441" t="n">
        <v>0.3382</v>
      </c>
      <c r="K441" t="n">
        <v>0.097</v>
      </c>
      <c r="L441" t="n">
        <v>0.72</v>
      </c>
      <c r="M441" t="n">
        <v>0.183</v>
      </c>
    </row>
    <row r="442" spans="1:13">
      <c r="A442" s="1">
        <f>HYPERLINK("http://www.twitter.com/NathanBLawrence/status/997250571559100416", "997250571559100416")</f>
        <v/>
      </c>
      <c r="B442" s="2" t="n">
        <v>43237.95877314815</v>
      </c>
      <c r="C442" t="n">
        <v>4</v>
      </c>
      <c r="D442" t="n">
        <v>2</v>
      </c>
      <c r="E442" t="s">
        <v>453</v>
      </c>
      <c r="F442" t="s"/>
      <c r="G442" t="s"/>
      <c r="H442" t="s"/>
      <c r="I442" t="s"/>
      <c r="J442" t="n">
        <v>-0.5423</v>
      </c>
      <c r="K442" t="n">
        <v>0.136</v>
      </c>
      <c r="L442" t="n">
        <v>0.8080000000000001</v>
      </c>
      <c r="M442" t="n">
        <v>0.055</v>
      </c>
    </row>
    <row r="443" spans="1:13">
      <c r="A443" s="1">
        <f>HYPERLINK("http://www.twitter.com/NathanBLawrence/status/997245856599306241", "997245856599306241")</f>
        <v/>
      </c>
      <c r="B443" s="2" t="n">
        <v>43237.94576388889</v>
      </c>
      <c r="C443" t="n">
        <v>2</v>
      </c>
      <c r="D443" t="n">
        <v>0</v>
      </c>
      <c r="E443" t="s">
        <v>454</v>
      </c>
      <c r="F443" t="s"/>
      <c r="G443" t="s"/>
      <c r="H443" t="s"/>
      <c r="I443" t="s"/>
      <c r="J443" t="n">
        <v>0</v>
      </c>
      <c r="K443" t="n">
        <v>0</v>
      </c>
      <c r="L443" t="n">
        <v>1</v>
      </c>
      <c r="M443" t="n">
        <v>0</v>
      </c>
    </row>
    <row r="444" spans="1:13">
      <c r="A444" s="1">
        <f>HYPERLINK("http://www.twitter.com/NathanBLawrence/status/997242261304836096", "997242261304836096")</f>
        <v/>
      </c>
      <c r="B444" s="2" t="n">
        <v>43237.93584490741</v>
      </c>
      <c r="C444" t="n">
        <v>3</v>
      </c>
      <c r="D444" t="n">
        <v>1</v>
      </c>
      <c r="E444" t="s">
        <v>455</v>
      </c>
      <c r="F444" t="s"/>
      <c r="G444" t="s"/>
      <c r="H444" t="s"/>
      <c r="I444" t="s"/>
      <c r="J444" t="n">
        <v>-0.2023</v>
      </c>
      <c r="K444" t="n">
        <v>0.075</v>
      </c>
      <c r="L444" t="n">
        <v>0.87</v>
      </c>
      <c r="M444" t="n">
        <v>0.056</v>
      </c>
    </row>
    <row r="445" spans="1:13">
      <c r="A445" s="1">
        <f>HYPERLINK("http://www.twitter.com/NathanBLawrence/status/997241216327532544", "997241216327532544")</f>
        <v/>
      </c>
      <c r="B445" s="2" t="n">
        <v>43237.93296296296</v>
      </c>
      <c r="C445" t="n">
        <v>1</v>
      </c>
      <c r="D445" t="n">
        <v>0</v>
      </c>
      <c r="E445" t="s">
        <v>456</v>
      </c>
      <c r="F445" t="s"/>
      <c r="G445" t="s"/>
      <c r="H445" t="s"/>
      <c r="I445" t="s"/>
      <c r="J445" t="n">
        <v>0</v>
      </c>
      <c r="K445" t="n">
        <v>0</v>
      </c>
      <c r="L445" t="n">
        <v>1</v>
      </c>
      <c r="M445" t="n">
        <v>0</v>
      </c>
    </row>
    <row r="446" spans="1:13">
      <c r="A446" s="1">
        <f>HYPERLINK("http://www.twitter.com/NathanBLawrence/status/997241123541172224", "997241123541172224")</f>
        <v/>
      </c>
      <c r="B446" s="2" t="n">
        <v>43237.93270833333</v>
      </c>
      <c r="C446" t="n">
        <v>3</v>
      </c>
      <c r="D446" t="n">
        <v>0</v>
      </c>
      <c r="E446" t="s">
        <v>457</v>
      </c>
      <c r="F446" t="s"/>
      <c r="G446" t="s"/>
      <c r="H446" t="s"/>
      <c r="I446" t="s"/>
      <c r="J446" t="n">
        <v>-0.784</v>
      </c>
      <c r="K446" t="n">
        <v>0.243</v>
      </c>
      <c r="L446" t="n">
        <v>0.658</v>
      </c>
      <c r="M446" t="n">
        <v>0.099</v>
      </c>
    </row>
    <row r="447" spans="1:13">
      <c r="A447" s="1">
        <f>HYPERLINK("http://www.twitter.com/NathanBLawrence/status/997238702538604545", "997238702538604545")</f>
        <v/>
      </c>
      <c r="B447" s="2" t="n">
        <v>43237.9260300926</v>
      </c>
      <c r="C447" t="n">
        <v>5</v>
      </c>
      <c r="D447" t="n">
        <v>1</v>
      </c>
      <c r="E447" t="s">
        <v>458</v>
      </c>
      <c r="F447" t="s"/>
      <c r="G447" t="s"/>
      <c r="H447" t="s"/>
      <c r="I447" t="s"/>
      <c r="J447" t="n">
        <v>0</v>
      </c>
      <c r="K447" t="n">
        <v>0</v>
      </c>
      <c r="L447" t="n">
        <v>1</v>
      </c>
      <c r="M447" t="n">
        <v>0</v>
      </c>
    </row>
    <row r="448" spans="1:13">
      <c r="A448" s="1">
        <f>HYPERLINK("http://www.twitter.com/NathanBLawrence/status/997238613434818561", "997238613434818561")</f>
        <v/>
      </c>
      <c r="B448" s="2" t="n">
        <v>43237.92577546297</v>
      </c>
      <c r="C448" t="n">
        <v>5</v>
      </c>
      <c r="D448" t="n">
        <v>2</v>
      </c>
      <c r="E448" t="s">
        <v>459</v>
      </c>
      <c r="F448" t="s"/>
      <c r="G448" t="s"/>
      <c r="H448" t="s"/>
      <c r="I448" t="s"/>
      <c r="J448" t="n">
        <v>0</v>
      </c>
      <c r="K448" t="n">
        <v>0</v>
      </c>
      <c r="L448" t="n">
        <v>1</v>
      </c>
      <c r="M448" t="n">
        <v>0</v>
      </c>
    </row>
    <row r="449" spans="1:13">
      <c r="A449" s="1">
        <f>HYPERLINK("http://www.twitter.com/NathanBLawrence/status/997238382156701696", "997238382156701696")</f>
        <v/>
      </c>
      <c r="B449" s="2" t="n">
        <v>43237.92513888889</v>
      </c>
      <c r="C449" t="n">
        <v>3</v>
      </c>
      <c r="D449" t="n">
        <v>2</v>
      </c>
      <c r="E449" t="s">
        <v>460</v>
      </c>
      <c r="F449" t="s"/>
      <c r="G449" t="s"/>
      <c r="H449" t="s"/>
      <c r="I449" t="s"/>
      <c r="J449" t="n">
        <v>-0.0516</v>
      </c>
      <c r="K449" t="n">
        <v>0.11</v>
      </c>
      <c r="L449" t="n">
        <v>0.755</v>
      </c>
      <c r="M449" t="n">
        <v>0.135</v>
      </c>
    </row>
    <row r="450" spans="1:13">
      <c r="A450" s="1">
        <f>HYPERLINK("http://www.twitter.com/NathanBLawrence/status/997238065096609792", "997238065096609792")</f>
        <v/>
      </c>
      <c r="B450" s="2" t="n">
        <v>43237.92427083333</v>
      </c>
      <c r="C450" t="n">
        <v>3</v>
      </c>
      <c r="D450" t="n">
        <v>3</v>
      </c>
      <c r="E450" t="s">
        <v>461</v>
      </c>
      <c r="F450" t="s"/>
      <c r="G450" t="s"/>
      <c r="H450" t="s"/>
      <c r="I450" t="s"/>
      <c r="J450" t="n">
        <v>0.4003</v>
      </c>
      <c r="K450" t="n">
        <v>0.15</v>
      </c>
      <c r="L450" t="n">
        <v>0.589</v>
      </c>
      <c r="M450" t="n">
        <v>0.261</v>
      </c>
    </row>
    <row r="451" spans="1:13">
      <c r="A451" s="1">
        <f>HYPERLINK("http://www.twitter.com/NathanBLawrence/status/997237537662844929", "997237537662844929")</f>
        <v/>
      </c>
      <c r="B451" s="2" t="n">
        <v>43237.9228125</v>
      </c>
      <c r="C451" t="n">
        <v>3</v>
      </c>
      <c r="D451" t="n">
        <v>1</v>
      </c>
      <c r="E451" t="s">
        <v>462</v>
      </c>
      <c r="F451" t="s"/>
      <c r="G451" t="s"/>
      <c r="H451" t="s"/>
      <c r="I451" t="s"/>
      <c r="J451" t="n">
        <v>0.4201</v>
      </c>
      <c r="K451" t="n">
        <v>0</v>
      </c>
      <c r="L451" t="n">
        <v>0.715</v>
      </c>
      <c r="M451" t="n">
        <v>0.285</v>
      </c>
    </row>
    <row r="452" spans="1:13">
      <c r="A452" s="1">
        <f>HYPERLINK("http://www.twitter.com/NathanBLawrence/status/997235229856182272", "997235229856182272")</f>
        <v/>
      </c>
      <c r="B452" s="2" t="n">
        <v>43237.91644675926</v>
      </c>
      <c r="C452" t="n">
        <v>10</v>
      </c>
      <c r="D452" t="n">
        <v>2</v>
      </c>
      <c r="E452" t="s">
        <v>463</v>
      </c>
      <c r="F452" t="s"/>
      <c r="G452" t="s"/>
      <c r="H452" t="s"/>
      <c r="I452" t="s"/>
      <c r="J452" t="n">
        <v>0</v>
      </c>
      <c r="K452" t="n">
        <v>0</v>
      </c>
      <c r="L452" t="n">
        <v>1</v>
      </c>
      <c r="M452" t="n">
        <v>0</v>
      </c>
    </row>
    <row r="453" spans="1:13">
      <c r="A453" s="1">
        <f>HYPERLINK("http://www.twitter.com/NathanBLawrence/status/997234657702760449", "997234657702760449")</f>
        <v/>
      </c>
      <c r="B453" s="2" t="n">
        <v>43237.91486111111</v>
      </c>
      <c r="C453" t="n">
        <v>10</v>
      </c>
      <c r="D453" t="n">
        <v>6</v>
      </c>
      <c r="E453" t="s">
        <v>464</v>
      </c>
      <c r="F453" t="s"/>
      <c r="G453" t="s"/>
      <c r="H453" t="s"/>
      <c r="I453" t="s"/>
      <c r="J453" t="n">
        <v>-0.7685</v>
      </c>
      <c r="K453" t="n">
        <v>0.247</v>
      </c>
      <c r="L453" t="n">
        <v>0.626</v>
      </c>
      <c r="M453" t="n">
        <v>0.128</v>
      </c>
    </row>
    <row r="454" spans="1:13">
      <c r="A454" s="1">
        <f>HYPERLINK("http://www.twitter.com/NathanBLawrence/status/997231872609419264", "997231872609419264")</f>
        <v/>
      </c>
      <c r="B454" s="2" t="n">
        <v>43237.90717592592</v>
      </c>
      <c r="C454" t="n">
        <v>6</v>
      </c>
      <c r="D454" t="n">
        <v>1</v>
      </c>
      <c r="E454" t="s">
        <v>465</v>
      </c>
      <c r="F454" t="s"/>
      <c r="G454" t="s"/>
      <c r="H454" t="s"/>
      <c r="I454" t="s"/>
      <c r="J454" t="n">
        <v>-0.5377999999999999</v>
      </c>
      <c r="K454" t="n">
        <v>0.366</v>
      </c>
      <c r="L454" t="n">
        <v>0.634</v>
      </c>
      <c r="M454" t="n">
        <v>0</v>
      </c>
    </row>
    <row r="455" spans="1:13">
      <c r="A455" s="1">
        <f>HYPERLINK("http://www.twitter.com/NathanBLawrence/status/997231716552003584", "997231716552003584")</f>
        <v/>
      </c>
      <c r="B455" s="2" t="n">
        <v>43237.90674768519</v>
      </c>
      <c r="C455" t="n">
        <v>9</v>
      </c>
      <c r="D455" t="n">
        <v>6</v>
      </c>
      <c r="E455" t="s">
        <v>466</v>
      </c>
      <c r="F455" t="s"/>
      <c r="G455" t="s"/>
      <c r="H455" t="s"/>
      <c r="I455" t="s"/>
      <c r="J455" t="n">
        <v>-0.8973</v>
      </c>
      <c r="K455" t="n">
        <v>0.357</v>
      </c>
      <c r="L455" t="n">
        <v>0.5679999999999999</v>
      </c>
      <c r="M455" t="n">
        <v>0.076</v>
      </c>
    </row>
    <row r="456" spans="1:13">
      <c r="A456" s="1">
        <f>HYPERLINK("http://www.twitter.com/NathanBLawrence/status/997231232952844288", "997231232952844288")</f>
        <v/>
      </c>
      <c r="B456" s="2" t="n">
        <v>43237.90541666667</v>
      </c>
      <c r="C456" t="n">
        <v>6</v>
      </c>
      <c r="D456" t="n">
        <v>4</v>
      </c>
      <c r="E456" t="s">
        <v>467</v>
      </c>
      <c r="F456" t="s"/>
      <c r="G456" t="s"/>
      <c r="H456" t="s"/>
      <c r="I456" t="s"/>
      <c r="J456" t="n">
        <v>0.5423</v>
      </c>
      <c r="K456" t="n">
        <v>0.079</v>
      </c>
      <c r="L456" t="n">
        <v>0.726</v>
      </c>
      <c r="M456" t="n">
        <v>0.195</v>
      </c>
    </row>
    <row r="457" spans="1:13">
      <c r="A457" s="1">
        <f>HYPERLINK("http://www.twitter.com/NathanBLawrence/status/997230796984410112", "997230796984410112")</f>
        <v/>
      </c>
      <c r="B457" s="2" t="n">
        <v>43237.90421296296</v>
      </c>
      <c r="C457" t="n">
        <v>5</v>
      </c>
      <c r="D457" t="n">
        <v>1</v>
      </c>
      <c r="E457" t="s">
        <v>468</v>
      </c>
      <c r="F457" t="s"/>
      <c r="G457" t="s"/>
      <c r="H457" t="s"/>
      <c r="I457" t="s"/>
      <c r="J457" t="n">
        <v>0.0772</v>
      </c>
      <c r="K457" t="n">
        <v>0.082</v>
      </c>
      <c r="L457" t="n">
        <v>0.821</v>
      </c>
      <c r="M457" t="n">
        <v>0.097</v>
      </c>
    </row>
    <row r="458" spans="1:13">
      <c r="A458" s="1">
        <f>HYPERLINK("http://www.twitter.com/NathanBLawrence/status/997230072619679744", "997230072619679744")</f>
        <v/>
      </c>
      <c r="B458" s="2" t="n">
        <v>43237.90221064815</v>
      </c>
      <c r="C458" t="n">
        <v>4</v>
      </c>
      <c r="D458" t="n">
        <v>2</v>
      </c>
      <c r="E458" t="s">
        <v>469</v>
      </c>
      <c r="F458" t="s"/>
      <c r="G458" t="s"/>
      <c r="H458" t="s"/>
      <c r="I458" t="s"/>
      <c r="J458" t="n">
        <v>0.4939</v>
      </c>
      <c r="K458" t="n">
        <v>0</v>
      </c>
      <c r="L458" t="n">
        <v>0.842</v>
      </c>
      <c r="M458" t="n">
        <v>0.158</v>
      </c>
    </row>
    <row r="459" spans="1:13">
      <c r="A459" s="1">
        <f>HYPERLINK("http://www.twitter.com/NathanBLawrence/status/997229928742469632", "997229928742469632")</f>
        <v/>
      </c>
      <c r="B459" s="2" t="n">
        <v>43237.90181712963</v>
      </c>
      <c r="C459" t="n">
        <v>3</v>
      </c>
      <c r="D459" t="n">
        <v>0</v>
      </c>
      <c r="E459" t="s">
        <v>470</v>
      </c>
      <c r="F459" t="s"/>
      <c r="G459" t="s"/>
      <c r="H459" t="s"/>
      <c r="I459" t="s"/>
      <c r="J459" t="n">
        <v>0</v>
      </c>
      <c r="K459" t="n">
        <v>0</v>
      </c>
      <c r="L459" t="n">
        <v>1</v>
      </c>
      <c r="M459" t="n">
        <v>0</v>
      </c>
    </row>
    <row r="460" spans="1:13">
      <c r="A460" s="1">
        <f>HYPERLINK("http://www.twitter.com/NathanBLawrence/status/997229570557296640", "997229570557296640")</f>
        <v/>
      </c>
      <c r="B460" s="2" t="n">
        <v>43237.90082175926</v>
      </c>
      <c r="C460" t="n">
        <v>1</v>
      </c>
      <c r="D460" t="n">
        <v>0</v>
      </c>
      <c r="E460" t="s">
        <v>471</v>
      </c>
      <c r="F460" t="s"/>
      <c r="G460" t="s"/>
      <c r="H460" t="s"/>
      <c r="I460" t="s"/>
      <c r="J460" t="n">
        <v>0</v>
      </c>
      <c r="K460" t="n">
        <v>0</v>
      </c>
      <c r="L460" t="n">
        <v>1</v>
      </c>
      <c r="M460" t="n">
        <v>0</v>
      </c>
    </row>
    <row r="461" spans="1:13">
      <c r="A461" s="1">
        <f>HYPERLINK("http://www.twitter.com/NathanBLawrence/status/997229239609868290", "997229239609868290")</f>
        <v/>
      </c>
      <c r="B461" s="2" t="n">
        <v>43237.89991898148</v>
      </c>
      <c r="C461" t="n">
        <v>1</v>
      </c>
      <c r="D461" t="n">
        <v>0</v>
      </c>
      <c r="E461" t="s">
        <v>472</v>
      </c>
      <c r="F461" t="s"/>
      <c r="G461" t="s"/>
      <c r="H461" t="s"/>
      <c r="I461" t="s"/>
      <c r="J461" t="n">
        <v>0.6124000000000001</v>
      </c>
      <c r="K461" t="n">
        <v>0</v>
      </c>
      <c r="L461" t="n">
        <v>0.333</v>
      </c>
      <c r="M461" t="n">
        <v>0.667</v>
      </c>
    </row>
    <row r="462" spans="1:13">
      <c r="A462" s="1">
        <f>HYPERLINK("http://www.twitter.com/NathanBLawrence/status/997228955814969344", "997228955814969344")</f>
        <v/>
      </c>
      <c r="B462" s="2" t="n">
        <v>43237.89913194445</v>
      </c>
      <c r="C462" t="n">
        <v>12</v>
      </c>
      <c r="D462" t="n">
        <v>5</v>
      </c>
      <c r="E462" t="s">
        <v>473</v>
      </c>
      <c r="F462" t="s"/>
      <c r="G462" t="s"/>
      <c r="H462" t="s"/>
      <c r="I462" t="s"/>
      <c r="J462" t="n">
        <v>-0.8823</v>
      </c>
      <c r="K462" t="n">
        <v>0.354</v>
      </c>
      <c r="L462" t="n">
        <v>0.523</v>
      </c>
      <c r="M462" t="n">
        <v>0.123</v>
      </c>
    </row>
    <row r="463" spans="1:13">
      <c r="A463" s="1">
        <f>HYPERLINK("http://www.twitter.com/NathanBLawrence/status/997228603824787456", "997228603824787456")</f>
        <v/>
      </c>
      <c r="B463" s="2" t="n">
        <v>43237.89815972222</v>
      </c>
      <c r="C463" t="n">
        <v>4</v>
      </c>
      <c r="D463" t="n">
        <v>2</v>
      </c>
      <c r="E463" t="s">
        <v>474</v>
      </c>
      <c r="F463" t="s"/>
      <c r="G463" t="s"/>
      <c r="H463" t="s"/>
      <c r="I463" t="s"/>
      <c r="J463" t="n">
        <v>-0.4717</v>
      </c>
      <c r="K463" t="n">
        <v>0.099</v>
      </c>
      <c r="L463" t="n">
        <v>0.901</v>
      </c>
      <c r="M463" t="n">
        <v>0</v>
      </c>
    </row>
    <row r="464" spans="1:13">
      <c r="A464" s="1">
        <f>HYPERLINK("http://www.twitter.com/NathanBLawrence/status/997228233010462720", "997228233010462720")</f>
        <v/>
      </c>
      <c r="B464" s="2" t="n">
        <v>43237.89714120371</v>
      </c>
      <c r="C464" t="n">
        <v>6</v>
      </c>
      <c r="D464" t="n">
        <v>3</v>
      </c>
      <c r="E464" t="s">
        <v>475</v>
      </c>
      <c r="F464" t="s"/>
      <c r="G464" t="s"/>
      <c r="H464" t="s"/>
      <c r="I464" t="s"/>
      <c r="J464" t="n">
        <v>0</v>
      </c>
      <c r="K464" t="n">
        <v>0</v>
      </c>
      <c r="L464" t="n">
        <v>1</v>
      </c>
      <c r="M464" t="n">
        <v>0</v>
      </c>
    </row>
    <row r="465" spans="1:13">
      <c r="A465" s="1">
        <f>HYPERLINK("http://www.twitter.com/NathanBLawrence/status/997228080660807680", "997228080660807680")</f>
        <v/>
      </c>
      <c r="B465" s="2" t="n">
        <v>43237.89671296296</v>
      </c>
      <c r="C465" t="n">
        <v>0</v>
      </c>
      <c r="D465" t="n">
        <v>6</v>
      </c>
      <c r="E465" t="s">
        <v>476</v>
      </c>
      <c r="F465" t="s"/>
      <c r="G465" t="s"/>
      <c r="H465" t="s"/>
      <c r="I465" t="s"/>
      <c r="J465" t="n">
        <v>-0.7553</v>
      </c>
      <c r="K465" t="n">
        <v>0.34</v>
      </c>
      <c r="L465" t="n">
        <v>0.499</v>
      </c>
      <c r="M465" t="n">
        <v>0.161</v>
      </c>
    </row>
    <row r="466" spans="1:13">
      <c r="A466" s="1">
        <f>HYPERLINK("http://www.twitter.com/NathanBLawrence/status/997227333030301696", "997227333030301696")</f>
        <v/>
      </c>
      <c r="B466" s="2" t="n">
        <v>43237.89465277778</v>
      </c>
      <c r="C466" t="n">
        <v>7</v>
      </c>
      <c r="D466" t="n">
        <v>2</v>
      </c>
      <c r="E466" t="s">
        <v>477</v>
      </c>
      <c r="F466" t="s"/>
      <c r="G466" t="s"/>
      <c r="H466" t="s"/>
      <c r="I466" t="s"/>
      <c r="J466" t="n">
        <v>0.3382</v>
      </c>
      <c r="K466" t="n">
        <v>0.08500000000000001</v>
      </c>
      <c r="L466" t="n">
        <v>0.741</v>
      </c>
      <c r="M466" t="n">
        <v>0.174</v>
      </c>
    </row>
    <row r="467" spans="1:13">
      <c r="A467" s="1">
        <f>HYPERLINK("http://www.twitter.com/NathanBLawrence/status/997206520784801792", "997206520784801792")</f>
        <v/>
      </c>
      <c r="B467" s="2" t="n">
        <v>43237.83722222222</v>
      </c>
      <c r="C467" t="n">
        <v>0</v>
      </c>
      <c r="D467" t="n">
        <v>1443</v>
      </c>
      <c r="E467" t="s">
        <v>478</v>
      </c>
      <c r="F467">
        <f>HYPERLINK("https://video.twimg.com/ext_tw_video/996999731854364672/pu/vid/720x720/w2Lb7vsBknVnYTx1.mp4?tag=3", "https://video.twimg.com/ext_tw_video/996999731854364672/pu/vid/720x720/w2Lb7vsBknVnYTx1.mp4?tag=3")</f>
        <v/>
      </c>
      <c r="G467" t="s"/>
      <c r="H467" t="s"/>
      <c r="I467" t="s"/>
      <c r="J467" t="n">
        <v>0.4939</v>
      </c>
      <c r="K467" t="n">
        <v>0.113</v>
      </c>
      <c r="L467" t="n">
        <v>0.667</v>
      </c>
      <c r="M467" t="n">
        <v>0.22</v>
      </c>
    </row>
    <row r="468" spans="1:13">
      <c r="A468" s="1">
        <f>HYPERLINK("http://www.twitter.com/NathanBLawrence/status/997206441281777664", "997206441281777664")</f>
        <v/>
      </c>
      <c r="B468" s="2" t="n">
        <v>43237.83700231482</v>
      </c>
      <c r="C468" t="n">
        <v>0</v>
      </c>
      <c r="D468" t="n">
        <v>3</v>
      </c>
      <c r="E468" t="s">
        <v>479</v>
      </c>
      <c r="F468" t="s"/>
      <c r="G468" t="s"/>
      <c r="H468" t="s"/>
      <c r="I468" t="s"/>
      <c r="J468" t="n">
        <v>0.5563</v>
      </c>
      <c r="K468" t="n">
        <v>0</v>
      </c>
      <c r="L468" t="n">
        <v>0.8169999999999999</v>
      </c>
      <c r="M468" t="n">
        <v>0.183</v>
      </c>
    </row>
    <row r="469" spans="1:13">
      <c r="A469" s="1">
        <f>HYPERLINK("http://www.twitter.com/NathanBLawrence/status/997206388118994944", "997206388118994944")</f>
        <v/>
      </c>
      <c r="B469" s="2" t="n">
        <v>43237.83685185185</v>
      </c>
      <c r="C469" t="n">
        <v>0</v>
      </c>
      <c r="D469" t="n">
        <v>469</v>
      </c>
      <c r="E469" t="s">
        <v>480</v>
      </c>
      <c r="F469">
        <f>HYPERLINK("https://video.twimg.com/ext_tw_video/997190763434803200/pu/vid/640x360/PIY6NgGS2L-tPwx2.mp4?tag=3", "https://video.twimg.com/ext_tw_video/997190763434803200/pu/vid/640x360/PIY6NgGS2L-tPwx2.mp4?tag=3")</f>
        <v/>
      </c>
      <c r="G469" t="s"/>
      <c r="H469" t="s"/>
      <c r="I469" t="s"/>
      <c r="J469" t="n">
        <v>0.3612</v>
      </c>
      <c r="K469" t="n">
        <v>0</v>
      </c>
      <c r="L469" t="n">
        <v>0.8149999999999999</v>
      </c>
      <c r="M469" t="n">
        <v>0.185</v>
      </c>
    </row>
    <row r="470" spans="1:13">
      <c r="A470" s="1">
        <f>HYPERLINK("http://www.twitter.com/NathanBLawrence/status/997205971071000576", "997205971071000576")</f>
        <v/>
      </c>
      <c r="B470" s="2" t="n">
        <v>43237.83570601852</v>
      </c>
      <c r="C470" t="n">
        <v>24</v>
      </c>
      <c r="D470" t="n">
        <v>11</v>
      </c>
      <c r="E470" t="s">
        <v>481</v>
      </c>
      <c r="F470" t="s"/>
      <c r="G470" t="s"/>
      <c r="H470" t="s"/>
      <c r="I470" t="s"/>
      <c r="J470" t="n">
        <v>-0.913</v>
      </c>
      <c r="K470" t="n">
        <v>0.238</v>
      </c>
      <c r="L470" t="n">
        <v>0.731</v>
      </c>
      <c r="M470" t="n">
        <v>0.03</v>
      </c>
    </row>
    <row r="471" spans="1:13">
      <c r="A471" s="1">
        <f>HYPERLINK("http://www.twitter.com/NathanBLawrence/status/997205293619527680", "997205293619527680")</f>
        <v/>
      </c>
      <c r="B471" s="2" t="n">
        <v>43237.83383101852</v>
      </c>
      <c r="C471" t="n">
        <v>13</v>
      </c>
      <c r="D471" t="n">
        <v>5</v>
      </c>
      <c r="E471" t="s">
        <v>482</v>
      </c>
      <c r="F471" t="s"/>
      <c r="G471" t="s"/>
      <c r="H471" t="s"/>
      <c r="I471" t="s"/>
      <c r="J471" t="n">
        <v>-0.5719</v>
      </c>
      <c r="K471" t="n">
        <v>0.089</v>
      </c>
      <c r="L471" t="n">
        <v>0.911</v>
      </c>
      <c r="M471" t="n">
        <v>0</v>
      </c>
    </row>
    <row r="472" spans="1:13">
      <c r="A472" s="1">
        <f>HYPERLINK("http://www.twitter.com/NathanBLawrence/status/997204196288905217", "997204196288905217")</f>
        <v/>
      </c>
      <c r="B472" s="2" t="n">
        <v>43237.83081018519</v>
      </c>
      <c r="C472" t="n">
        <v>4</v>
      </c>
      <c r="D472" t="n">
        <v>6</v>
      </c>
      <c r="E472" t="s">
        <v>483</v>
      </c>
      <c r="F472" t="s"/>
      <c r="G472" t="s"/>
      <c r="H472" t="s"/>
      <c r="I472" t="s"/>
      <c r="J472" t="n">
        <v>0.4767</v>
      </c>
      <c r="K472" t="n">
        <v>0</v>
      </c>
      <c r="L472" t="n">
        <v>0.886</v>
      </c>
      <c r="M472" t="n">
        <v>0.114</v>
      </c>
    </row>
    <row r="473" spans="1:13">
      <c r="A473" s="1">
        <f>HYPERLINK("http://www.twitter.com/NathanBLawrence/status/997203739105640448", "997203739105640448")</f>
        <v/>
      </c>
      <c r="B473" s="2" t="n">
        <v>43237.82954861111</v>
      </c>
      <c r="C473" t="n">
        <v>4</v>
      </c>
      <c r="D473" t="n">
        <v>1</v>
      </c>
      <c r="E473" t="s">
        <v>484</v>
      </c>
      <c r="F473" t="s"/>
      <c r="G473" t="s"/>
      <c r="H473" t="s"/>
      <c r="I473" t="s"/>
      <c r="J473" t="n">
        <v>0.4404</v>
      </c>
      <c r="K473" t="n">
        <v>0</v>
      </c>
      <c r="L473" t="n">
        <v>0.884</v>
      </c>
      <c r="M473" t="n">
        <v>0.116</v>
      </c>
    </row>
    <row r="474" spans="1:13">
      <c r="A474" s="1">
        <f>HYPERLINK("http://www.twitter.com/NathanBLawrence/status/997203587137585152", "997203587137585152")</f>
        <v/>
      </c>
      <c r="B474" s="2" t="n">
        <v>43237.82912037037</v>
      </c>
      <c r="C474" t="n">
        <v>5</v>
      </c>
      <c r="D474" t="n">
        <v>6</v>
      </c>
      <c r="E474" t="s">
        <v>485</v>
      </c>
      <c r="F474" t="s"/>
      <c r="G474" t="s"/>
      <c r="H474" t="s"/>
      <c r="I474" t="s"/>
      <c r="J474" t="n">
        <v>-0.5719</v>
      </c>
      <c r="K474" t="n">
        <v>0.132</v>
      </c>
      <c r="L474" t="n">
        <v>0.868</v>
      </c>
      <c r="M474" t="n">
        <v>0</v>
      </c>
    </row>
    <row r="475" spans="1:13">
      <c r="A475" s="1">
        <f>HYPERLINK("http://www.twitter.com/NathanBLawrence/status/997203327325622272", "997203327325622272")</f>
        <v/>
      </c>
      <c r="B475" s="2" t="n">
        <v>43237.82841435185</v>
      </c>
      <c r="C475" t="n">
        <v>3</v>
      </c>
      <c r="D475" t="n">
        <v>1</v>
      </c>
      <c r="E475" t="s">
        <v>486</v>
      </c>
      <c r="F475" t="s"/>
      <c r="G475" t="s"/>
      <c r="H475" t="s"/>
      <c r="I475" t="s"/>
      <c r="J475" t="n">
        <v>0.2023</v>
      </c>
      <c r="K475" t="n">
        <v>0</v>
      </c>
      <c r="L475" t="n">
        <v>0.847</v>
      </c>
      <c r="M475" t="n">
        <v>0.153</v>
      </c>
    </row>
    <row r="476" spans="1:13">
      <c r="A476" s="1">
        <f>HYPERLINK("http://www.twitter.com/NathanBLawrence/status/997203220286947329", "997203220286947329")</f>
        <v/>
      </c>
      <c r="B476" s="2" t="n">
        <v>43237.82811342592</v>
      </c>
      <c r="C476" t="n">
        <v>6</v>
      </c>
      <c r="D476" t="n">
        <v>3</v>
      </c>
      <c r="E476" t="s">
        <v>487</v>
      </c>
      <c r="F476" t="s"/>
      <c r="G476" t="s"/>
      <c r="H476" t="s"/>
      <c r="I476" t="s"/>
      <c r="J476" t="n">
        <v>0.7096</v>
      </c>
      <c r="K476" t="n">
        <v>0</v>
      </c>
      <c r="L476" t="n">
        <v>0.796</v>
      </c>
      <c r="M476" t="n">
        <v>0.204</v>
      </c>
    </row>
    <row r="477" spans="1:13">
      <c r="A477" s="1">
        <f>HYPERLINK("http://www.twitter.com/NathanBLawrence/status/997203158878191616", "997203158878191616")</f>
        <v/>
      </c>
      <c r="B477" s="2" t="n">
        <v>43237.82793981482</v>
      </c>
      <c r="C477" t="n">
        <v>3</v>
      </c>
      <c r="D477" t="n">
        <v>3</v>
      </c>
      <c r="E477" t="s">
        <v>488</v>
      </c>
      <c r="F477" t="s"/>
      <c r="G477" t="s"/>
      <c r="H477" t="s"/>
      <c r="I477" t="s"/>
      <c r="J477" t="n">
        <v>0.128</v>
      </c>
      <c r="K477" t="n">
        <v>0</v>
      </c>
      <c r="L477" t="n">
        <v>0.889</v>
      </c>
      <c r="M477" t="n">
        <v>0.111</v>
      </c>
    </row>
    <row r="478" spans="1:13">
      <c r="A478" s="1">
        <f>HYPERLINK("http://www.twitter.com/NathanBLawrence/status/997158357063487488", "997158357063487488")</f>
        <v/>
      </c>
      <c r="B478" s="2" t="n">
        <v>43237.70431712963</v>
      </c>
      <c r="C478" t="n">
        <v>2</v>
      </c>
      <c r="D478" t="n">
        <v>2</v>
      </c>
      <c r="E478" t="s">
        <v>489</v>
      </c>
      <c r="F478" t="s"/>
      <c r="G478" t="s"/>
      <c r="H478" t="s"/>
      <c r="I478" t="s"/>
      <c r="J478" t="n">
        <v>-0.0772</v>
      </c>
      <c r="K478" t="n">
        <v>0.133</v>
      </c>
      <c r="L478" t="n">
        <v>0.751</v>
      </c>
      <c r="M478" t="n">
        <v>0.116</v>
      </c>
    </row>
    <row r="479" spans="1:13">
      <c r="A479" s="1">
        <f>HYPERLINK("http://www.twitter.com/NathanBLawrence/status/997157289428594689", "997157289428594689")</f>
        <v/>
      </c>
      <c r="B479" s="2" t="n">
        <v>43237.70136574074</v>
      </c>
      <c r="C479" t="n">
        <v>4</v>
      </c>
      <c r="D479" t="n">
        <v>4</v>
      </c>
      <c r="E479" t="s">
        <v>490</v>
      </c>
      <c r="F479" t="s"/>
      <c r="G479" t="s"/>
      <c r="H479" t="s"/>
      <c r="I479" t="s"/>
      <c r="J479" t="n">
        <v>0.3612</v>
      </c>
      <c r="K479" t="n">
        <v>0</v>
      </c>
      <c r="L479" t="n">
        <v>0.759</v>
      </c>
      <c r="M479" t="n">
        <v>0.241</v>
      </c>
    </row>
    <row r="480" spans="1:13">
      <c r="A480" s="1">
        <f>HYPERLINK("http://www.twitter.com/NathanBLawrence/status/997157140765655040", "997157140765655040")</f>
        <v/>
      </c>
      <c r="B480" s="2" t="n">
        <v>43237.70096064815</v>
      </c>
      <c r="C480" t="n">
        <v>11</v>
      </c>
      <c r="D480" t="n">
        <v>5</v>
      </c>
      <c r="E480" t="s">
        <v>491</v>
      </c>
      <c r="F480" t="s"/>
      <c r="G480" t="s"/>
      <c r="H480" t="s"/>
      <c r="I480" t="s"/>
      <c r="J480" t="n">
        <v>0</v>
      </c>
      <c r="K480" t="n">
        <v>0</v>
      </c>
      <c r="L480" t="n">
        <v>1</v>
      </c>
      <c r="M480" t="n">
        <v>0</v>
      </c>
    </row>
    <row r="481" spans="1:13">
      <c r="A481" s="1">
        <f>HYPERLINK("http://www.twitter.com/NathanBLawrence/status/996986637551783936", "996986637551783936")</f>
        <v/>
      </c>
      <c r="B481" s="2" t="n">
        <v>43237.23046296297</v>
      </c>
      <c r="C481" t="n">
        <v>7</v>
      </c>
      <c r="D481" t="n">
        <v>3</v>
      </c>
      <c r="E481" t="s">
        <v>492</v>
      </c>
      <c r="F481" t="s"/>
      <c r="G481" t="s"/>
      <c r="H481" t="s"/>
      <c r="I481" t="s"/>
      <c r="J481" t="n">
        <v>0.7269</v>
      </c>
      <c r="K481" t="n">
        <v>0</v>
      </c>
      <c r="L481" t="n">
        <v>0.79</v>
      </c>
      <c r="M481" t="n">
        <v>0.21</v>
      </c>
    </row>
    <row r="482" spans="1:13">
      <c r="A482" s="1">
        <f>HYPERLINK("http://www.twitter.com/NathanBLawrence/status/996986436007092224", "996986436007092224")</f>
        <v/>
      </c>
      <c r="B482" s="2" t="n">
        <v>43237.22990740741</v>
      </c>
      <c r="C482" t="n">
        <v>2</v>
      </c>
      <c r="D482" t="n">
        <v>1</v>
      </c>
      <c r="E482" t="s">
        <v>493</v>
      </c>
      <c r="F482" t="s"/>
      <c r="G482" t="s"/>
      <c r="H482" t="s"/>
      <c r="I482" t="s"/>
      <c r="J482" t="n">
        <v>0</v>
      </c>
      <c r="K482" t="n">
        <v>0</v>
      </c>
      <c r="L482" t="n">
        <v>1</v>
      </c>
      <c r="M482" t="n">
        <v>0</v>
      </c>
    </row>
    <row r="483" spans="1:13">
      <c r="A483" s="1">
        <f>HYPERLINK("http://www.twitter.com/NathanBLawrence/status/996986318000304128", "996986318000304128")</f>
        <v/>
      </c>
      <c r="B483" s="2" t="n">
        <v>43237.22957175926</v>
      </c>
      <c r="C483" t="n">
        <v>3</v>
      </c>
      <c r="D483" t="n">
        <v>1</v>
      </c>
      <c r="E483" t="s">
        <v>494</v>
      </c>
      <c r="F483" t="s"/>
      <c r="G483" t="s"/>
      <c r="H483" t="s"/>
      <c r="I483" t="s"/>
      <c r="J483" t="n">
        <v>-0.347</v>
      </c>
      <c r="K483" t="n">
        <v>0.216</v>
      </c>
      <c r="L483" t="n">
        <v>0.653</v>
      </c>
      <c r="M483" t="n">
        <v>0.131</v>
      </c>
    </row>
    <row r="484" spans="1:13">
      <c r="A484" s="1">
        <f>HYPERLINK("http://www.twitter.com/NathanBLawrence/status/996986211351711744", "996986211351711744")</f>
        <v/>
      </c>
      <c r="B484" s="2" t="n">
        <v>43237.22928240741</v>
      </c>
      <c r="C484" t="n">
        <v>11</v>
      </c>
      <c r="D484" t="n">
        <v>6</v>
      </c>
      <c r="E484" t="s">
        <v>495</v>
      </c>
      <c r="F484" t="s"/>
      <c r="G484" t="s"/>
      <c r="H484" t="s"/>
      <c r="I484" t="s"/>
      <c r="J484" t="n">
        <v>0</v>
      </c>
      <c r="K484" t="n">
        <v>0</v>
      </c>
      <c r="L484" t="n">
        <v>1</v>
      </c>
      <c r="M484" t="n">
        <v>0</v>
      </c>
    </row>
    <row r="485" spans="1:13">
      <c r="A485" s="1">
        <f>HYPERLINK("http://www.twitter.com/NathanBLawrence/status/996986107970502657", "996986107970502657")</f>
        <v/>
      </c>
      <c r="B485" s="2" t="n">
        <v>43237.22899305556</v>
      </c>
      <c r="C485" t="n">
        <v>12</v>
      </c>
      <c r="D485" t="n">
        <v>9</v>
      </c>
      <c r="E485" t="s">
        <v>496</v>
      </c>
      <c r="F485" t="s"/>
      <c r="G485" t="s"/>
      <c r="H485" t="s"/>
      <c r="I485" t="s"/>
      <c r="J485" t="n">
        <v>-0.2614</v>
      </c>
      <c r="K485" t="n">
        <v>0.158</v>
      </c>
      <c r="L485" t="n">
        <v>0.72</v>
      </c>
      <c r="M485" t="n">
        <v>0.122</v>
      </c>
    </row>
    <row r="486" spans="1:13">
      <c r="A486" s="1">
        <f>HYPERLINK("http://www.twitter.com/NathanBLawrence/status/996986025103712256", "996986025103712256")</f>
        <v/>
      </c>
      <c r="B486" s="2" t="n">
        <v>43237.22877314815</v>
      </c>
      <c r="C486" t="n">
        <v>3</v>
      </c>
      <c r="D486" t="n">
        <v>3</v>
      </c>
      <c r="E486" t="s">
        <v>497</v>
      </c>
      <c r="F486" t="s"/>
      <c r="G486" t="s"/>
      <c r="H486" t="s"/>
      <c r="I486" t="s"/>
      <c r="J486" t="n">
        <v>-0.296</v>
      </c>
      <c r="K486" t="n">
        <v>0.115</v>
      </c>
      <c r="L486" t="n">
        <v>0.885</v>
      </c>
      <c r="M486" t="n">
        <v>0</v>
      </c>
    </row>
    <row r="487" spans="1:13">
      <c r="A487" s="1">
        <f>HYPERLINK("http://www.twitter.com/NathanBLawrence/status/996985936528330752", "996985936528330752")</f>
        <v/>
      </c>
      <c r="B487" s="2" t="n">
        <v>43237.22853009259</v>
      </c>
      <c r="C487" t="n">
        <v>9</v>
      </c>
      <c r="D487" t="n">
        <v>3</v>
      </c>
      <c r="E487" t="s">
        <v>498</v>
      </c>
      <c r="F487" t="s"/>
      <c r="G487" t="s"/>
      <c r="H487" t="s"/>
      <c r="I487" t="s"/>
      <c r="J487" t="n">
        <v>0.7579</v>
      </c>
      <c r="K487" t="n">
        <v>0</v>
      </c>
      <c r="L487" t="n">
        <v>0.735</v>
      </c>
      <c r="M487" t="n">
        <v>0.265</v>
      </c>
    </row>
    <row r="488" spans="1:13">
      <c r="A488" s="1">
        <f>HYPERLINK("http://www.twitter.com/NathanBLawrence/status/996984750999928832", "996984750999928832")</f>
        <v/>
      </c>
      <c r="B488" s="2" t="n">
        <v>43237.22525462963</v>
      </c>
      <c r="C488" t="n">
        <v>0</v>
      </c>
      <c r="D488" t="n">
        <v>1</v>
      </c>
      <c r="E488" t="s">
        <v>499</v>
      </c>
      <c r="F488" t="s"/>
      <c r="G488" t="s"/>
      <c r="H488" t="s"/>
      <c r="I488" t="s"/>
      <c r="J488" t="n">
        <v>0.9201</v>
      </c>
      <c r="K488" t="n">
        <v>0.062</v>
      </c>
      <c r="L488" t="n">
        <v>0.507</v>
      </c>
      <c r="M488" t="n">
        <v>0.431</v>
      </c>
    </row>
    <row r="489" spans="1:13">
      <c r="A489" s="1">
        <f>HYPERLINK("http://www.twitter.com/NathanBLawrence/status/996984592291659776", "996984592291659776")</f>
        <v/>
      </c>
      <c r="B489" s="2" t="n">
        <v>43237.22481481481</v>
      </c>
      <c r="C489" t="n">
        <v>0</v>
      </c>
      <c r="D489" t="n">
        <v>18</v>
      </c>
      <c r="E489" t="s">
        <v>500</v>
      </c>
      <c r="F489" t="s"/>
      <c r="G489" t="s"/>
      <c r="H489" t="s"/>
      <c r="I489" t="s"/>
      <c r="J489" t="n">
        <v>0</v>
      </c>
      <c r="K489" t="n">
        <v>0</v>
      </c>
      <c r="L489" t="n">
        <v>1</v>
      </c>
      <c r="M489" t="n">
        <v>0</v>
      </c>
    </row>
    <row r="490" spans="1:13">
      <c r="A490" s="1">
        <f>HYPERLINK("http://www.twitter.com/NathanBLawrence/status/996984473894862848", "996984473894862848")</f>
        <v/>
      </c>
      <c r="B490" s="2" t="n">
        <v>43237.22449074074</v>
      </c>
      <c r="C490" t="n">
        <v>7</v>
      </c>
      <c r="D490" t="n">
        <v>5</v>
      </c>
      <c r="E490" t="s">
        <v>501</v>
      </c>
      <c r="F490" t="s"/>
      <c r="G490" t="s"/>
      <c r="H490" t="s"/>
      <c r="I490" t="s"/>
      <c r="J490" t="n">
        <v>-0.6996</v>
      </c>
      <c r="K490" t="n">
        <v>0.305</v>
      </c>
      <c r="L490" t="n">
        <v>0.549</v>
      </c>
      <c r="M490" t="n">
        <v>0.146</v>
      </c>
    </row>
    <row r="491" spans="1:13">
      <c r="A491" s="1">
        <f>HYPERLINK("http://www.twitter.com/NathanBLawrence/status/996984267509940224", "996984267509940224")</f>
        <v/>
      </c>
      <c r="B491" s="2" t="n">
        <v>43237.22392361111</v>
      </c>
      <c r="C491" t="n">
        <v>4</v>
      </c>
      <c r="D491" t="n">
        <v>3</v>
      </c>
      <c r="E491" t="s">
        <v>502</v>
      </c>
      <c r="F491" t="s"/>
      <c r="G491" t="s"/>
      <c r="H491" t="s"/>
      <c r="I491" t="s"/>
      <c r="J491" t="n">
        <v>0</v>
      </c>
      <c r="K491" t="n">
        <v>0</v>
      </c>
      <c r="L491" t="n">
        <v>1</v>
      </c>
      <c r="M491" t="n">
        <v>0</v>
      </c>
    </row>
    <row r="492" spans="1:13">
      <c r="A492" s="1">
        <f>HYPERLINK("http://www.twitter.com/NathanBLawrence/status/996984077168201729", "996984077168201729")</f>
        <v/>
      </c>
      <c r="B492" s="2" t="n">
        <v>43237.2233912037</v>
      </c>
      <c r="C492" t="n">
        <v>3</v>
      </c>
      <c r="D492" t="n">
        <v>1</v>
      </c>
      <c r="E492" t="s">
        <v>503</v>
      </c>
      <c r="F492" t="s"/>
      <c r="G492" t="s"/>
      <c r="H492" t="s"/>
      <c r="I492" t="s"/>
      <c r="J492" t="n">
        <v>-0.9153</v>
      </c>
      <c r="K492" t="n">
        <v>0.444</v>
      </c>
      <c r="L492" t="n">
        <v>0.556</v>
      </c>
      <c r="M492" t="n">
        <v>0</v>
      </c>
    </row>
    <row r="493" spans="1:13">
      <c r="A493" s="1">
        <f>HYPERLINK("http://www.twitter.com/NathanBLawrence/status/996983813040361472", "996983813040361472")</f>
        <v/>
      </c>
      <c r="B493" s="2" t="n">
        <v>43237.22266203703</v>
      </c>
      <c r="C493" t="n">
        <v>0</v>
      </c>
      <c r="D493" t="n">
        <v>19</v>
      </c>
      <c r="E493" t="s">
        <v>504</v>
      </c>
      <c r="F493" t="s"/>
      <c r="G493" t="s"/>
      <c r="H493" t="s"/>
      <c r="I493" t="s"/>
      <c r="J493" t="n">
        <v>-0.5859</v>
      </c>
      <c r="K493" t="n">
        <v>0.242</v>
      </c>
      <c r="L493" t="n">
        <v>0.758</v>
      </c>
      <c r="M493" t="n">
        <v>0</v>
      </c>
    </row>
    <row r="494" spans="1:13">
      <c r="A494" s="1">
        <f>HYPERLINK("http://www.twitter.com/NathanBLawrence/status/996983442742042624", "996983442742042624")</f>
        <v/>
      </c>
      <c r="B494" s="2" t="n">
        <v>43237.22164351852</v>
      </c>
      <c r="C494" t="n">
        <v>0</v>
      </c>
      <c r="D494" t="n">
        <v>551</v>
      </c>
      <c r="E494" t="s">
        <v>505</v>
      </c>
      <c r="F494" t="s"/>
      <c r="G494" t="s"/>
      <c r="H494" t="s"/>
      <c r="I494" t="s"/>
      <c r="J494" t="n">
        <v>0</v>
      </c>
      <c r="K494" t="n">
        <v>0</v>
      </c>
      <c r="L494" t="n">
        <v>1</v>
      </c>
      <c r="M494" t="n">
        <v>0</v>
      </c>
    </row>
    <row r="495" spans="1:13">
      <c r="A495" s="1">
        <f>HYPERLINK("http://www.twitter.com/NathanBLawrence/status/996983352249872385", "996983352249872385")</f>
        <v/>
      </c>
      <c r="B495" s="2" t="n">
        <v>43237.22138888889</v>
      </c>
      <c r="C495" t="n">
        <v>0</v>
      </c>
      <c r="D495" t="n">
        <v>6059</v>
      </c>
      <c r="E495" t="s">
        <v>506</v>
      </c>
      <c r="F495" t="s"/>
      <c r="G495" t="s"/>
      <c r="H495" t="s"/>
      <c r="I495" t="s"/>
      <c r="J495" t="n">
        <v>0</v>
      </c>
      <c r="K495" t="n">
        <v>0</v>
      </c>
      <c r="L495" t="n">
        <v>1</v>
      </c>
      <c r="M495" t="n">
        <v>0</v>
      </c>
    </row>
    <row r="496" spans="1:13">
      <c r="A496" s="1">
        <f>HYPERLINK("http://www.twitter.com/NathanBLawrence/status/996982903778131968", "996982903778131968")</f>
        <v/>
      </c>
      <c r="B496" s="2" t="n">
        <v>43237.22015046296</v>
      </c>
      <c r="C496" t="n">
        <v>8</v>
      </c>
      <c r="D496" t="n">
        <v>3</v>
      </c>
      <c r="E496" t="s">
        <v>507</v>
      </c>
      <c r="F496" t="s"/>
      <c r="G496" t="s"/>
      <c r="H496" t="s"/>
      <c r="I496" t="s"/>
      <c r="J496" t="n">
        <v>0.4767</v>
      </c>
      <c r="K496" t="n">
        <v>0.08</v>
      </c>
      <c r="L496" t="n">
        <v>0.736</v>
      </c>
      <c r="M496" t="n">
        <v>0.184</v>
      </c>
    </row>
    <row r="497" spans="1:13">
      <c r="A497" s="1">
        <f>HYPERLINK("http://www.twitter.com/NathanBLawrence/status/996981403978903552", "996981403978903552")</f>
        <v/>
      </c>
      <c r="B497" s="2" t="n">
        <v>43237.21601851852</v>
      </c>
      <c r="C497" t="n">
        <v>0</v>
      </c>
      <c r="D497" t="n">
        <v>6</v>
      </c>
      <c r="E497" t="s">
        <v>508</v>
      </c>
      <c r="F497" t="s"/>
      <c r="G497" t="s"/>
      <c r="H497" t="s"/>
      <c r="I497" t="s"/>
      <c r="J497" t="n">
        <v>0.0258</v>
      </c>
      <c r="K497" t="n">
        <v>0.166</v>
      </c>
      <c r="L497" t="n">
        <v>0.698</v>
      </c>
      <c r="M497" t="n">
        <v>0.136</v>
      </c>
    </row>
    <row r="498" spans="1:13">
      <c r="A498" s="1">
        <f>HYPERLINK("http://www.twitter.com/NathanBLawrence/status/996981353206857728", "996981353206857728")</f>
        <v/>
      </c>
      <c r="B498" s="2" t="n">
        <v>43237.21587962963</v>
      </c>
      <c r="C498" t="n">
        <v>0</v>
      </c>
      <c r="D498" t="n">
        <v>8</v>
      </c>
      <c r="E498" t="s">
        <v>509</v>
      </c>
      <c r="F498">
        <f>HYPERLINK("http://pbs.twimg.com/media/DdXjkoSX4AALuB5.jpg", "http://pbs.twimg.com/media/DdXjkoSX4AALuB5.jpg")</f>
        <v/>
      </c>
      <c r="G498" t="s"/>
      <c r="H498" t="s"/>
      <c r="I498" t="s"/>
      <c r="J498" t="n">
        <v>0</v>
      </c>
      <c r="K498" t="n">
        <v>0</v>
      </c>
      <c r="L498" t="n">
        <v>1</v>
      </c>
      <c r="M498" t="n">
        <v>0</v>
      </c>
    </row>
    <row r="499" spans="1:13">
      <c r="A499" s="1">
        <f>HYPERLINK("http://www.twitter.com/NathanBLawrence/status/996981318536712192", "996981318536712192")</f>
        <v/>
      </c>
      <c r="B499" s="2" t="n">
        <v>43237.21578703704</v>
      </c>
      <c r="C499" t="n">
        <v>0</v>
      </c>
      <c r="D499" t="n">
        <v>322</v>
      </c>
      <c r="E499" t="s">
        <v>510</v>
      </c>
      <c r="F499" t="s"/>
      <c r="G499" t="s"/>
      <c r="H499" t="s"/>
      <c r="I499" t="s"/>
      <c r="J499" t="n">
        <v>0</v>
      </c>
      <c r="K499" t="n">
        <v>0</v>
      </c>
      <c r="L499" t="n">
        <v>1</v>
      </c>
      <c r="M499" t="n">
        <v>0</v>
      </c>
    </row>
    <row r="500" spans="1:13">
      <c r="A500" s="1">
        <f>HYPERLINK("http://www.twitter.com/NathanBLawrence/status/996981100370014208", "996981100370014208")</f>
        <v/>
      </c>
      <c r="B500" s="2" t="n">
        <v>43237.21517361111</v>
      </c>
      <c r="C500" t="n">
        <v>17</v>
      </c>
      <c r="D500" t="n">
        <v>7</v>
      </c>
      <c r="E500" t="s">
        <v>511</v>
      </c>
      <c r="F500" t="s"/>
      <c r="G500" t="s"/>
      <c r="H500" t="s"/>
      <c r="I500" t="s"/>
      <c r="J500" t="n">
        <v>-0.6899999999999999</v>
      </c>
      <c r="K500" t="n">
        <v>0.142</v>
      </c>
      <c r="L500" t="n">
        <v>0.8169999999999999</v>
      </c>
      <c r="M500" t="n">
        <v>0.041</v>
      </c>
    </row>
    <row r="501" spans="1:13">
      <c r="A501" s="1">
        <f>HYPERLINK("http://www.twitter.com/NathanBLawrence/status/996980387623587840", "996980387623587840")</f>
        <v/>
      </c>
      <c r="B501" s="2" t="n">
        <v>43237.21321759259</v>
      </c>
      <c r="C501" t="n">
        <v>2</v>
      </c>
      <c r="D501" t="n">
        <v>0</v>
      </c>
      <c r="E501" t="s">
        <v>512</v>
      </c>
      <c r="F501" t="s"/>
      <c r="G501" t="s"/>
      <c r="H501" t="s"/>
      <c r="I501" t="s"/>
      <c r="J501" t="n">
        <v>-0.3182</v>
      </c>
      <c r="K501" t="n">
        <v>0.22</v>
      </c>
      <c r="L501" t="n">
        <v>0.67</v>
      </c>
      <c r="M501" t="n">
        <v>0.11</v>
      </c>
    </row>
    <row r="502" spans="1:13">
      <c r="A502" s="1">
        <f>HYPERLINK("http://www.twitter.com/NathanBLawrence/status/996979617050214400", "996979617050214400")</f>
        <v/>
      </c>
      <c r="B502" s="2" t="n">
        <v>43237.21108796296</v>
      </c>
      <c r="C502" t="n">
        <v>22</v>
      </c>
      <c r="D502" t="n">
        <v>9</v>
      </c>
      <c r="E502" t="s">
        <v>513</v>
      </c>
      <c r="F502" t="s"/>
      <c r="G502" t="s"/>
      <c r="H502" t="s"/>
      <c r="I502" t="s"/>
      <c r="J502" t="n">
        <v>-0.4357</v>
      </c>
      <c r="K502" t="n">
        <v>0.12</v>
      </c>
      <c r="L502" t="n">
        <v>0.88</v>
      </c>
      <c r="M502" t="n">
        <v>0</v>
      </c>
    </row>
    <row r="503" spans="1:13">
      <c r="A503" s="1">
        <f>HYPERLINK("http://www.twitter.com/NathanBLawrence/status/996979294051098625", "996979294051098625")</f>
        <v/>
      </c>
      <c r="B503" s="2" t="n">
        <v>43237.21019675926</v>
      </c>
      <c r="C503" t="n">
        <v>6</v>
      </c>
      <c r="D503" t="n">
        <v>1</v>
      </c>
      <c r="E503" t="s">
        <v>514</v>
      </c>
      <c r="F503" t="s"/>
      <c r="G503" t="s"/>
      <c r="H503" t="s"/>
      <c r="I503" t="s"/>
      <c r="J503" t="n">
        <v>0.7712</v>
      </c>
      <c r="K503" t="n">
        <v>0.058</v>
      </c>
      <c r="L503" t="n">
        <v>0.723</v>
      </c>
      <c r="M503" t="n">
        <v>0.219</v>
      </c>
    </row>
    <row r="504" spans="1:13">
      <c r="A504" s="1">
        <f>HYPERLINK("http://www.twitter.com/NathanBLawrence/status/996977876481204225", "996977876481204225")</f>
        <v/>
      </c>
      <c r="B504" s="2" t="n">
        <v>43237.20628472222</v>
      </c>
      <c r="C504" t="n">
        <v>7</v>
      </c>
      <c r="D504" t="n">
        <v>3</v>
      </c>
      <c r="E504" t="s">
        <v>515</v>
      </c>
      <c r="F504" t="s"/>
      <c r="G504" t="s"/>
      <c r="H504" t="s"/>
      <c r="I504" t="s"/>
      <c r="J504" t="n">
        <v>0</v>
      </c>
      <c r="K504" t="n">
        <v>0</v>
      </c>
      <c r="L504" t="n">
        <v>1</v>
      </c>
      <c r="M504" t="n">
        <v>0</v>
      </c>
    </row>
    <row r="505" spans="1:13">
      <c r="A505" s="1">
        <f>HYPERLINK("http://www.twitter.com/NathanBLawrence/status/996977609815687168", "996977609815687168")</f>
        <v/>
      </c>
      <c r="B505" s="2" t="n">
        <v>43237.20554398148</v>
      </c>
      <c r="C505" t="n">
        <v>0</v>
      </c>
      <c r="D505" t="n">
        <v>0</v>
      </c>
      <c r="E505" t="s">
        <v>516</v>
      </c>
      <c r="F505" t="s"/>
      <c r="G505" t="s"/>
      <c r="H505" t="s"/>
      <c r="I505" t="s"/>
      <c r="J505" t="n">
        <v>0</v>
      </c>
      <c r="K505" t="n">
        <v>0</v>
      </c>
      <c r="L505" t="n">
        <v>1</v>
      </c>
      <c r="M505" t="n">
        <v>0</v>
      </c>
    </row>
    <row r="506" spans="1:13">
      <c r="A506" s="1">
        <f>HYPERLINK("http://www.twitter.com/NathanBLawrence/status/996977309893640193", "996977309893640193")</f>
        <v/>
      </c>
      <c r="B506" s="2" t="n">
        <v>43237.20472222222</v>
      </c>
      <c r="C506" t="n">
        <v>0</v>
      </c>
      <c r="D506" t="n">
        <v>2</v>
      </c>
      <c r="E506" t="s">
        <v>517</v>
      </c>
      <c r="F506" t="s"/>
      <c r="G506" t="s"/>
      <c r="H506" t="s"/>
      <c r="I506" t="s"/>
      <c r="J506" t="n">
        <v>0</v>
      </c>
      <c r="K506" t="n">
        <v>0</v>
      </c>
      <c r="L506" t="n">
        <v>1</v>
      </c>
      <c r="M506" t="n">
        <v>0</v>
      </c>
    </row>
    <row r="507" spans="1:13">
      <c r="A507" s="1">
        <f>HYPERLINK("http://www.twitter.com/NathanBLawrence/status/996977125289672704", "996977125289672704")</f>
        <v/>
      </c>
      <c r="B507" s="2" t="n">
        <v>43237.20421296296</v>
      </c>
      <c r="C507" t="n">
        <v>0</v>
      </c>
      <c r="D507" t="n">
        <v>34</v>
      </c>
      <c r="E507" t="s">
        <v>518</v>
      </c>
      <c r="F507" t="s"/>
      <c r="G507" t="s"/>
      <c r="H507" t="s"/>
      <c r="I507" t="s"/>
      <c r="J507" t="n">
        <v>0</v>
      </c>
      <c r="K507" t="n">
        <v>0</v>
      </c>
      <c r="L507" t="n">
        <v>1</v>
      </c>
      <c r="M507" t="n">
        <v>0</v>
      </c>
    </row>
    <row r="508" spans="1:13">
      <c r="A508" s="1">
        <f>HYPERLINK("http://www.twitter.com/NathanBLawrence/status/996976825858379776", "996976825858379776")</f>
        <v/>
      </c>
      <c r="B508" s="2" t="n">
        <v>43237.20337962963</v>
      </c>
      <c r="C508" t="n">
        <v>56</v>
      </c>
      <c r="D508" t="n">
        <v>18</v>
      </c>
      <c r="E508" t="s">
        <v>519</v>
      </c>
      <c r="F508" t="s"/>
      <c r="G508" t="s"/>
      <c r="H508" t="s"/>
      <c r="I508" t="s"/>
      <c r="J508" t="n">
        <v>-0.7351</v>
      </c>
      <c r="K508" t="n">
        <v>0.143</v>
      </c>
      <c r="L508" t="n">
        <v>0.857</v>
      </c>
      <c r="M508" t="n">
        <v>0</v>
      </c>
    </row>
    <row r="509" spans="1:13">
      <c r="A509" s="1">
        <f>HYPERLINK("http://www.twitter.com/NathanBLawrence/status/996976518805929986", "996976518805929986")</f>
        <v/>
      </c>
      <c r="B509" s="2" t="n">
        <v>43237.20253472222</v>
      </c>
      <c r="C509" t="n">
        <v>6</v>
      </c>
      <c r="D509" t="n">
        <v>2</v>
      </c>
      <c r="E509" t="s">
        <v>520</v>
      </c>
      <c r="F509" t="s"/>
      <c r="G509" t="s"/>
      <c r="H509" t="s"/>
      <c r="I509" t="s"/>
      <c r="J509" t="n">
        <v>-0.6124000000000001</v>
      </c>
      <c r="K509" t="n">
        <v>0.227</v>
      </c>
      <c r="L509" t="n">
        <v>0.773</v>
      </c>
      <c r="M509" t="n">
        <v>0</v>
      </c>
    </row>
    <row r="510" spans="1:13">
      <c r="A510" s="1">
        <f>HYPERLINK("http://www.twitter.com/NathanBLawrence/status/996976189011968000", "996976189011968000")</f>
        <v/>
      </c>
      <c r="B510" s="2" t="n">
        <v>43237.20163194444</v>
      </c>
      <c r="C510" t="n">
        <v>18</v>
      </c>
      <c r="D510" t="n">
        <v>6</v>
      </c>
      <c r="E510" t="s">
        <v>521</v>
      </c>
      <c r="F510" t="s"/>
      <c r="G510" t="s"/>
      <c r="H510" t="s"/>
      <c r="I510" t="s"/>
      <c r="J510" t="n">
        <v>-0.7096</v>
      </c>
      <c r="K510" t="n">
        <v>0.174</v>
      </c>
      <c r="L510" t="n">
        <v>0.826</v>
      </c>
      <c r="M510" t="n">
        <v>0</v>
      </c>
    </row>
    <row r="511" spans="1:13">
      <c r="A511" s="1">
        <f>HYPERLINK("http://www.twitter.com/NathanBLawrence/status/996975455738544133", "996975455738544133")</f>
        <v/>
      </c>
      <c r="B511" s="2" t="n">
        <v>43237.19960648148</v>
      </c>
      <c r="C511" t="n">
        <v>0</v>
      </c>
      <c r="D511" t="n">
        <v>3761</v>
      </c>
      <c r="E511" t="s">
        <v>522</v>
      </c>
      <c r="F511" t="s"/>
      <c r="G511" t="s"/>
      <c r="H511" t="s"/>
      <c r="I511" t="s"/>
      <c r="J511" t="n">
        <v>0.5106000000000001</v>
      </c>
      <c r="K511" t="n">
        <v>0</v>
      </c>
      <c r="L511" t="n">
        <v>0.858</v>
      </c>
      <c r="M511" t="n">
        <v>0.142</v>
      </c>
    </row>
    <row r="512" spans="1:13">
      <c r="A512" s="1">
        <f>HYPERLINK("http://www.twitter.com/NathanBLawrence/status/996975205472845825", "996975205472845825")</f>
        <v/>
      </c>
      <c r="B512" s="2" t="n">
        <v>43237.19891203703</v>
      </c>
      <c r="C512" t="n">
        <v>0</v>
      </c>
      <c r="D512" t="n">
        <v>845</v>
      </c>
      <c r="E512" t="s">
        <v>523</v>
      </c>
      <c r="F512">
        <f>HYPERLINK("http://pbs.twimg.com/media/DdXSkr9X0AIlbtd.jpg", "http://pbs.twimg.com/media/DdXSkr9X0AIlbtd.jpg")</f>
        <v/>
      </c>
      <c r="G512" t="s"/>
      <c r="H512" t="s"/>
      <c r="I512" t="s"/>
      <c r="J512" t="n">
        <v>0.2003</v>
      </c>
      <c r="K512" t="n">
        <v>0</v>
      </c>
      <c r="L512" t="n">
        <v>0.925</v>
      </c>
      <c r="M512" t="n">
        <v>0.075</v>
      </c>
    </row>
    <row r="513" spans="1:13">
      <c r="A513" s="1">
        <f>HYPERLINK("http://www.twitter.com/NathanBLawrence/status/996974666156621825", "996974666156621825")</f>
        <v/>
      </c>
      <c r="B513" s="2" t="n">
        <v>43237.19741898148</v>
      </c>
      <c r="C513" t="n">
        <v>0</v>
      </c>
      <c r="D513" t="n">
        <v>745</v>
      </c>
      <c r="E513" t="s">
        <v>524</v>
      </c>
      <c r="F513" t="s"/>
      <c r="G513" t="s"/>
      <c r="H513" t="s"/>
      <c r="I513" t="s"/>
      <c r="J513" t="n">
        <v>0.4995</v>
      </c>
      <c r="K513" t="n">
        <v>0</v>
      </c>
      <c r="L513" t="n">
        <v>0.867</v>
      </c>
      <c r="M513" t="n">
        <v>0.133</v>
      </c>
    </row>
    <row r="514" spans="1:13">
      <c r="A514" s="1">
        <f>HYPERLINK("http://www.twitter.com/NathanBLawrence/status/996974605184061445", "996974605184061445")</f>
        <v/>
      </c>
      <c r="B514" s="2" t="n">
        <v>43237.19725694445</v>
      </c>
      <c r="C514" t="n">
        <v>0</v>
      </c>
      <c r="D514" t="n">
        <v>1178</v>
      </c>
      <c r="E514" t="s">
        <v>525</v>
      </c>
      <c r="F514" t="s"/>
      <c r="G514" t="s"/>
      <c r="H514" t="s"/>
      <c r="I514" t="s"/>
      <c r="J514" t="n">
        <v>0</v>
      </c>
      <c r="K514" t="n">
        <v>0</v>
      </c>
      <c r="L514" t="n">
        <v>1</v>
      </c>
      <c r="M514" t="n">
        <v>0</v>
      </c>
    </row>
    <row r="515" spans="1:13">
      <c r="A515" s="1">
        <f>HYPERLINK("http://www.twitter.com/NathanBLawrence/status/996974572325912578", "996974572325912578")</f>
        <v/>
      </c>
      <c r="B515" s="2" t="n">
        <v>43237.19716435186</v>
      </c>
      <c r="C515" t="n">
        <v>0</v>
      </c>
      <c r="D515" t="n">
        <v>19</v>
      </c>
      <c r="E515" t="s">
        <v>526</v>
      </c>
      <c r="F515">
        <f>HYPERLINK("http://pbs.twimg.com/media/DdXlv1uX0AAXBJ7.jpg", "http://pbs.twimg.com/media/DdXlv1uX0AAXBJ7.jpg")</f>
        <v/>
      </c>
      <c r="G515" t="s"/>
      <c r="H515" t="s"/>
      <c r="I515" t="s"/>
      <c r="J515" t="n">
        <v>-0.2732</v>
      </c>
      <c r="K515" t="n">
        <v>0.188</v>
      </c>
      <c r="L515" t="n">
        <v>0.706</v>
      </c>
      <c r="M515" t="n">
        <v>0.106</v>
      </c>
    </row>
    <row r="516" spans="1:13">
      <c r="A516" s="1">
        <f>HYPERLINK("http://www.twitter.com/NathanBLawrence/status/996974375571083264", "996974375571083264")</f>
        <v/>
      </c>
      <c r="B516" s="2" t="n">
        <v>43237.19662037037</v>
      </c>
      <c r="C516" t="n">
        <v>11</v>
      </c>
      <c r="D516" t="n">
        <v>5</v>
      </c>
      <c r="E516" t="s">
        <v>527</v>
      </c>
      <c r="F516" t="s"/>
      <c r="G516" t="s"/>
      <c r="H516" t="s"/>
      <c r="I516" t="s"/>
      <c r="J516" t="n">
        <v>-0.6588000000000001</v>
      </c>
      <c r="K516" t="n">
        <v>0.234</v>
      </c>
      <c r="L516" t="n">
        <v>0.641</v>
      </c>
      <c r="M516" t="n">
        <v>0.126</v>
      </c>
    </row>
    <row r="517" spans="1:13">
      <c r="A517" s="1">
        <f>HYPERLINK("http://www.twitter.com/NathanBLawrence/status/996969680660189185", "996969680660189185")</f>
        <v/>
      </c>
      <c r="B517" s="2" t="n">
        <v>43237.18366898148</v>
      </c>
      <c r="C517" t="n">
        <v>14</v>
      </c>
      <c r="D517" t="n">
        <v>8</v>
      </c>
      <c r="E517" t="s">
        <v>528</v>
      </c>
      <c r="F517" t="s"/>
      <c r="G517" t="s"/>
      <c r="H517" t="s"/>
      <c r="I517" t="s"/>
      <c r="J517" t="n">
        <v>0.2388</v>
      </c>
      <c r="K517" t="n">
        <v>0.083</v>
      </c>
      <c r="L517" t="n">
        <v>0.8139999999999999</v>
      </c>
      <c r="M517" t="n">
        <v>0.102</v>
      </c>
    </row>
    <row r="518" spans="1:13">
      <c r="A518" s="1">
        <f>HYPERLINK("http://www.twitter.com/NathanBLawrence/status/996968990512627712", "996968990512627712")</f>
        <v/>
      </c>
      <c r="B518" s="2" t="n">
        <v>43237.18175925926</v>
      </c>
      <c r="C518" t="n">
        <v>9</v>
      </c>
      <c r="D518" t="n">
        <v>2</v>
      </c>
      <c r="E518" t="s">
        <v>529</v>
      </c>
      <c r="F518" t="s"/>
      <c r="G518" t="s"/>
      <c r="H518" t="s"/>
      <c r="I518" t="s"/>
      <c r="J518" t="n">
        <v>0</v>
      </c>
      <c r="K518" t="n">
        <v>0</v>
      </c>
      <c r="L518" t="n">
        <v>1</v>
      </c>
      <c r="M518" t="n">
        <v>0</v>
      </c>
    </row>
    <row r="519" spans="1:13">
      <c r="A519" s="1">
        <f>HYPERLINK("http://www.twitter.com/NathanBLawrence/status/996968563347865600", "996968563347865600")</f>
        <v/>
      </c>
      <c r="B519" s="2" t="n">
        <v>43237.1805787037</v>
      </c>
      <c r="C519" t="n">
        <v>11</v>
      </c>
      <c r="D519" t="n">
        <v>2</v>
      </c>
      <c r="E519" t="s">
        <v>530</v>
      </c>
      <c r="F519" t="s"/>
      <c r="G519" t="s"/>
      <c r="H519" t="s"/>
      <c r="I519" t="s"/>
      <c r="J519" t="n">
        <v>-0.8718</v>
      </c>
      <c r="K519" t="n">
        <v>0.242</v>
      </c>
      <c r="L519" t="n">
        <v>0.758</v>
      </c>
      <c r="M519" t="n">
        <v>0</v>
      </c>
    </row>
    <row r="520" spans="1:13">
      <c r="A520" s="1">
        <f>HYPERLINK("http://www.twitter.com/NathanBLawrence/status/996967510179069953", "996967510179069953")</f>
        <v/>
      </c>
      <c r="B520" s="2" t="n">
        <v>43237.17767361111</v>
      </c>
      <c r="C520" t="n">
        <v>0</v>
      </c>
      <c r="D520" t="n">
        <v>339</v>
      </c>
      <c r="E520" t="s">
        <v>531</v>
      </c>
      <c r="F520" t="s"/>
      <c r="G520" t="s"/>
      <c r="H520" t="s"/>
      <c r="I520" t="s"/>
      <c r="J520" t="n">
        <v>0</v>
      </c>
      <c r="K520" t="n">
        <v>0</v>
      </c>
      <c r="L520" t="n">
        <v>1</v>
      </c>
      <c r="M520" t="n">
        <v>0</v>
      </c>
    </row>
    <row r="521" spans="1:13">
      <c r="A521" s="1">
        <f>HYPERLINK("http://www.twitter.com/NathanBLawrence/status/996967459096702976", "996967459096702976")</f>
        <v/>
      </c>
      <c r="B521" s="2" t="n">
        <v>43237.17753472222</v>
      </c>
      <c r="C521" t="n">
        <v>15</v>
      </c>
      <c r="D521" t="n">
        <v>4</v>
      </c>
      <c r="E521" t="s">
        <v>532</v>
      </c>
      <c r="F521" t="s"/>
      <c r="G521" t="s"/>
      <c r="H521" t="s"/>
      <c r="I521" t="s"/>
      <c r="J521" t="n">
        <v>0</v>
      </c>
      <c r="K521" t="n">
        <v>0</v>
      </c>
      <c r="L521" t="n">
        <v>1</v>
      </c>
      <c r="M521" t="n">
        <v>0</v>
      </c>
    </row>
    <row r="522" spans="1:13">
      <c r="A522" s="1">
        <f>HYPERLINK("http://www.twitter.com/NathanBLawrence/status/996967245736697856", "996967245736697856")</f>
        <v/>
      </c>
      <c r="B522" s="2" t="n">
        <v>43237.17694444444</v>
      </c>
      <c r="C522" t="n">
        <v>10</v>
      </c>
      <c r="D522" t="n">
        <v>5</v>
      </c>
      <c r="E522" t="s">
        <v>533</v>
      </c>
      <c r="F522" t="s"/>
      <c r="G522" t="s"/>
      <c r="H522" t="s"/>
      <c r="I522" t="s"/>
      <c r="J522" t="n">
        <v>0.3595</v>
      </c>
      <c r="K522" t="n">
        <v>0</v>
      </c>
      <c r="L522" t="n">
        <v>0.707</v>
      </c>
      <c r="M522" t="n">
        <v>0.293</v>
      </c>
    </row>
    <row r="523" spans="1:13">
      <c r="A523" s="1">
        <f>HYPERLINK("http://www.twitter.com/NathanBLawrence/status/996967109983780870", "996967109983780870")</f>
        <v/>
      </c>
      <c r="B523" s="2" t="n">
        <v>43237.17657407407</v>
      </c>
      <c r="C523" t="n">
        <v>7</v>
      </c>
      <c r="D523" t="n">
        <v>0</v>
      </c>
      <c r="E523" t="s">
        <v>534</v>
      </c>
      <c r="F523" t="s"/>
      <c r="G523" t="s"/>
      <c r="H523" t="s"/>
      <c r="I523" t="s"/>
      <c r="J523" t="n">
        <v>-0.5093</v>
      </c>
      <c r="K523" t="n">
        <v>0.767</v>
      </c>
      <c r="L523" t="n">
        <v>0.233</v>
      </c>
      <c r="M523" t="n">
        <v>0</v>
      </c>
    </row>
    <row r="524" spans="1:13">
      <c r="A524" s="1">
        <f>HYPERLINK("http://www.twitter.com/NathanBLawrence/status/996966858157735937", "996966858157735937")</f>
        <v/>
      </c>
      <c r="B524" s="2" t="n">
        <v>43237.17587962963</v>
      </c>
      <c r="C524" t="n">
        <v>13</v>
      </c>
      <c r="D524" t="n">
        <v>7</v>
      </c>
      <c r="E524" t="s">
        <v>535</v>
      </c>
      <c r="F524" t="s"/>
      <c r="G524" t="s"/>
      <c r="H524" t="s"/>
      <c r="I524" t="s"/>
      <c r="J524" t="n">
        <v>-0.4664</v>
      </c>
      <c r="K524" t="n">
        <v>0.135</v>
      </c>
      <c r="L524" t="n">
        <v>0.773</v>
      </c>
      <c r="M524" t="n">
        <v>0.092</v>
      </c>
    </row>
    <row r="525" spans="1:13">
      <c r="A525" s="1">
        <f>HYPERLINK("http://www.twitter.com/NathanBLawrence/status/996966143196778496", "996966143196778496")</f>
        <v/>
      </c>
      <c r="B525" s="2" t="n">
        <v>43237.17390046296</v>
      </c>
      <c r="C525" t="n">
        <v>0</v>
      </c>
      <c r="D525" t="n">
        <v>5330</v>
      </c>
      <c r="E525" t="s">
        <v>536</v>
      </c>
      <c r="F525" t="s"/>
      <c r="G525" t="s"/>
      <c r="H525" t="s"/>
      <c r="I525" t="s"/>
      <c r="J525" t="n">
        <v>0.8668</v>
      </c>
      <c r="K525" t="n">
        <v>0.079</v>
      </c>
      <c r="L525" t="n">
        <v>0.577</v>
      </c>
      <c r="M525" t="n">
        <v>0.344</v>
      </c>
    </row>
    <row r="526" spans="1:13">
      <c r="A526" s="1">
        <f>HYPERLINK("http://www.twitter.com/NathanBLawrence/status/996965023409831936", "996965023409831936")</f>
        <v/>
      </c>
      <c r="B526" s="2" t="n">
        <v>43237.17081018518</v>
      </c>
      <c r="C526" t="n">
        <v>7</v>
      </c>
      <c r="D526" t="n">
        <v>3</v>
      </c>
      <c r="E526" t="s">
        <v>537</v>
      </c>
      <c r="F526" t="s"/>
      <c r="G526" t="s"/>
      <c r="H526" t="s"/>
      <c r="I526" t="s"/>
      <c r="J526" t="n">
        <v>0</v>
      </c>
      <c r="K526" t="n">
        <v>0</v>
      </c>
      <c r="L526" t="n">
        <v>1</v>
      </c>
      <c r="M526" t="n">
        <v>0</v>
      </c>
    </row>
    <row r="527" spans="1:13">
      <c r="A527" s="1">
        <f>HYPERLINK("http://www.twitter.com/NathanBLawrence/status/996963572667187200", "996963572667187200")</f>
        <v/>
      </c>
      <c r="B527" s="2" t="n">
        <v>43237.16681712963</v>
      </c>
      <c r="C527" t="n">
        <v>12</v>
      </c>
      <c r="D527" t="n">
        <v>4</v>
      </c>
      <c r="E527" t="s">
        <v>538</v>
      </c>
      <c r="F527" t="s"/>
      <c r="G527" t="s"/>
      <c r="H527" t="s"/>
      <c r="I527" t="s"/>
      <c r="J527" t="n">
        <v>-0.1779</v>
      </c>
      <c r="K527" t="n">
        <v>0.066</v>
      </c>
      <c r="L527" t="n">
        <v>0.891</v>
      </c>
      <c r="M527" t="n">
        <v>0.043</v>
      </c>
    </row>
    <row r="528" spans="1:13">
      <c r="A528" s="1">
        <f>HYPERLINK("http://www.twitter.com/NathanBLawrence/status/996963234484600833", "996963234484600833")</f>
        <v/>
      </c>
      <c r="B528" s="2" t="n">
        <v>43237.16587962963</v>
      </c>
      <c r="C528" t="n">
        <v>0</v>
      </c>
      <c r="D528" t="n">
        <v>34</v>
      </c>
      <c r="E528" t="s">
        <v>539</v>
      </c>
      <c r="F528">
        <f>HYPERLINK("http://pbs.twimg.com/media/Dc4o2bNWsAM22rE.jpg", "http://pbs.twimg.com/media/Dc4o2bNWsAM22rE.jpg")</f>
        <v/>
      </c>
      <c r="G528">
        <f>HYPERLINK("http://pbs.twimg.com/media/Dc4o2bPWkAEaDrZ.jpg", "http://pbs.twimg.com/media/Dc4o2bPWkAEaDrZ.jpg")</f>
        <v/>
      </c>
      <c r="H528">
        <f>HYPERLINK("http://pbs.twimg.com/media/Dc4o2bKWkAIJdEB.jpg", "http://pbs.twimg.com/media/Dc4o2bKWkAIJdEB.jpg")</f>
        <v/>
      </c>
      <c r="I528">
        <f>HYPERLINK("http://pbs.twimg.com/media/Dc4o2bNXkAEz_Ua.jpg", "http://pbs.twimg.com/media/Dc4o2bNXkAEz_Ua.jpg")</f>
        <v/>
      </c>
      <c r="J528" t="n">
        <v>0.3182</v>
      </c>
      <c r="K528" t="n">
        <v>0</v>
      </c>
      <c r="L528" t="n">
        <v>0.887</v>
      </c>
      <c r="M528" t="n">
        <v>0.113</v>
      </c>
    </row>
    <row r="529" spans="1:13">
      <c r="A529" s="1">
        <f>HYPERLINK("http://www.twitter.com/NathanBLawrence/status/996963135230640128", "996963135230640128")</f>
        <v/>
      </c>
      <c r="B529" s="2" t="n">
        <v>43237.16560185186</v>
      </c>
      <c r="C529" t="n">
        <v>13</v>
      </c>
      <c r="D529" t="n">
        <v>4</v>
      </c>
      <c r="E529" t="s">
        <v>540</v>
      </c>
      <c r="F529" t="s"/>
      <c r="G529" t="s"/>
      <c r="H529" t="s"/>
      <c r="I529" t="s"/>
      <c r="J529" t="n">
        <v>0</v>
      </c>
      <c r="K529" t="n">
        <v>0</v>
      </c>
      <c r="L529" t="n">
        <v>1</v>
      </c>
      <c r="M529" t="n">
        <v>0</v>
      </c>
    </row>
    <row r="530" spans="1:13">
      <c r="A530" s="1">
        <f>HYPERLINK("http://www.twitter.com/NathanBLawrence/status/996962586225659906", "996962586225659906")</f>
        <v/>
      </c>
      <c r="B530" s="2" t="n">
        <v>43237.16408564815</v>
      </c>
      <c r="C530" t="n">
        <v>0</v>
      </c>
      <c r="D530" t="n">
        <v>3</v>
      </c>
      <c r="E530" t="s">
        <v>541</v>
      </c>
      <c r="F530" t="s"/>
      <c r="G530" t="s"/>
      <c r="H530" t="s"/>
      <c r="I530" t="s"/>
      <c r="J530" t="n">
        <v>0.5266999999999999</v>
      </c>
      <c r="K530" t="n">
        <v>0</v>
      </c>
      <c r="L530" t="n">
        <v>0.855</v>
      </c>
      <c r="M530" t="n">
        <v>0.145</v>
      </c>
    </row>
    <row r="531" spans="1:13">
      <c r="A531" s="1">
        <f>HYPERLINK("http://www.twitter.com/NathanBLawrence/status/996962466025238529", "996962466025238529")</f>
        <v/>
      </c>
      <c r="B531" s="2" t="n">
        <v>43237.16376157408</v>
      </c>
      <c r="C531" t="n">
        <v>8</v>
      </c>
      <c r="D531" t="n">
        <v>3</v>
      </c>
      <c r="E531" t="s">
        <v>542</v>
      </c>
      <c r="F531" t="s"/>
      <c r="G531" t="s"/>
      <c r="H531" t="s"/>
      <c r="I531" t="s"/>
      <c r="J531" t="n">
        <v>-0.4753</v>
      </c>
      <c r="K531" t="n">
        <v>0.201</v>
      </c>
      <c r="L531" t="n">
        <v>0.661</v>
      </c>
      <c r="M531" t="n">
        <v>0.138</v>
      </c>
    </row>
    <row r="532" spans="1:13">
      <c r="A532" s="1">
        <f>HYPERLINK("http://www.twitter.com/NathanBLawrence/status/996961904982614016", "996961904982614016")</f>
        <v/>
      </c>
      <c r="B532" s="2" t="n">
        <v>43237.16221064814</v>
      </c>
      <c r="C532" t="n">
        <v>14</v>
      </c>
      <c r="D532" t="n">
        <v>5</v>
      </c>
      <c r="E532" t="s">
        <v>543</v>
      </c>
      <c r="F532" t="s"/>
      <c r="G532" t="s"/>
      <c r="H532" t="s"/>
      <c r="I532" t="s"/>
      <c r="J532" t="n">
        <v>-0.5893</v>
      </c>
      <c r="K532" t="n">
        <v>0.138</v>
      </c>
      <c r="L532" t="n">
        <v>0.783</v>
      </c>
      <c r="M532" t="n">
        <v>0.078</v>
      </c>
    </row>
    <row r="533" spans="1:13">
      <c r="A533" s="1">
        <f>HYPERLINK("http://www.twitter.com/NathanBLawrence/status/996960673182568449", "996960673182568449")</f>
        <v/>
      </c>
      <c r="B533" s="2" t="n">
        <v>43237.15880787037</v>
      </c>
      <c r="C533" t="n">
        <v>1</v>
      </c>
      <c r="D533" t="n">
        <v>0</v>
      </c>
      <c r="E533" t="s">
        <v>544</v>
      </c>
      <c r="F533" t="s"/>
      <c r="G533" t="s"/>
      <c r="H533" t="s"/>
      <c r="I533" t="s"/>
      <c r="J533" t="n">
        <v>0.5266999999999999</v>
      </c>
      <c r="K533" t="n">
        <v>0</v>
      </c>
      <c r="L533" t="n">
        <v>0.855</v>
      </c>
      <c r="M533" t="n">
        <v>0.145</v>
      </c>
    </row>
    <row r="534" spans="1:13">
      <c r="A534" s="1">
        <f>HYPERLINK("http://www.twitter.com/NathanBLawrence/status/996960248396103680", "996960248396103680")</f>
        <v/>
      </c>
      <c r="B534" s="2" t="n">
        <v>43237.15763888889</v>
      </c>
      <c r="C534" t="n">
        <v>7</v>
      </c>
      <c r="D534" t="n">
        <v>4</v>
      </c>
      <c r="E534" t="s">
        <v>545</v>
      </c>
      <c r="F534" t="s"/>
      <c r="G534" t="s"/>
      <c r="H534" t="s"/>
      <c r="I534" t="s"/>
      <c r="J534" t="n">
        <v>0.6705</v>
      </c>
      <c r="K534" t="n">
        <v>0</v>
      </c>
      <c r="L534" t="n">
        <v>0.849</v>
      </c>
      <c r="M534" t="n">
        <v>0.151</v>
      </c>
    </row>
    <row r="535" spans="1:13">
      <c r="A535" s="1">
        <f>HYPERLINK("http://www.twitter.com/NathanBLawrence/status/996959972721246210", "996959972721246210")</f>
        <v/>
      </c>
      <c r="B535" s="2" t="n">
        <v>43237.156875</v>
      </c>
      <c r="C535" t="n">
        <v>1</v>
      </c>
      <c r="D535" t="n">
        <v>0</v>
      </c>
      <c r="E535" t="s">
        <v>546</v>
      </c>
      <c r="F535" t="s"/>
      <c r="G535" t="s"/>
      <c r="H535" t="s"/>
      <c r="I535" t="s"/>
      <c r="J535" t="n">
        <v>0.25</v>
      </c>
      <c r="K535" t="n">
        <v>0</v>
      </c>
      <c r="L535" t="n">
        <v>0.9379999999999999</v>
      </c>
      <c r="M535" t="n">
        <v>0.062</v>
      </c>
    </row>
    <row r="536" spans="1:13">
      <c r="A536" s="1">
        <f>HYPERLINK("http://www.twitter.com/NathanBLawrence/status/996958943497764864", "996958943497764864")</f>
        <v/>
      </c>
      <c r="B536" s="2" t="n">
        <v>43237.15403935185</v>
      </c>
      <c r="C536" t="n">
        <v>1</v>
      </c>
      <c r="D536" t="n">
        <v>0</v>
      </c>
      <c r="E536" t="s">
        <v>547</v>
      </c>
      <c r="F536" t="s"/>
      <c r="G536" t="s"/>
      <c r="H536" t="s"/>
      <c r="I536" t="s"/>
      <c r="J536" t="n">
        <v>0</v>
      </c>
      <c r="K536" t="n">
        <v>0</v>
      </c>
      <c r="L536" t="n">
        <v>1</v>
      </c>
      <c r="M536" t="n">
        <v>0</v>
      </c>
    </row>
    <row r="537" spans="1:13">
      <c r="A537" s="1">
        <f>HYPERLINK("http://www.twitter.com/NathanBLawrence/status/996958074643529729", "996958074643529729")</f>
        <v/>
      </c>
      <c r="B537" s="2" t="n">
        <v>43237.15164351852</v>
      </c>
      <c r="C537" t="n">
        <v>12</v>
      </c>
      <c r="D537" t="n">
        <v>8</v>
      </c>
      <c r="E537" t="s">
        <v>548</v>
      </c>
      <c r="F537" t="s"/>
      <c r="G537" t="s"/>
      <c r="H537" t="s"/>
      <c r="I537" t="s"/>
      <c r="J537" t="n">
        <v>0.7592</v>
      </c>
      <c r="K537" t="n">
        <v>0</v>
      </c>
      <c r="L537" t="n">
        <v>0.835</v>
      </c>
      <c r="M537" t="n">
        <v>0.165</v>
      </c>
    </row>
    <row r="538" spans="1:13">
      <c r="A538" s="1">
        <f>HYPERLINK("http://www.twitter.com/NathanBLawrence/status/996953542509322240", "996953542509322240")</f>
        <v/>
      </c>
      <c r="B538" s="2" t="n">
        <v>43237.13913194444</v>
      </c>
      <c r="C538" t="n">
        <v>4</v>
      </c>
      <c r="D538" t="n">
        <v>1</v>
      </c>
      <c r="E538" t="s">
        <v>549</v>
      </c>
      <c r="F538" t="s"/>
      <c r="G538" t="s"/>
      <c r="H538" t="s"/>
      <c r="I538" t="s"/>
      <c r="J538" t="n">
        <v>-0.4939</v>
      </c>
      <c r="K538" t="n">
        <v>0.256</v>
      </c>
      <c r="L538" t="n">
        <v>0.581</v>
      </c>
      <c r="M538" t="n">
        <v>0.163</v>
      </c>
    </row>
    <row r="539" spans="1:13">
      <c r="A539" s="1">
        <f>HYPERLINK("http://www.twitter.com/NathanBLawrence/status/996952992149639168", "996952992149639168")</f>
        <v/>
      </c>
      <c r="B539" s="2" t="n">
        <v>43237.13761574074</v>
      </c>
      <c r="C539" t="n">
        <v>5</v>
      </c>
      <c r="D539" t="n">
        <v>2</v>
      </c>
      <c r="E539" t="s">
        <v>550</v>
      </c>
      <c r="F539" t="s"/>
      <c r="G539" t="s"/>
      <c r="H539" t="s"/>
      <c r="I539" t="s"/>
      <c r="J539" t="n">
        <v>-0.9468</v>
      </c>
      <c r="K539" t="n">
        <v>0.361</v>
      </c>
      <c r="L539" t="n">
        <v>0.639</v>
      </c>
      <c r="M539" t="n">
        <v>0</v>
      </c>
    </row>
    <row r="540" spans="1:13">
      <c r="A540" s="1">
        <f>HYPERLINK("http://www.twitter.com/NathanBLawrence/status/996952580235247617", "996952580235247617")</f>
        <v/>
      </c>
      <c r="B540" s="2" t="n">
        <v>43237.13648148148</v>
      </c>
      <c r="C540" t="n">
        <v>0</v>
      </c>
      <c r="D540" t="n">
        <v>97</v>
      </c>
      <c r="E540" t="s">
        <v>551</v>
      </c>
      <c r="F540" t="s"/>
      <c r="G540" t="s"/>
      <c r="H540" t="s"/>
      <c r="I540" t="s"/>
      <c r="J540" t="n">
        <v>0</v>
      </c>
      <c r="K540" t="n">
        <v>0</v>
      </c>
      <c r="L540" t="n">
        <v>1</v>
      </c>
      <c r="M540" t="n">
        <v>0</v>
      </c>
    </row>
    <row r="541" spans="1:13">
      <c r="A541" s="1">
        <f>HYPERLINK("http://www.twitter.com/NathanBLawrence/status/996952515999555584", "996952515999555584")</f>
        <v/>
      </c>
      <c r="B541" s="2" t="n">
        <v>43237.1362962963</v>
      </c>
      <c r="C541" t="n">
        <v>0</v>
      </c>
      <c r="D541" t="n">
        <v>151</v>
      </c>
      <c r="E541" t="s">
        <v>552</v>
      </c>
      <c r="F541" t="s"/>
      <c r="G541" t="s"/>
      <c r="H541" t="s"/>
      <c r="I541" t="s"/>
      <c r="J541" t="n">
        <v>-0.4019</v>
      </c>
      <c r="K541" t="n">
        <v>0.184</v>
      </c>
      <c r="L541" t="n">
        <v>0.8159999999999999</v>
      </c>
      <c r="M541" t="n">
        <v>0</v>
      </c>
    </row>
    <row r="542" spans="1:13">
      <c r="A542" s="1">
        <f>HYPERLINK("http://www.twitter.com/NathanBLawrence/status/996951748035018753", "996951748035018753")</f>
        <v/>
      </c>
      <c r="B542" s="2" t="n">
        <v>43237.13417824074</v>
      </c>
      <c r="C542" t="n">
        <v>10</v>
      </c>
      <c r="D542" t="n">
        <v>5</v>
      </c>
      <c r="E542" t="s">
        <v>553</v>
      </c>
      <c r="F542" t="s"/>
      <c r="G542" t="s"/>
      <c r="H542" t="s"/>
      <c r="I542" t="s"/>
      <c r="J542" t="n">
        <v>-0.7774</v>
      </c>
      <c r="K542" t="n">
        <v>0.266</v>
      </c>
      <c r="L542" t="n">
        <v>0.658</v>
      </c>
      <c r="M542" t="n">
        <v>0.076</v>
      </c>
    </row>
    <row r="543" spans="1:13">
      <c r="A543" s="1">
        <f>HYPERLINK("http://www.twitter.com/NathanBLawrence/status/996951369444605953", "996951369444605953")</f>
        <v/>
      </c>
      <c r="B543" s="2" t="n">
        <v>43237.13313657408</v>
      </c>
      <c r="C543" t="n">
        <v>29</v>
      </c>
      <c r="D543" t="n">
        <v>17</v>
      </c>
      <c r="E543" t="s">
        <v>554</v>
      </c>
      <c r="F543" t="s"/>
      <c r="G543" t="s"/>
      <c r="H543" t="s"/>
      <c r="I543" t="s"/>
      <c r="J543" t="n">
        <v>-0.2481</v>
      </c>
      <c r="K543" t="n">
        <v>0.08500000000000001</v>
      </c>
      <c r="L543" t="n">
        <v>0.853</v>
      </c>
      <c r="M543" t="n">
        <v>0.062</v>
      </c>
    </row>
    <row r="544" spans="1:13">
      <c r="A544" s="1">
        <f>HYPERLINK("http://www.twitter.com/NathanBLawrence/status/996949875219574785", "996949875219574785")</f>
        <v/>
      </c>
      <c r="B544" s="2" t="n">
        <v>43237.1290162037</v>
      </c>
      <c r="C544" t="n">
        <v>2</v>
      </c>
      <c r="D544" t="n">
        <v>0</v>
      </c>
      <c r="E544" t="s">
        <v>555</v>
      </c>
      <c r="F544" t="s"/>
      <c r="G544" t="s"/>
      <c r="H544" t="s"/>
      <c r="I544" t="s"/>
      <c r="J544" t="n">
        <v>0</v>
      </c>
      <c r="K544" t="n">
        <v>0</v>
      </c>
      <c r="L544" t="n">
        <v>1</v>
      </c>
      <c r="M544" t="n">
        <v>0</v>
      </c>
    </row>
    <row r="545" spans="1:13">
      <c r="A545" s="1">
        <f>HYPERLINK("http://www.twitter.com/NathanBLawrence/status/996929129067917312", "996929129067917312")</f>
        <v/>
      </c>
      <c r="B545" s="2" t="n">
        <v>43237.07177083333</v>
      </c>
      <c r="C545" t="n">
        <v>9</v>
      </c>
      <c r="D545" t="n">
        <v>7</v>
      </c>
      <c r="E545" t="s">
        <v>556</v>
      </c>
      <c r="F545" t="s"/>
      <c r="G545" t="s"/>
      <c r="H545" t="s"/>
      <c r="I545" t="s"/>
      <c r="J545" t="n">
        <v>0.2714</v>
      </c>
      <c r="K545" t="n">
        <v>0</v>
      </c>
      <c r="L545" t="n">
        <v>0.901</v>
      </c>
      <c r="M545" t="n">
        <v>0.099</v>
      </c>
    </row>
    <row r="546" spans="1:13">
      <c r="A546" s="1">
        <f>HYPERLINK("http://www.twitter.com/NathanBLawrence/status/996928823894556672", "996928823894556672")</f>
        <v/>
      </c>
      <c r="B546" s="2" t="n">
        <v>43237.07092592592</v>
      </c>
      <c r="C546" t="n">
        <v>16</v>
      </c>
      <c r="D546" t="n">
        <v>6</v>
      </c>
      <c r="E546" t="s">
        <v>557</v>
      </c>
      <c r="F546" t="s"/>
      <c r="G546" t="s"/>
      <c r="H546" t="s"/>
      <c r="I546" t="s"/>
      <c r="J546" t="n">
        <v>-0.2755</v>
      </c>
      <c r="K546" t="n">
        <v>0.11</v>
      </c>
      <c r="L546" t="n">
        <v>0.89</v>
      </c>
      <c r="M546" t="n">
        <v>0</v>
      </c>
    </row>
    <row r="547" spans="1:13">
      <c r="A547" s="1">
        <f>HYPERLINK("http://www.twitter.com/NathanBLawrence/status/996928519690076160", "996928519690076160")</f>
        <v/>
      </c>
      <c r="B547" s="2" t="n">
        <v>43237.07008101852</v>
      </c>
      <c r="C547" t="n">
        <v>5</v>
      </c>
      <c r="D547" t="n">
        <v>2</v>
      </c>
      <c r="E547" t="s">
        <v>558</v>
      </c>
      <c r="F547" t="s"/>
      <c r="G547" t="s"/>
      <c r="H547" t="s"/>
      <c r="I547" t="s"/>
      <c r="J547" t="n">
        <v>0</v>
      </c>
      <c r="K547" t="n">
        <v>0</v>
      </c>
      <c r="L547" t="n">
        <v>1</v>
      </c>
      <c r="M547" t="n">
        <v>0</v>
      </c>
    </row>
    <row r="548" spans="1:13">
      <c r="A548" s="1">
        <f>HYPERLINK("http://www.twitter.com/NathanBLawrence/status/996928347329388545", "996928347329388545")</f>
        <v/>
      </c>
      <c r="B548" s="2" t="n">
        <v>43237.06960648148</v>
      </c>
      <c r="C548" t="n">
        <v>0</v>
      </c>
      <c r="D548" t="n">
        <v>373</v>
      </c>
      <c r="E548" t="s">
        <v>559</v>
      </c>
      <c r="F548" t="s"/>
      <c r="G548" t="s"/>
      <c r="H548" t="s"/>
      <c r="I548" t="s"/>
      <c r="J548" t="n">
        <v>-0.4588</v>
      </c>
      <c r="K548" t="n">
        <v>0.188</v>
      </c>
      <c r="L548" t="n">
        <v>0.8120000000000001</v>
      </c>
      <c r="M548" t="n">
        <v>0</v>
      </c>
    </row>
    <row r="549" spans="1:13">
      <c r="A549" s="1">
        <f>HYPERLINK("http://www.twitter.com/NathanBLawrence/status/996928294980239360", "996928294980239360")</f>
        <v/>
      </c>
      <c r="B549" s="2" t="n">
        <v>43237.06946759259</v>
      </c>
      <c r="C549" t="n">
        <v>0</v>
      </c>
      <c r="D549" t="n">
        <v>1421</v>
      </c>
      <c r="E549" t="s">
        <v>560</v>
      </c>
      <c r="F549" t="s"/>
      <c r="G549" t="s"/>
      <c r="H549" t="s"/>
      <c r="I549" t="s"/>
      <c r="J549" t="n">
        <v>0</v>
      </c>
      <c r="K549" t="n">
        <v>0</v>
      </c>
      <c r="L549" t="n">
        <v>1</v>
      </c>
      <c r="M549" t="n">
        <v>0</v>
      </c>
    </row>
    <row r="550" spans="1:13">
      <c r="A550" s="1">
        <f>HYPERLINK("http://www.twitter.com/NathanBLawrence/status/996928034396561408", "996928034396561408")</f>
        <v/>
      </c>
      <c r="B550" s="2" t="n">
        <v>43237.06875</v>
      </c>
      <c r="C550" t="n">
        <v>0</v>
      </c>
      <c r="D550" t="n">
        <v>7151</v>
      </c>
      <c r="E550" t="s">
        <v>561</v>
      </c>
      <c r="F550">
        <f>HYPERLINK("https://video.twimg.com/amplify_video/996700129485869058/vid/640x360/iUtMV7lrtfxWWO6O.mp4?tag=2", "https://video.twimg.com/amplify_video/996700129485869058/vid/640x360/iUtMV7lrtfxWWO6O.mp4?tag=2")</f>
        <v/>
      </c>
      <c r="G550" t="s"/>
      <c r="H550" t="s"/>
      <c r="I550" t="s"/>
      <c r="J550" t="n">
        <v>0.3254</v>
      </c>
      <c r="K550" t="n">
        <v>0.068</v>
      </c>
      <c r="L550" t="n">
        <v>0.8070000000000001</v>
      </c>
      <c r="M550" t="n">
        <v>0.125</v>
      </c>
    </row>
    <row r="551" spans="1:13">
      <c r="A551" s="1">
        <f>HYPERLINK("http://www.twitter.com/NathanBLawrence/status/996879246013296641", "996879246013296641")</f>
        <v/>
      </c>
      <c r="B551" s="2" t="n">
        <v>43236.93412037037</v>
      </c>
      <c r="C551" t="n">
        <v>3</v>
      </c>
      <c r="D551" t="n">
        <v>1</v>
      </c>
      <c r="E551" t="s">
        <v>562</v>
      </c>
      <c r="F551" t="s"/>
      <c r="G551" t="s"/>
      <c r="H551" t="s"/>
      <c r="I551" t="s"/>
      <c r="J551" t="n">
        <v>-0.6188</v>
      </c>
      <c r="K551" t="n">
        <v>0.266</v>
      </c>
      <c r="L551" t="n">
        <v>0.616</v>
      </c>
      <c r="M551" t="n">
        <v>0.118</v>
      </c>
    </row>
    <row r="552" spans="1:13">
      <c r="A552" s="1">
        <f>HYPERLINK("http://www.twitter.com/NathanBLawrence/status/996878633095475200", "996878633095475200")</f>
        <v/>
      </c>
      <c r="B552" s="2" t="n">
        <v>43236.93241898148</v>
      </c>
      <c r="C552" t="n">
        <v>5</v>
      </c>
      <c r="D552" t="n">
        <v>6</v>
      </c>
      <c r="E552" t="s">
        <v>563</v>
      </c>
      <c r="F552" t="s"/>
      <c r="G552" t="s"/>
      <c r="H552" t="s"/>
      <c r="I552" t="s"/>
      <c r="J552" t="n">
        <v>0.5803</v>
      </c>
      <c r="K552" t="n">
        <v>0.202</v>
      </c>
      <c r="L552" t="n">
        <v>0.503</v>
      </c>
      <c r="M552" t="n">
        <v>0.295</v>
      </c>
    </row>
    <row r="553" spans="1:13">
      <c r="A553" s="1">
        <f>HYPERLINK("http://www.twitter.com/NathanBLawrence/status/996878288818614277", "996878288818614277")</f>
        <v/>
      </c>
      <c r="B553" s="2" t="n">
        <v>43236.93146990741</v>
      </c>
      <c r="C553" t="n">
        <v>5</v>
      </c>
      <c r="D553" t="n">
        <v>4</v>
      </c>
      <c r="E553" t="s">
        <v>564</v>
      </c>
      <c r="F553" t="s"/>
      <c r="G553" t="s"/>
      <c r="H553" t="s"/>
      <c r="I553" t="s"/>
      <c r="J553" t="n">
        <v>0.6833</v>
      </c>
      <c r="K553" t="n">
        <v>0.106</v>
      </c>
      <c r="L553" t="n">
        <v>0.555</v>
      </c>
      <c r="M553" t="n">
        <v>0.339</v>
      </c>
    </row>
    <row r="554" spans="1:13">
      <c r="A554" s="1">
        <f>HYPERLINK("http://www.twitter.com/NathanBLawrence/status/996878083255812096", "996878083255812096")</f>
        <v/>
      </c>
      <c r="B554" s="2" t="n">
        <v>43236.93090277778</v>
      </c>
      <c r="C554" t="n">
        <v>3</v>
      </c>
      <c r="D554" t="n">
        <v>1</v>
      </c>
      <c r="E554" t="s">
        <v>565</v>
      </c>
      <c r="F554" t="s"/>
      <c r="G554" t="s"/>
      <c r="H554" t="s"/>
      <c r="I554" t="s"/>
      <c r="J554" t="n">
        <v>-0.6731</v>
      </c>
      <c r="K554" t="n">
        <v>0.257</v>
      </c>
      <c r="L554" t="n">
        <v>0.743</v>
      </c>
      <c r="M554" t="n">
        <v>0</v>
      </c>
    </row>
    <row r="555" spans="1:13">
      <c r="A555" s="1">
        <f>HYPERLINK("http://www.twitter.com/NathanBLawrence/status/996877776132104192", "996877776132104192")</f>
        <v/>
      </c>
      <c r="B555" s="2" t="n">
        <v>43236.93005787037</v>
      </c>
      <c r="C555" t="n">
        <v>3</v>
      </c>
      <c r="D555" t="n">
        <v>3</v>
      </c>
      <c r="E555" t="s">
        <v>566</v>
      </c>
      <c r="F555" t="s"/>
      <c r="G555" t="s"/>
      <c r="H555" t="s"/>
      <c r="I555" t="s"/>
      <c r="J555" t="n">
        <v>-0.6027</v>
      </c>
      <c r="K555" t="n">
        <v>0.247</v>
      </c>
      <c r="L555" t="n">
        <v>0.753</v>
      </c>
      <c r="M555" t="n">
        <v>0</v>
      </c>
    </row>
    <row r="556" spans="1:13">
      <c r="A556" s="1">
        <f>HYPERLINK("http://www.twitter.com/NathanBLawrence/status/996877590488006656", "996877590488006656")</f>
        <v/>
      </c>
      <c r="B556" s="2" t="n">
        <v>43236.92954861111</v>
      </c>
      <c r="C556" t="n">
        <v>2</v>
      </c>
      <c r="D556" t="n">
        <v>2</v>
      </c>
      <c r="E556" t="s">
        <v>567</v>
      </c>
      <c r="F556" t="s"/>
      <c r="G556" t="s"/>
      <c r="H556" t="s"/>
      <c r="I556" t="s"/>
      <c r="J556" t="n">
        <v>-0.2263</v>
      </c>
      <c r="K556" t="n">
        <v>0.254</v>
      </c>
      <c r="L556" t="n">
        <v>0.585</v>
      </c>
      <c r="M556" t="n">
        <v>0.161</v>
      </c>
    </row>
    <row r="557" spans="1:13">
      <c r="A557" s="1">
        <f>HYPERLINK("http://www.twitter.com/NathanBLawrence/status/996877512297795585", "996877512297795585")</f>
        <v/>
      </c>
      <c r="B557" s="2" t="n">
        <v>43236.92932870371</v>
      </c>
      <c r="C557" t="n">
        <v>3</v>
      </c>
      <c r="D557" t="n">
        <v>3</v>
      </c>
      <c r="E557" t="s">
        <v>568</v>
      </c>
      <c r="F557" t="s"/>
      <c r="G557" t="s"/>
      <c r="H557" t="s"/>
      <c r="I557" t="s"/>
      <c r="J557" t="n">
        <v>0.3595</v>
      </c>
      <c r="K557" t="n">
        <v>0</v>
      </c>
      <c r="L557" t="n">
        <v>0.849</v>
      </c>
      <c r="M557" t="n">
        <v>0.151</v>
      </c>
    </row>
    <row r="558" spans="1:13">
      <c r="A558" s="1">
        <f>HYPERLINK("http://www.twitter.com/NathanBLawrence/status/996877263751671808", "996877263751671808")</f>
        <v/>
      </c>
      <c r="B558" s="2" t="n">
        <v>43236.92864583333</v>
      </c>
      <c r="C558" t="n">
        <v>9</v>
      </c>
      <c r="D558" t="n">
        <v>4</v>
      </c>
      <c r="E558" t="s">
        <v>569</v>
      </c>
      <c r="F558" t="s"/>
      <c r="G558" t="s"/>
      <c r="H558" t="s"/>
      <c r="I558" t="s"/>
      <c r="J558" t="n">
        <v>-0.5255</v>
      </c>
      <c r="K558" t="n">
        <v>0.247</v>
      </c>
      <c r="L558" t="n">
        <v>0.633</v>
      </c>
      <c r="M558" t="n">
        <v>0.12</v>
      </c>
    </row>
    <row r="559" spans="1:13">
      <c r="A559" s="1">
        <f>HYPERLINK("http://www.twitter.com/NathanBLawrence/status/996877062420889601", "996877062420889601")</f>
        <v/>
      </c>
      <c r="B559" s="2" t="n">
        <v>43236.92809027778</v>
      </c>
      <c r="C559" t="n">
        <v>3</v>
      </c>
      <c r="D559" t="n">
        <v>0</v>
      </c>
      <c r="E559" t="s">
        <v>570</v>
      </c>
      <c r="F559" t="s"/>
      <c r="G559" t="s"/>
      <c r="H559" t="s"/>
      <c r="I559" t="s"/>
      <c r="J559" t="n">
        <v>0</v>
      </c>
      <c r="K559" t="n">
        <v>0</v>
      </c>
      <c r="L559" t="n">
        <v>1</v>
      </c>
      <c r="M559" t="n">
        <v>0</v>
      </c>
    </row>
    <row r="560" spans="1:13">
      <c r="A560" s="1">
        <f>HYPERLINK("http://www.twitter.com/NathanBLawrence/status/996876700825796609", "996876700825796609")</f>
        <v/>
      </c>
      <c r="B560" s="2" t="n">
        <v>43236.92709490741</v>
      </c>
      <c r="C560" t="n">
        <v>10</v>
      </c>
      <c r="D560" t="n">
        <v>12</v>
      </c>
      <c r="E560" t="s">
        <v>571</v>
      </c>
      <c r="F560" t="s"/>
      <c r="G560" t="s"/>
      <c r="H560" t="s"/>
      <c r="I560" t="s"/>
      <c r="J560" t="n">
        <v>0.4767</v>
      </c>
      <c r="K560" t="n">
        <v>0</v>
      </c>
      <c r="L560" t="n">
        <v>0.923</v>
      </c>
      <c r="M560" t="n">
        <v>0.077</v>
      </c>
    </row>
    <row r="561" spans="1:13">
      <c r="A561" s="1">
        <f>HYPERLINK("http://www.twitter.com/NathanBLawrence/status/996876439617064960", "996876439617064960")</f>
        <v/>
      </c>
      <c r="B561" s="2" t="n">
        <v>43236.92636574074</v>
      </c>
      <c r="C561" t="n">
        <v>0</v>
      </c>
      <c r="D561" t="n">
        <v>846</v>
      </c>
      <c r="E561" t="s">
        <v>572</v>
      </c>
      <c r="F561" t="s"/>
      <c r="G561" t="s"/>
      <c r="H561" t="s"/>
      <c r="I561" t="s"/>
      <c r="J561" t="n">
        <v>0</v>
      </c>
      <c r="K561" t="n">
        <v>0</v>
      </c>
      <c r="L561" t="n">
        <v>1</v>
      </c>
      <c r="M561" t="n">
        <v>0</v>
      </c>
    </row>
    <row r="562" spans="1:13">
      <c r="A562" s="1">
        <f>HYPERLINK("http://www.twitter.com/NathanBLawrence/status/996876239276199938", "996876239276199938")</f>
        <v/>
      </c>
      <c r="B562" s="2" t="n">
        <v>43236.92582175926</v>
      </c>
      <c r="C562" t="n">
        <v>4</v>
      </c>
      <c r="D562" t="n">
        <v>3</v>
      </c>
      <c r="E562" t="s">
        <v>573</v>
      </c>
      <c r="F562" t="s"/>
      <c r="G562" t="s"/>
      <c r="H562" t="s"/>
      <c r="I562" t="s"/>
      <c r="J562" t="n">
        <v>-0.8034</v>
      </c>
      <c r="K562" t="n">
        <v>0.298</v>
      </c>
      <c r="L562" t="n">
        <v>0.702</v>
      </c>
      <c r="M562" t="n">
        <v>0</v>
      </c>
    </row>
    <row r="563" spans="1:13">
      <c r="A563" s="1">
        <f>HYPERLINK("http://www.twitter.com/NathanBLawrence/status/996875719664795648", "996875719664795648")</f>
        <v/>
      </c>
      <c r="B563" s="2" t="n">
        <v>43236.92438657407</v>
      </c>
      <c r="C563" t="n">
        <v>14</v>
      </c>
      <c r="D563" t="n">
        <v>7</v>
      </c>
      <c r="E563" t="s">
        <v>574</v>
      </c>
      <c r="F563" t="s"/>
      <c r="G563" t="s"/>
      <c r="H563" t="s"/>
      <c r="I563" t="s"/>
      <c r="J563" t="n">
        <v>0.4019</v>
      </c>
      <c r="K563" t="n">
        <v>0</v>
      </c>
      <c r="L563" t="n">
        <v>0.903</v>
      </c>
      <c r="M563" t="n">
        <v>0.097</v>
      </c>
    </row>
    <row r="564" spans="1:13">
      <c r="A564" s="1">
        <f>HYPERLINK("http://www.twitter.com/NathanBLawrence/status/996875606456352768", "996875606456352768")</f>
        <v/>
      </c>
      <c r="B564" s="2" t="n">
        <v>43236.92407407407</v>
      </c>
      <c r="C564" t="n">
        <v>3</v>
      </c>
      <c r="D564" t="n">
        <v>3</v>
      </c>
      <c r="E564" t="s">
        <v>575</v>
      </c>
      <c r="F564" t="s"/>
      <c r="G564" t="s"/>
      <c r="H564" t="s"/>
      <c r="I564" t="s"/>
      <c r="J564" t="n">
        <v>0</v>
      </c>
      <c r="K564" t="n">
        <v>0</v>
      </c>
      <c r="L564" t="n">
        <v>1</v>
      </c>
      <c r="M564" t="n">
        <v>0</v>
      </c>
    </row>
    <row r="565" spans="1:13">
      <c r="A565" s="1">
        <f>HYPERLINK("http://www.twitter.com/NathanBLawrence/status/996875457696940032", "996875457696940032")</f>
        <v/>
      </c>
      <c r="B565" s="2" t="n">
        <v>43236.92365740741</v>
      </c>
      <c r="C565" t="n">
        <v>6</v>
      </c>
      <c r="D565" t="n">
        <v>9</v>
      </c>
      <c r="E565" t="s">
        <v>576</v>
      </c>
      <c r="F565" t="s"/>
      <c r="G565" t="s"/>
      <c r="H565" t="s"/>
      <c r="I565" t="s"/>
      <c r="J565" t="n">
        <v>-0.3182</v>
      </c>
      <c r="K565" t="n">
        <v>0.119</v>
      </c>
      <c r="L565" t="n">
        <v>0.8159999999999999</v>
      </c>
      <c r="M565" t="n">
        <v>0.065</v>
      </c>
    </row>
    <row r="566" spans="1:13">
      <c r="A566" s="1">
        <f>HYPERLINK("http://www.twitter.com/NathanBLawrence/status/996814141502320640", "996814141502320640")</f>
        <v/>
      </c>
      <c r="B566" s="2" t="n">
        <v>43236.75445601852</v>
      </c>
      <c r="C566" t="n">
        <v>4</v>
      </c>
      <c r="D566" t="n">
        <v>2</v>
      </c>
      <c r="E566" t="s">
        <v>577</v>
      </c>
      <c r="F566" t="s"/>
      <c r="G566" t="s"/>
      <c r="H566" t="s"/>
      <c r="I566" t="s"/>
      <c r="J566" t="n">
        <v>0.4574</v>
      </c>
      <c r="K566" t="n">
        <v>0</v>
      </c>
      <c r="L566" t="n">
        <v>0.824</v>
      </c>
      <c r="M566" t="n">
        <v>0.176</v>
      </c>
    </row>
    <row r="567" spans="1:13">
      <c r="A567" s="1">
        <f>HYPERLINK("http://www.twitter.com/NathanBLawrence/status/996814025282371584", "996814025282371584")</f>
        <v/>
      </c>
      <c r="B567" s="2" t="n">
        <v>43236.75414351852</v>
      </c>
      <c r="C567" t="n">
        <v>0</v>
      </c>
      <c r="D567" t="n">
        <v>2</v>
      </c>
      <c r="E567" t="s">
        <v>578</v>
      </c>
      <c r="F567" t="s"/>
      <c r="G567" t="s"/>
      <c r="H567" t="s"/>
      <c r="I567" t="s"/>
      <c r="J567" t="n">
        <v>0.4019</v>
      </c>
      <c r="K567" t="n">
        <v>0</v>
      </c>
      <c r="L567" t="n">
        <v>0.828</v>
      </c>
      <c r="M567" t="n">
        <v>0.172</v>
      </c>
    </row>
    <row r="568" spans="1:13">
      <c r="A568" s="1">
        <f>HYPERLINK("http://www.twitter.com/NathanBLawrence/status/996813918214373377", "996813918214373377")</f>
        <v/>
      </c>
      <c r="B568" s="2" t="n">
        <v>43236.7538425926</v>
      </c>
      <c r="C568" t="n">
        <v>6</v>
      </c>
      <c r="D568" t="n">
        <v>1</v>
      </c>
      <c r="E568" t="s">
        <v>579</v>
      </c>
      <c r="F568">
        <f>HYPERLINK("http://pbs.twimg.com/media/DdVk8eYU8AAFrQA.jpg", "http://pbs.twimg.com/media/DdVk8eYU8AAFrQA.jpg")</f>
        <v/>
      </c>
      <c r="G568" t="s"/>
      <c r="H568" t="s"/>
      <c r="I568" t="s"/>
      <c r="J568" t="n">
        <v>0.4019</v>
      </c>
      <c r="K568" t="n">
        <v>0</v>
      </c>
      <c r="L568" t="n">
        <v>0.426</v>
      </c>
      <c r="M568" t="n">
        <v>0.574</v>
      </c>
    </row>
    <row r="569" spans="1:13">
      <c r="A569" s="1">
        <f>HYPERLINK("http://www.twitter.com/NathanBLawrence/status/996813652039643137", "996813652039643137")</f>
        <v/>
      </c>
      <c r="B569" s="2" t="n">
        <v>43236.75311342593</v>
      </c>
      <c r="C569" t="n">
        <v>5</v>
      </c>
      <c r="D569" t="n">
        <v>7</v>
      </c>
      <c r="E569" t="s">
        <v>580</v>
      </c>
      <c r="F569">
        <f>HYPERLINK("http://pbs.twimg.com/media/DdVkuUgUwAE0DQv.jpg", "http://pbs.twimg.com/media/DdVkuUgUwAE0DQv.jpg")</f>
        <v/>
      </c>
      <c r="G569" t="s"/>
      <c r="H569" t="s"/>
      <c r="I569" t="s"/>
      <c r="J569" t="n">
        <v>-0.7783</v>
      </c>
      <c r="K569" t="n">
        <v>0.343</v>
      </c>
      <c r="L569" t="n">
        <v>0.657</v>
      </c>
      <c r="M569" t="n">
        <v>0</v>
      </c>
    </row>
    <row r="570" spans="1:13">
      <c r="A570" s="1">
        <f>HYPERLINK("http://www.twitter.com/NathanBLawrence/status/996813148299476992", "996813148299476992")</f>
        <v/>
      </c>
      <c r="B570" s="2" t="n">
        <v>43236.75172453704</v>
      </c>
      <c r="C570" t="n">
        <v>0</v>
      </c>
      <c r="D570" t="n">
        <v>74</v>
      </c>
      <c r="E570" t="s">
        <v>581</v>
      </c>
      <c r="F570">
        <f>HYPERLINK("http://pbs.twimg.com/media/DdVgr4JWsAAsnhA.jpg", "http://pbs.twimg.com/media/DdVgr4JWsAAsnhA.jpg")</f>
        <v/>
      </c>
      <c r="G570" t="s"/>
      <c r="H570" t="s"/>
      <c r="I570" t="s"/>
      <c r="J570" t="n">
        <v>0</v>
      </c>
      <c r="K570" t="n">
        <v>0</v>
      </c>
      <c r="L570" t="n">
        <v>1</v>
      </c>
      <c r="M570" t="n">
        <v>0</v>
      </c>
    </row>
    <row r="571" spans="1:13">
      <c r="A571" s="1">
        <f>HYPERLINK("http://www.twitter.com/NathanBLawrence/status/996813033132384257", "996813033132384257")</f>
        <v/>
      </c>
      <c r="B571" s="2" t="n">
        <v>43236.75140046296</v>
      </c>
      <c r="C571" t="n">
        <v>7</v>
      </c>
      <c r="D571" t="n">
        <v>3</v>
      </c>
      <c r="E571" t="s">
        <v>582</v>
      </c>
      <c r="F571" t="s"/>
      <c r="G571" t="s"/>
      <c r="H571" t="s"/>
      <c r="I571" t="s"/>
      <c r="J571" t="n">
        <v>0.3595</v>
      </c>
      <c r="K571" t="n">
        <v>0.065</v>
      </c>
      <c r="L571" t="n">
        <v>0.8169999999999999</v>
      </c>
      <c r="M571" t="n">
        <v>0.118</v>
      </c>
    </row>
    <row r="572" spans="1:13">
      <c r="A572" s="1">
        <f>HYPERLINK("http://www.twitter.com/NathanBLawrence/status/996812814160281601", "996812814160281601")</f>
        <v/>
      </c>
      <c r="B572" s="2" t="n">
        <v>43236.75079861111</v>
      </c>
      <c r="C572" t="n">
        <v>8</v>
      </c>
      <c r="D572" t="n">
        <v>7</v>
      </c>
      <c r="E572" t="s">
        <v>583</v>
      </c>
      <c r="F572" t="s"/>
      <c r="G572" t="s"/>
      <c r="H572" t="s"/>
      <c r="I572" t="s"/>
      <c r="J572" t="n">
        <v>0.6341</v>
      </c>
      <c r="K572" t="n">
        <v>0.058</v>
      </c>
      <c r="L572" t="n">
        <v>0.768</v>
      </c>
      <c r="M572" t="n">
        <v>0.174</v>
      </c>
    </row>
    <row r="573" spans="1:13">
      <c r="A573" s="1">
        <f>HYPERLINK("http://www.twitter.com/NathanBLawrence/status/996812207013879808", "996812207013879808")</f>
        <v/>
      </c>
      <c r="B573" s="2" t="n">
        <v>43236.74912037037</v>
      </c>
      <c r="C573" t="n">
        <v>2</v>
      </c>
      <c r="D573" t="n">
        <v>1</v>
      </c>
      <c r="E573" t="s">
        <v>584</v>
      </c>
      <c r="F573" t="s"/>
      <c r="G573" t="s"/>
      <c r="H573" t="s"/>
      <c r="I573" t="s"/>
      <c r="J573" t="n">
        <v>-0.4466</v>
      </c>
      <c r="K573" t="n">
        <v>0.061</v>
      </c>
      <c r="L573" t="n">
        <v>0.9389999999999999</v>
      </c>
      <c r="M573" t="n">
        <v>0</v>
      </c>
    </row>
    <row r="574" spans="1:13">
      <c r="A574" s="1">
        <f>HYPERLINK("http://www.twitter.com/NathanBLawrence/status/996809707447701505", "996809707447701505")</f>
        <v/>
      </c>
      <c r="B574" s="2" t="n">
        <v>43236.74222222222</v>
      </c>
      <c r="C574" t="n">
        <v>3</v>
      </c>
      <c r="D574" t="n">
        <v>2</v>
      </c>
      <c r="E574" t="s">
        <v>585</v>
      </c>
      <c r="F574" t="s"/>
      <c r="G574" t="s"/>
      <c r="H574" t="s"/>
      <c r="I574" t="s"/>
      <c r="J574" t="n">
        <v>0.2023</v>
      </c>
      <c r="K574" t="n">
        <v>0.066</v>
      </c>
      <c r="L574" t="n">
        <v>0.839</v>
      </c>
      <c r="M574" t="n">
        <v>0.094</v>
      </c>
    </row>
    <row r="575" spans="1:13">
      <c r="A575" s="1">
        <f>HYPERLINK("http://www.twitter.com/NathanBLawrence/status/996809657736810496", "996809657736810496")</f>
        <v/>
      </c>
      <c r="B575" s="2" t="n">
        <v>43236.74208333333</v>
      </c>
      <c r="C575" t="n">
        <v>1</v>
      </c>
      <c r="D575" t="n">
        <v>0</v>
      </c>
      <c r="E575" t="s">
        <v>586</v>
      </c>
      <c r="F575" t="s"/>
      <c r="G575" t="s"/>
      <c r="H575" t="s"/>
      <c r="I575" t="s"/>
      <c r="J575" t="n">
        <v>-0.4926</v>
      </c>
      <c r="K575" t="n">
        <v>0.176</v>
      </c>
      <c r="L575" t="n">
        <v>0.723</v>
      </c>
      <c r="M575" t="n">
        <v>0.101</v>
      </c>
    </row>
    <row r="576" spans="1:13">
      <c r="A576" s="1">
        <f>HYPERLINK("http://www.twitter.com/NathanBLawrence/status/996809565751537664", "996809565751537664")</f>
        <v/>
      </c>
      <c r="B576" s="2" t="n">
        <v>43236.74182870371</v>
      </c>
      <c r="C576" t="n">
        <v>2</v>
      </c>
      <c r="D576" t="n">
        <v>6</v>
      </c>
      <c r="E576" t="s">
        <v>587</v>
      </c>
      <c r="F576" t="s"/>
      <c r="G576" t="s"/>
      <c r="H576" t="s"/>
      <c r="I576" t="s"/>
      <c r="J576" t="n">
        <v>-0.3612</v>
      </c>
      <c r="K576" t="n">
        <v>0.105</v>
      </c>
      <c r="L576" t="n">
        <v>0.85</v>
      </c>
      <c r="M576" t="n">
        <v>0.045</v>
      </c>
    </row>
    <row r="577" spans="1:13">
      <c r="A577" s="1">
        <f>HYPERLINK("http://www.twitter.com/NathanBLawrence/status/996809514543341569", "996809514543341569")</f>
        <v/>
      </c>
      <c r="B577" s="2" t="n">
        <v>43236.74168981481</v>
      </c>
      <c r="C577" t="n">
        <v>2</v>
      </c>
      <c r="D577" t="n">
        <v>2</v>
      </c>
      <c r="E577" t="s">
        <v>588</v>
      </c>
      <c r="F577" t="s"/>
      <c r="G577" t="s"/>
      <c r="H577" t="s"/>
      <c r="I577" t="s"/>
      <c r="J577" t="n">
        <v>-0.5046</v>
      </c>
      <c r="K577" t="n">
        <v>0.176</v>
      </c>
      <c r="L577" t="n">
        <v>0.755</v>
      </c>
      <c r="M577" t="n">
        <v>0.06900000000000001</v>
      </c>
    </row>
    <row r="578" spans="1:13">
      <c r="A578" s="1">
        <f>HYPERLINK("http://www.twitter.com/NathanBLawrence/status/996809323077484544", "996809323077484544")</f>
        <v/>
      </c>
      <c r="B578" s="2" t="n">
        <v>43236.74116898148</v>
      </c>
      <c r="C578" t="n">
        <v>6</v>
      </c>
      <c r="D578" t="n">
        <v>4</v>
      </c>
      <c r="E578" t="s">
        <v>589</v>
      </c>
      <c r="F578" t="s"/>
      <c r="G578" t="s"/>
      <c r="H578" t="s"/>
      <c r="I578" t="s"/>
      <c r="J578" t="n">
        <v>0.7874</v>
      </c>
      <c r="K578" t="n">
        <v>0</v>
      </c>
      <c r="L578" t="n">
        <v>0.742</v>
      </c>
      <c r="M578" t="n">
        <v>0.258</v>
      </c>
    </row>
    <row r="579" spans="1:13">
      <c r="A579" s="1">
        <f>HYPERLINK("http://www.twitter.com/NathanBLawrence/status/996809250784526336", "996809250784526336")</f>
        <v/>
      </c>
      <c r="B579" s="2" t="n">
        <v>43236.74096064815</v>
      </c>
      <c r="C579" t="n">
        <v>4</v>
      </c>
      <c r="D579" t="n">
        <v>2</v>
      </c>
      <c r="E579" t="s">
        <v>590</v>
      </c>
      <c r="F579" t="s"/>
      <c r="G579" t="s"/>
      <c r="H579" t="s"/>
      <c r="I579" t="s"/>
      <c r="J579" t="n">
        <v>0.3182</v>
      </c>
      <c r="K579" t="n">
        <v>0</v>
      </c>
      <c r="L579" t="n">
        <v>0.897</v>
      </c>
      <c r="M579" t="n">
        <v>0.103</v>
      </c>
    </row>
    <row r="580" spans="1:13">
      <c r="A580" s="1">
        <f>HYPERLINK("http://www.twitter.com/NathanBLawrence/status/996809122535227392", "996809122535227392")</f>
        <v/>
      </c>
      <c r="B580" s="2" t="n">
        <v>43236.74061342593</v>
      </c>
      <c r="C580" t="n">
        <v>4</v>
      </c>
      <c r="D580" t="n">
        <v>4</v>
      </c>
      <c r="E580" t="s">
        <v>591</v>
      </c>
      <c r="F580" t="s"/>
      <c r="G580" t="s"/>
      <c r="H580" t="s"/>
      <c r="I580" t="s"/>
      <c r="J580" t="n">
        <v>-0.2263</v>
      </c>
      <c r="K580" t="n">
        <v>0.095</v>
      </c>
      <c r="L580" t="n">
        <v>0.905</v>
      </c>
      <c r="M580" t="n">
        <v>0</v>
      </c>
    </row>
    <row r="581" spans="1:13">
      <c r="A581" s="1">
        <f>HYPERLINK("http://www.twitter.com/NathanBLawrence/status/996808992415408129", "996808992415408129")</f>
        <v/>
      </c>
      <c r="B581" s="2" t="n">
        <v>43236.74025462963</v>
      </c>
      <c r="C581" t="n">
        <v>9</v>
      </c>
      <c r="D581" t="n">
        <v>6</v>
      </c>
      <c r="E581" t="s">
        <v>592</v>
      </c>
      <c r="F581" t="s"/>
      <c r="G581" t="s"/>
      <c r="H581" t="s"/>
      <c r="I581" t="s"/>
      <c r="J581" t="n">
        <v>-0.784</v>
      </c>
      <c r="K581" t="n">
        <v>0.33</v>
      </c>
      <c r="L581" t="n">
        <v>0.67</v>
      </c>
      <c r="M581" t="n">
        <v>0</v>
      </c>
    </row>
    <row r="582" spans="1:13">
      <c r="A582" s="1">
        <f>HYPERLINK("http://www.twitter.com/NathanBLawrence/status/996808678182338560", "996808678182338560")</f>
        <v/>
      </c>
      <c r="B582" s="2" t="n">
        <v>43236.73938657407</v>
      </c>
      <c r="C582" t="n">
        <v>4</v>
      </c>
      <c r="D582" t="n">
        <v>6</v>
      </c>
      <c r="E582" t="s">
        <v>593</v>
      </c>
      <c r="F582" t="s"/>
      <c r="G582" t="s"/>
      <c r="H582" t="s"/>
      <c r="I582" t="s"/>
      <c r="J582" t="n">
        <v>-0.5972</v>
      </c>
      <c r="K582" t="n">
        <v>0.195</v>
      </c>
      <c r="L582" t="n">
        <v>0.805</v>
      </c>
      <c r="M582" t="n">
        <v>0</v>
      </c>
    </row>
    <row r="583" spans="1:13">
      <c r="A583" s="1">
        <f>HYPERLINK("http://www.twitter.com/NathanBLawrence/status/996807544260542464", "996807544260542464")</f>
        <v/>
      </c>
      <c r="B583" s="2" t="n">
        <v>43236.73625</v>
      </c>
      <c r="C583" t="n">
        <v>23</v>
      </c>
      <c r="D583" t="n">
        <v>14</v>
      </c>
      <c r="E583" t="s">
        <v>594</v>
      </c>
      <c r="F583" t="s"/>
      <c r="G583" t="s"/>
      <c r="H583" t="s"/>
      <c r="I583" t="s"/>
      <c r="J583" t="n">
        <v>-0.3182</v>
      </c>
      <c r="K583" t="n">
        <v>0.114</v>
      </c>
      <c r="L583" t="n">
        <v>0.824</v>
      </c>
      <c r="M583" t="n">
        <v>0.062</v>
      </c>
    </row>
    <row r="584" spans="1:13">
      <c r="A584" s="1">
        <f>HYPERLINK("http://www.twitter.com/NathanBLawrence/status/996807257290506240", "996807257290506240")</f>
        <v/>
      </c>
      <c r="B584" s="2" t="n">
        <v>43236.73546296296</v>
      </c>
      <c r="C584" t="n">
        <v>4</v>
      </c>
      <c r="D584" t="n">
        <v>1</v>
      </c>
      <c r="E584" t="s">
        <v>595</v>
      </c>
      <c r="F584" t="s"/>
      <c r="G584" t="s"/>
      <c r="H584" t="s"/>
      <c r="I584" t="s"/>
      <c r="J584" t="n">
        <v>0</v>
      </c>
      <c r="K584" t="n">
        <v>0</v>
      </c>
      <c r="L584" t="n">
        <v>1</v>
      </c>
      <c r="M584" t="n">
        <v>0</v>
      </c>
    </row>
    <row r="585" spans="1:13">
      <c r="A585" s="1">
        <f>HYPERLINK("http://www.twitter.com/NathanBLawrence/status/996806704594468864", "996806704594468864")</f>
        <v/>
      </c>
      <c r="B585" s="2" t="n">
        <v>43236.73393518518</v>
      </c>
      <c r="C585" t="n">
        <v>3</v>
      </c>
      <c r="D585" t="n">
        <v>1</v>
      </c>
      <c r="E585" t="s">
        <v>596</v>
      </c>
      <c r="F585" t="s"/>
      <c r="G585" t="s"/>
      <c r="H585" t="s"/>
      <c r="I585" t="s"/>
      <c r="J585" t="n">
        <v>-0.4588</v>
      </c>
      <c r="K585" t="n">
        <v>0.231</v>
      </c>
      <c r="L585" t="n">
        <v>0.769</v>
      </c>
      <c r="M585" t="n">
        <v>0</v>
      </c>
    </row>
    <row r="586" spans="1:13">
      <c r="A586" s="1">
        <f>HYPERLINK("http://www.twitter.com/NathanBLawrence/status/996806468740440064", "996806468740440064")</f>
        <v/>
      </c>
      <c r="B586" s="2" t="n">
        <v>43236.73328703704</v>
      </c>
      <c r="C586" t="n">
        <v>3</v>
      </c>
      <c r="D586" t="n">
        <v>4</v>
      </c>
      <c r="E586" t="s">
        <v>597</v>
      </c>
      <c r="F586" t="s"/>
      <c r="G586" t="s"/>
      <c r="H586" t="s"/>
      <c r="I586" t="s"/>
      <c r="J586" t="n">
        <v>0</v>
      </c>
      <c r="K586" t="n">
        <v>0</v>
      </c>
      <c r="L586" t="n">
        <v>1</v>
      </c>
      <c r="M586" t="n">
        <v>0</v>
      </c>
    </row>
    <row r="587" spans="1:13">
      <c r="A587" s="1">
        <f>HYPERLINK("http://www.twitter.com/NathanBLawrence/status/996806256781246464", "996806256781246464")</f>
        <v/>
      </c>
      <c r="B587" s="2" t="n">
        <v>43236.73270833334</v>
      </c>
      <c r="C587" t="n">
        <v>4</v>
      </c>
      <c r="D587" t="n">
        <v>2</v>
      </c>
      <c r="E587" t="s">
        <v>598</v>
      </c>
      <c r="F587" t="s"/>
      <c r="G587" t="s"/>
      <c r="H587" t="s"/>
      <c r="I587" t="s"/>
      <c r="J587" t="n">
        <v>-0.25</v>
      </c>
      <c r="K587" t="n">
        <v>0.105</v>
      </c>
      <c r="L587" t="n">
        <v>0.895</v>
      </c>
      <c r="M587" t="n">
        <v>0</v>
      </c>
    </row>
    <row r="588" spans="1:13">
      <c r="A588" s="1">
        <f>HYPERLINK("http://www.twitter.com/NathanBLawrence/status/996800647348420608", "996800647348420608")</f>
        <v/>
      </c>
      <c r="B588" s="2" t="n">
        <v>43236.71722222222</v>
      </c>
      <c r="C588" t="n">
        <v>8</v>
      </c>
      <c r="D588" t="n">
        <v>6</v>
      </c>
      <c r="E588" t="s">
        <v>599</v>
      </c>
      <c r="F588" t="s"/>
      <c r="G588" t="s"/>
      <c r="H588" t="s"/>
      <c r="I588" t="s"/>
      <c r="J588" t="n">
        <v>-0.5423</v>
      </c>
      <c r="K588" t="n">
        <v>0.136</v>
      </c>
      <c r="L588" t="n">
        <v>0.805</v>
      </c>
      <c r="M588" t="n">
        <v>0.058</v>
      </c>
    </row>
    <row r="589" spans="1:13">
      <c r="A589" s="1">
        <f>HYPERLINK("http://www.twitter.com/NathanBLawrence/status/996799752434958336", "996799752434958336")</f>
        <v/>
      </c>
      <c r="B589" s="2" t="n">
        <v>43236.71475694444</v>
      </c>
      <c r="C589" t="n">
        <v>11</v>
      </c>
      <c r="D589" t="n">
        <v>5</v>
      </c>
      <c r="E589" t="s">
        <v>600</v>
      </c>
      <c r="F589" t="s"/>
      <c r="G589" t="s"/>
      <c r="H589" t="s"/>
      <c r="I589" t="s"/>
      <c r="J589" t="n">
        <v>0</v>
      </c>
      <c r="K589" t="n">
        <v>0</v>
      </c>
      <c r="L589" t="n">
        <v>1</v>
      </c>
      <c r="M589" t="n">
        <v>0</v>
      </c>
    </row>
    <row r="590" spans="1:13">
      <c r="A590" s="1">
        <f>HYPERLINK("http://www.twitter.com/NathanBLawrence/status/996799415208755200", "996799415208755200")</f>
        <v/>
      </c>
      <c r="B590" s="2" t="n">
        <v>43236.71381944444</v>
      </c>
      <c r="C590" t="n">
        <v>0</v>
      </c>
      <c r="D590" t="n">
        <v>7833</v>
      </c>
      <c r="E590" t="s">
        <v>601</v>
      </c>
      <c r="F590" t="s"/>
      <c r="G590" t="s"/>
      <c r="H590" t="s"/>
      <c r="I590" t="s"/>
      <c r="J590" t="n">
        <v>0.7269</v>
      </c>
      <c r="K590" t="n">
        <v>0</v>
      </c>
      <c r="L590" t="n">
        <v>0.757</v>
      </c>
      <c r="M590" t="n">
        <v>0.243</v>
      </c>
    </row>
    <row r="591" spans="1:13">
      <c r="A591" s="1">
        <f>HYPERLINK("http://www.twitter.com/NathanBLawrence/status/996799175021887488", "996799175021887488")</f>
        <v/>
      </c>
      <c r="B591" s="2" t="n">
        <v>43236.71315972223</v>
      </c>
      <c r="C591" t="n">
        <v>2</v>
      </c>
      <c r="D591" t="n">
        <v>1</v>
      </c>
      <c r="E591" t="s">
        <v>602</v>
      </c>
      <c r="F591" t="s"/>
      <c r="G591" t="s"/>
      <c r="H591" t="s"/>
      <c r="I591" t="s"/>
      <c r="J591" t="n">
        <v>0</v>
      </c>
      <c r="K591" t="n">
        <v>0</v>
      </c>
      <c r="L591" t="n">
        <v>1</v>
      </c>
      <c r="M591" t="n">
        <v>0</v>
      </c>
    </row>
    <row r="592" spans="1:13">
      <c r="A592" s="1">
        <f>HYPERLINK("http://www.twitter.com/NathanBLawrence/status/996798276811636736", "996798276811636736")</f>
        <v/>
      </c>
      <c r="B592" s="2" t="n">
        <v>43236.71068287037</v>
      </c>
      <c r="C592" t="n">
        <v>4</v>
      </c>
      <c r="D592" t="n">
        <v>2</v>
      </c>
      <c r="E592" t="s">
        <v>603</v>
      </c>
      <c r="F592" t="s"/>
      <c r="G592" t="s"/>
      <c r="H592" t="s"/>
      <c r="I592" t="s"/>
      <c r="J592" t="n">
        <v>-0.9509</v>
      </c>
      <c r="K592" t="n">
        <v>0.315</v>
      </c>
      <c r="L592" t="n">
        <v>0.6850000000000001</v>
      </c>
      <c r="M592" t="n">
        <v>0</v>
      </c>
    </row>
    <row r="593" spans="1:13">
      <c r="A593" s="1">
        <f>HYPERLINK("http://www.twitter.com/NathanBLawrence/status/996796807215640576", "996796807215640576")</f>
        <v/>
      </c>
      <c r="B593" s="2" t="n">
        <v>43236.70663194444</v>
      </c>
      <c r="C593" t="n">
        <v>26</v>
      </c>
      <c r="D593" t="n">
        <v>9</v>
      </c>
      <c r="E593" t="s">
        <v>604</v>
      </c>
      <c r="F593" t="s"/>
      <c r="G593" t="s"/>
      <c r="H593" t="s"/>
      <c r="I593" t="s"/>
      <c r="J593" t="n">
        <v>-0.794</v>
      </c>
      <c r="K593" t="n">
        <v>0.44</v>
      </c>
      <c r="L593" t="n">
        <v>0.411</v>
      </c>
      <c r="M593" t="n">
        <v>0.149</v>
      </c>
    </row>
    <row r="594" spans="1:13">
      <c r="A594" s="1">
        <f>HYPERLINK("http://www.twitter.com/NathanBLawrence/status/996796475068768258", "996796475068768258")</f>
        <v/>
      </c>
      <c r="B594" s="2" t="n">
        <v>43236.70570601852</v>
      </c>
      <c r="C594" t="n">
        <v>10</v>
      </c>
      <c r="D594" t="n">
        <v>3</v>
      </c>
      <c r="E594" t="s">
        <v>605</v>
      </c>
      <c r="F594" t="s"/>
      <c r="G594" t="s"/>
      <c r="H594" t="s"/>
      <c r="I594" t="s"/>
      <c r="J594" t="n">
        <v>0</v>
      </c>
      <c r="K594" t="n">
        <v>0</v>
      </c>
      <c r="L594" t="n">
        <v>1</v>
      </c>
      <c r="M594" t="n">
        <v>0</v>
      </c>
    </row>
    <row r="595" spans="1:13">
      <c r="A595" s="1">
        <f>HYPERLINK("http://www.twitter.com/NathanBLawrence/status/996796356780949504", "996796356780949504")</f>
        <v/>
      </c>
      <c r="B595" s="2" t="n">
        <v>43236.70538194444</v>
      </c>
      <c r="C595" t="n">
        <v>4</v>
      </c>
      <c r="D595" t="n">
        <v>0</v>
      </c>
      <c r="E595" t="s">
        <v>606</v>
      </c>
      <c r="F595" t="s"/>
      <c r="G595" t="s"/>
      <c r="H595" t="s"/>
      <c r="I595" t="s"/>
      <c r="J595" t="n">
        <v>0</v>
      </c>
      <c r="K595" t="n">
        <v>0</v>
      </c>
      <c r="L595" t="n">
        <v>1</v>
      </c>
      <c r="M595" t="n">
        <v>0</v>
      </c>
    </row>
    <row r="596" spans="1:13">
      <c r="A596" s="1">
        <f>HYPERLINK("http://www.twitter.com/NathanBLawrence/status/996795976907030530", "996795976907030530")</f>
        <v/>
      </c>
      <c r="B596" s="2" t="n">
        <v>43236.70434027778</v>
      </c>
      <c r="C596" t="n">
        <v>2</v>
      </c>
      <c r="D596" t="n">
        <v>0</v>
      </c>
      <c r="E596" t="s">
        <v>607</v>
      </c>
      <c r="F596" t="s"/>
      <c r="G596" t="s"/>
      <c r="H596" t="s"/>
      <c r="I596" t="s"/>
      <c r="J596" t="n">
        <v>0</v>
      </c>
      <c r="K596" t="n">
        <v>0</v>
      </c>
      <c r="L596" t="n">
        <v>1</v>
      </c>
      <c r="M596" t="n">
        <v>0</v>
      </c>
    </row>
    <row r="597" spans="1:13">
      <c r="A597" s="1">
        <f>HYPERLINK("http://www.twitter.com/NathanBLawrence/status/996795706965876737", "996795706965876737")</f>
        <v/>
      </c>
      <c r="B597" s="2" t="n">
        <v>43236.70358796296</v>
      </c>
      <c r="C597" t="n">
        <v>2</v>
      </c>
      <c r="D597" t="n">
        <v>2</v>
      </c>
      <c r="E597" t="s">
        <v>608</v>
      </c>
      <c r="F597" t="s"/>
      <c r="G597" t="s"/>
      <c r="H597" t="s"/>
      <c r="I597" t="s"/>
      <c r="J597" t="n">
        <v>0.5106000000000001</v>
      </c>
      <c r="K597" t="n">
        <v>0.083</v>
      </c>
      <c r="L597" t="n">
        <v>0.73</v>
      </c>
      <c r="M597" t="n">
        <v>0.187</v>
      </c>
    </row>
    <row r="598" spans="1:13">
      <c r="A598" s="1">
        <f>HYPERLINK("http://www.twitter.com/NathanBLawrence/status/996795310167883776", "996795310167883776")</f>
        <v/>
      </c>
      <c r="B598" s="2" t="n">
        <v>43236.7025</v>
      </c>
      <c r="C598" t="n">
        <v>3</v>
      </c>
      <c r="D598" t="n">
        <v>1</v>
      </c>
      <c r="E598" t="s">
        <v>609</v>
      </c>
      <c r="F598" t="s"/>
      <c r="G598" t="s"/>
      <c r="H598" t="s"/>
      <c r="I598" t="s"/>
      <c r="J598" t="n">
        <v>0</v>
      </c>
      <c r="K598" t="n">
        <v>0</v>
      </c>
      <c r="L598" t="n">
        <v>1</v>
      </c>
      <c r="M598" t="n">
        <v>0</v>
      </c>
    </row>
    <row r="599" spans="1:13">
      <c r="A599" s="1">
        <f>HYPERLINK("http://www.twitter.com/NathanBLawrence/status/996795187442561024", "996795187442561024")</f>
        <v/>
      </c>
      <c r="B599" s="2" t="n">
        <v>43236.70215277778</v>
      </c>
      <c r="C599" t="n">
        <v>3</v>
      </c>
      <c r="D599" t="n">
        <v>2</v>
      </c>
      <c r="E599" t="s">
        <v>610</v>
      </c>
      <c r="F599" t="s"/>
      <c r="G599" t="s"/>
      <c r="H599" t="s"/>
      <c r="I599" t="s"/>
      <c r="J599" t="n">
        <v>0</v>
      </c>
      <c r="K599" t="n">
        <v>0</v>
      </c>
      <c r="L599" t="n">
        <v>1</v>
      </c>
      <c r="M599" t="n">
        <v>0</v>
      </c>
    </row>
    <row r="600" spans="1:13">
      <c r="A600" s="1">
        <f>HYPERLINK("http://www.twitter.com/NathanBLawrence/status/996795052721455104", "996795052721455104")</f>
        <v/>
      </c>
      <c r="B600" s="2" t="n">
        <v>43236.70178240741</v>
      </c>
      <c r="C600" t="n">
        <v>1</v>
      </c>
      <c r="D600" t="n">
        <v>0</v>
      </c>
      <c r="E600" t="s">
        <v>611</v>
      </c>
      <c r="F600" t="s"/>
      <c r="G600" t="s"/>
      <c r="H600" t="s"/>
      <c r="I600" t="s"/>
      <c r="J600" t="n">
        <v>0.2714</v>
      </c>
      <c r="K600" t="n">
        <v>0</v>
      </c>
      <c r="L600" t="n">
        <v>0.852</v>
      </c>
      <c r="M600" t="n">
        <v>0.148</v>
      </c>
    </row>
    <row r="601" spans="1:13">
      <c r="A601" s="1">
        <f>HYPERLINK("http://www.twitter.com/NathanBLawrence/status/996794904016646144", "996794904016646144")</f>
        <v/>
      </c>
      <c r="B601" s="2" t="n">
        <v>43236.70137731481</v>
      </c>
      <c r="C601" t="n">
        <v>8</v>
      </c>
      <c r="D601" t="n">
        <v>5</v>
      </c>
      <c r="E601" t="s">
        <v>612</v>
      </c>
      <c r="F601" t="s"/>
      <c r="G601" t="s"/>
      <c r="H601" t="s"/>
      <c r="I601" t="s"/>
      <c r="J601" t="n">
        <v>-0.2263</v>
      </c>
      <c r="K601" t="n">
        <v>0.145</v>
      </c>
      <c r="L601" t="n">
        <v>0.747</v>
      </c>
      <c r="M601" t="n">
        <v>0.108</v>
      </c>
    </row>
    <row r="602" spans="1:13">
      <c r="A602" s="1">
        <f>HYPERLINK("http://www.twitter.com/NathanBLawrence/status/996794543361085440", "996794543361085440")</f>
        <v/>
      </c>
      <c r="B602" s="2" t="n">
        <v>43236.70038194444</v>
      </c>
      <c r="C602" t="n">
        <v>5</v>
      </c>
      <c r="D602" t="n">
        <v>4</v>
      </c>
      <c r="E602" t="s">
        <v>613</v>
      </c>
      <c r="F602" t="s"/>
      <c r="G602" t="s"/>
      <c r="H602" t="s"/>
      <c r="I602" t="s"/>
      <c r="J602" t="n">
        <v>-0.2808</v>
      </c>
      <c r="K602" t="n">
        <v>0.197</v>
      </c>
      <c r="L602" t="n">
        <v>0.632</v>
      </c>
      <c r="M602" t="n">
        <v>0.171</v>
      </c>
    </row>
    <row r="603" spans="1:13">
      <c r="A603" s="1">
        <f>HYPERLINK("http://www.twitter.com/NathanBLawrence/status/996793949254696960", "996793949254696960")</f>
        <v/>
      </c>
      <c r="B603" s="2" t="n">
        <v>43236.69873842593</v>
      </c>
      <c r="C603" t="n">
        <v>5</v>
      </c>
      <c r="D603" t="n">
        <v>2</v>
      </c>
      <c r="E603" t="s">
        <v>614</v>
      </c>
      <c r="F603" t="s"/>
      <c r="G603" t="s"/>
      <c r="H603" t="s"/>
      <c r="I603" t="s"/>
      <c r="J603" t="n">
        <v>0.5106000000000001</v>
      </c>
      <c r="K603" t="n">
        <v>0</v>
      </c>
      <c r="L603" t="n">
        <v>0.865</v>
      </c>
      <c r="M603" t="n">
        <v>0.135</v>
      </c>
    </row>
    <row r="604" spans="1:13">
      <c r="A604" s="1">
        <f>HYPERLINK("http://www.twitter.com/NathanBLawrence/status/996793304682385408", "996793304682385408")</f>
        <v/>
      </c>
      <c r="B604" s="2" t="n">
        <v>43236.69696759259</v>
      </c>
      <c r="C604" t="n">
        <v>1</v>
      </c>
      <c r="D604" t="n">
        <v>3</v>
      </c>
      <c r="E604" t="s">
        <v>615</v>
      </c>
      <c r="F604" t="s"/>
      <c r="G604" t="s"/>
      <c r="H604" t="s"/>
      <c r="I604" t="s"/>
      <c r="J604" t="n">
        <v>0.729</v>
      </c>
      <c r="K604" t="n">
        <v>0</v>
      </c>
      <c r="L604" t="n">
        <v>0.746</v>
      </c>
      <c r="M604" t="n">
        <v>0.254</v>
      </c>
    </row>
    <row r="605" spans="1:13">
      <c r="A605" s="1">
        <f>HYPERLINK("http://www.twitter.com/NathanBLawrence/status/996604793643663361", "996604793643663361")</f>
        <v/>
      </c>
      <c r="B605" s="2" t="n">
        <v>43236.17677083334</v>
      </c>
      <c r="C605" t="n">
        <v>25</v>
      </c>
      <c r="D605" t="n">
        <v>10</v>
      </c>
      <c r="E605" t="s">
        <v>616</v>
      </c>
      <c r="F605" t="s"/>
      <c r="G605" t="s"/>
      <c r="H605" t="s"/>
      <c r="I605" t="s"/>
      <c r="J605" t="n">
        <v>0.7506</v>
      </c>
      <c r="K605" t="n">
        <v>0</v>
      </c>
      <c r="L605" t="n">
        <v>0.833</v>
      </c>
      <c r="M605" t="n">
        <v>0.167</v>
      </c>
    </row>
    <row r="606" spans="1:13">
      <c r="A606" s="1">
        <f>HYPERLINK("http://www.twitter.com/NathanBLawrence/status/996603998860820480", "996603998860820480")</f>
        <v/>
      </c>
      <c r="B606" s="2" t="n">
        <v>43236.17457175926</v>
      </c>
      <c r="C606" t="n">
        <v>1</v>
      </c>
      <c r="D606" t="n">
        <v>0</v>
      </c>
      <c r="E606" t="s">
        <v>617</v>
      </c>
      <c r="F606" t="s"/>
      <c r="G606" t="s"/>
      <c r="H606" t="s"/>
      <c r="I606" t="s"/>
      <c r="J606" t="n">
        <v>-0.4019</v>
      </c>
      <c r="K606" t="n">
        <v>0.351</v>
      </c>
      <c r="L606" t="n">
        <v>0.649</v>
      </c>
      <c r="M606" t="n">
        <v>0</v>
      </c>
    </row>
    <row r="607" spans="1:13">
      <c r="A607" s="1">
        <f>HYPERLINK("http://www.twitter.com/NathanBLawrence/status/996603799425826816", "996603799425826816")</f>
        <v/>
      </c>
      <c r="B607" s="2" t="n">
        <v>43236.17402777778</v>
      </c>
      <c r="C607" t="n">
        <v>8</v>
      </c>
      <c r="D607" t="n">
        <v>2</v>
      </c>
      <c r="E607" t="s">
        <v>618</v>
      </c>
      <c r="F607" t="s"/>
      <c r="G607" t="s"/>
      <c r="H607" t="s"/>
      <c r="I607" t="s"/>
      <c r="J607" t="n">
        <v>0.4588</v>
      </c>
      <c r="K607" t="n">
        <v>0.096</v>
      </c>
      <c r="L607" t="n">
        <v>0.657</v>
      </c>
      <c r="M607" t="n">
        <v>0.247</v>
      </c>
    </row>
    <row r="608" spans="1:13">
      <c r="A608" s="1">
        <f>HYPERLINK("http://www.twitter.com/NathanBLawrence/status/996602320312983552", "996602320312983552")</f>
        <v/>
      </c>
      <c r="B608" s="2" t="n">
        <v>43236.16994212963</v>
      </c>
      <c r="C608" t="n">
        <v>6</v>
      </c>
      <c r="D608" t="n">
        <v>2</v>
      </c>
      <c r="E608" t="s">
        <v>619</v>
      </c>
      <c r="F608" t="s"/>
      <c r="G608" t="s"/>
      <c r="H608" t="s"/>
      <c r="I608" t="s"/>
      <c r="J608" t="n">
        <v>0</v>
      </c>
      <c r="K608" t="n">
        <v>0</v>
      </c>
      <c r="L608" t="n">
        <v>1</v>
      </c>
      <c r="M608" t="n">
        <v>0</v>
      </c>
    </row>
    <row r="609" spans="1:13">
      <c r="A609" s="1">
        <f>HYPERLINK("http://www.twitter.com/NathanBLawrence/status/996600960007876609", "996600960007876609")</f>
        <v/>
      </c>
      <c r="B609" s="2" t="n">
        <v>43236.16619212963</v>
      </c>
      <c r="C609" t="n">
        <v>0</v>
      </c>
      <c r="D609" t="n">
        <v>2</v>
      </c>
      <c r="E609" t="s">
        <v>620</v>
      </c>
      <c r="F609" t="s"/>
      <c r="G609" t="s"/>
      <c r="H609" t="s"/>
      <c r="I609" t="s"/>
      <c r="J609" t="n">
        <v>0</v>
      </c>
      <c r="K609" t="n">
        <v>0</v>
      </c>
      <c r="L609" t="n">
        <v>1</v>
      </c>
      <c r="M609" t="n">
        <v>0</v>
      </c>
    </row>
    <row r="610" spans="1:13">
      <c r="A610" s="1">
        <f>HYPERLINK("http://www.twitter.com/NathanBLawrence/status/996600809180692480", "996600809180692480")</f>
        <v/>
      </c>
      <c r="B610" s="2" t="n">
        <v>43236.16577546296</v>
      </c>
      <c r="C610" t="n">
        <v>0</v>
      </c>
      <c r="D610" t="n">
        <v>6</v>
      </c>
      <c r="E610" t="s">
        <v>621</v>
      </c>
      <c r="F610" t="s"/>
      <c r="G610" t="s"/>
      <c r="H610" t="s"/>
      <c r="I610" t="s"/>
      <c r="J610" t="n">
        <v>0.3818</v>
      </c>
      <c r="K610" t="n">
        <v>0</v>
      </c>
      <c r="L610" t="n">
        <v>0.8090000000000001</v>
      </c>
      <c r="M610" t="n">
        <v>0.191</v>
      </c>
    </row>
    <row r="611" spans="1:13">
      <c r="A611" s="1">
        <f>HYPERLINK("http://www.twitter.com/NathanBLawrence/status/996600700980215808", "996600700980215808")</f>
        <v/>
      </c>
      <c r="B611" s="2" t="n">
        <v>43236.16547453704</v>
      </c>
      <c r="C611" t="n">
        <v>0</v>
      </c>
      <c r="D611" t="n">
        <v>283</v>
      </c>
      <c r="E611" t="s">
        <v>622</v>
      </c>
      <c r="F611" t="s"/>
      <c r="G611" t="s"/>
      <c r="H611" t="s"/>
      <c r="I611" t="s"/>
      <c r="J611" t="n">
        <v>0.6841</v>
      </c>
      <c r="K611" t="n">
        <v>0</v>
      </c>
      <c r="L611" t="n">
        <v>0.788</v>
      </c>
      <c r="M611" t="n">
        <v>0.212</v>
      </c>
    </row>
    <row r="612" spans="1:13">
      <c r="A612" s="1">
        <f>HYPERLINK("http://www.twitter.com/NathanBLawrence/status/996600656852008960", "996600656852008960")</f>
        <v/>
      </c>
      <c r="B612" s="2" t="n">
        <v>43236.16535879629</v>
      </c>
      <c r="C612" t="n">
        <v>0</v>
      </c>
      <c r="D612" t="n">
        <v>16</v>
      </c>
      <c r="E612" t="s">
        <v>623</v>
      </c>
      <c r="F612" t="s"/>
      <c r="G612" t="s"/>
      <c r="H612" t="s"/>
      <c r="I612" t="s"/>
      <c r="J612" t="n">
        <v>0.7456</v>
      </c>
      <c r="K612" t="n">
        <v>0</v>
      </c>
      <c r="L612" t="n">
        <v>0.635</v>
      </c>
      <c r="M612" t="n">
        <v>0.365</v>
      </c>
    </row>
    <row r="613" spans="1:13">
      <c r="A613" s="1">
        <f>HYPERLINK("http://www.twitter.com/NathanBLawrence/status/996600361245859840", "996600361245859840")</f>
        <v/>
      </c>
      <c r="B613" s="2" t="n">
        <v>43236.16453703704</v>
      </c>
      <c r="C613" t="n">
        <v>0</v>
      </c>
      <c r="D613" t="n">
        <v>529</v>
      </c>
      <c r="E613" t="s">
        <v>624</v>
      </c>
      <c r="F613">
        <f>HYPERLINK("https://video.twimg.com/ext_tw_video/996197482907422720/pu/vid/1280x720/qDm8uvYBA4ESjE8G.mp4?tag=3", "https://video.twimg.com/ext_tw_video/996197482907422720/pu/vid/1280x720/qDm8uvYBA4ESjE8G.mp4?tag=3")</f>
        <v/>
      </c>
      <c r="G613" t="s"/>
      <c r="H613" t="s"/>
      <c r="I613" t="s"/>
      <c r="J613" t="n">
        <v>0.5707</v>
      </c>
      <c r="K613" t="n">
        <v>0</v>
      </c>
      <c r="L613" t="n">
        <v>0.831</v>
      </c>
      <c r="M613" t="n">
        <v>0.169</v>
      </c>
    </row>
    <row r="614" spans="1:13">
      <c r="A614" s="1">
        <f>HYPERLINK("http://www.twitter.com/NathanBLawrence/status/996600085176766464", "996600085176766464")</f>
        <v/>
      </c>
      <c r="B614" s="2" t="n">
        <v>43236.16377314815</v>
      </c>
      <c r="C614" t="n">
        <v>0</v>
      </c>
      <c r="D614" t="n">
        <v>2</v>
      </c>
      <c r="E614" t="s">
        <v>625</v>
      </c>
      <c r="F614" t="s"/>
      <c r="G614" t="s"/>
      <c r="H614" t="s"/>
      <c r="I614" t="s"/>
      <c r="J614" t="n">
        <v>-0.5106000000000001</v>
      </c>
      <c r="K614" t="n">
        <v>0.255</v>
      </c>
      <c r="L614" t="n">
        <v>0.618</v>
      </c>
      <c r="M614" t="n">
        <v>0.127</v>
      </c>
    </row>
    <row r="615" spans="1:13">
      <c r="A615" s="1">
        <f>HYPERLINK("http://www.twitter.com/NathanBLawrence/status/996600038288572416", "996600038288572416")</f>
        <v/>
      </c>
      <c r="B615" s="2" t="n">
        <v>43236.16364583333</v>
      </c>
      <c r="C615" t="n">
        <v>0</v>
      </c>
      <c r="D615" t="n">
        <v>116</v>
      </c>
      <c r="E615" t="s">
        <v>626</v>
      </c>
      <c r="F615">
        <f>HYPERLINK("http://pbs.twimg.com/media/DdPP62kU0AAIQNf.jpg", "http://pbs.twimg.com/media/DdPP62kU0AAIQNf.jpg")</f>
        <v/>
      </c>
      <c r="G615" t="s"/>
      <c r="H615" t="s"/>
      <c r="I615" t="s"/>
      <c r="J615" t="n">
        <v>0</v>
      </c>
      <c r="K615" t="n">
        <v>0</v>
      </c>
      <c r="L615" t="n">
        <v>1</v>
      </c>
      <c r="M615" t="n">
        <v>0</v>
      </c>
    </row>
    <row r="616" spans="1:13">
      <c r="A616" s="1">
        <f>HYPERLINK("http://www.twitter.com/NathanBLawrence/status/996599304830599171", "996599304830599171")</f>
        <v/>
      </c>
      <c r="B616" s="2" t="n">
        <v>43236.16162037037</v>
      </c>
      <c r="C616" t="n">
        <v>0</v>
      </c>
      <c r="D616" t="n">
        <v>2</v>
      </c>
      <c r="E616" t="s">
        <v>627</v>
      </c>
      <c r="F616" t="s"/>
      <c r="G616" t="s"/>
      <c r="H616" t="s"/>
      <c r="I616" t="s"/>
      <c r="J616" t="n">
        <v>0</v>
      </c>
      <c r="K616" t="n">
        <v>0</v>
      </c>
      <c r="L616" t="n">
        <v>1</v>
      </c>
      <c r="M616" t="n">
        <v>0</v>
      </c>
    </row>
    <row r="617" spans="1:13">
      <c r="A617" s="1">
        <f>HYPERLINK("http://www.twitter.com/NathanBLawrence/status/996598883273736192", "996598883273736192")</f>
        <v/>
      </c>
      <c r="B617" s="2" t="n">
        <v>43236.16046296297</v>
      </c>
      <c r="C617" t="n">
        <v>0</v>
      </c>
      <c r="D617" t="n">
        <v>521</v>
      </c>
      <c r="E617" t="s">
        <v>628</v>
      </c>
      <c r="F617">
        <f>HYPERLINK("http://pbs.twimg.com/media/DdQIBy3V4AE2XUn.jpg", "http://pbs.twimg.com/media/DdQIBy3V4AE2XUn.jpg")</f>
        <v/>
      </c>
      <c r="G617" t="s"/>
      <c r="H617" t="s"/>
      <c r="I617" t="s"/>
      <c r="J617" t="n">
        <v>0.0772</v>
      </c>
      <c r="K617" t="n">
        <v>0</v>
      </c>
      <c r="L617" t="n">
        <v>0.9389999999999999</v>
      </c>
      <c r="M617" t="n">
        <v>0.061</v>
      </c>
    </row>
    <row r="618" spans="1:13">
      <c r="A618" s="1">
        <f>HYPERLINK("http://www.twitter.com/NathanBLawrence/status/996598440317542400", "996598440317542400")</f>
        <v/>
      </c>
      <c r="B618" s="2" t="n">
        <v>43236.15923611111</v>
      </c>
      <c r="C618" t="n">
        <v>18</v>
      </c>
      <c r="D618" t="n">
        <v>4</v>
      </c>
      <c r="E618" t="s">
        <v>629</v>
      </c>
      <c r="F618" t="s"/>
      <c r="G618" t="s"/>
      <c r="H618" t="s"/>
      <c r="I618" t="s"/>
      <c r="J618" t="n">
        <v>-0.8139</v>
      </c>
      <c r="K618" t="n">
        <v>0.275</v>
      </c>
      <c r="L618" t="n">
        <v>0.533</v>
      </c>
      <c r="M618" t="n">
        <v>0.192</v>
      </c>
    </row>
    <row r="619" spans="1:13">
      <c r="A619" s="1">
        <f>HYPERLINK("http://www.twitter.com/NathanBLawrence/status/996597422473207809", "996597422473207809")</f>
        <v/>
      </c>
      <c r="B619" s="2" t="n">
        <v>43236.15643518518</v>
      </c>
      <c r="C619" t="n">
        <v>11</v>
      </c>
      <c r="D619" t="n">
        <v>15</v>
      </c>
      <c r="E619" t="s">
        <v>630</v>
      </c>
      <c r="F619" t="s"/>
      <c r="G619" t="s"/>
      <c r="H619" t="s"/>
      <c r="I619" t="s"/>
      <c r="J619" t="n">
        <v>-0.9337</v>
      </c>
      <c r="K619" t="n">
        <v>0.319</v>
      </c>
      <c r="L619" t="n">
        <v>0.681</v>
      </c>
      <c r="M619" t="n">
        <v>0</v>
      </c>
    </row>
    <row r="620" spans="1:13">
      <c r="A620" s="1">
        <f>HYPERLINK("http://www.twitter.com/NathanBLawrence/status/996579913162342401", "996579913162342401")</f>
        <v/>
      </c>
      <c r="B620" s="2" t="n">
        <v>43236.10811342593</v>
      </c>
      <c r="C620" t="n">
        <v>5</v>
      </c>
      <c r="D620" t="n">
        <v>1</v>
      </c>
      <c r="E620" t="s">
        <v>631</v>
      </c>
      <c r="F620" t="s"/>
      <c r="G620" t="s"/>
      <c r="H620" t="s"/>
      <c r="I620" t="s"/>
      <c r="J620" t="n">
        <v>0</v>
      </c>
      <c r="K620" t="n">
        <v>0</v>
      </c>
      <c r="L620" t="n">
        <v>1</v>
      </c>
      <c r="M620" t="n">
        <v>0</v>
      </c>
    </row>
    <row r="621" spans="1:13">
      <c r="A621" s="1">
        <f>HYPERLINK("http://www.twitter.com/NathanBLawrence/status/996579709545725952", "996579709545725952")</f>
        <v/>
      </c>
      <c r="B621" s="2" t="n">
        <v>43236.1075462963</v>
      </c>
      <c r="C621" t="n">
        <v>18</v>
      </c>
      <c r="D621" t="n">
        <v>6</v>
      </c>
      <c r="E621" t="s">
        <v>632</v>
      </c>
      <c r="F621" t="s"/>
      <c r="G621" t="s"/>
      <c r="H621" t="s"/>
      <c r="I621" t="s"/>
      <c r="J621" t="n">
        <v>-0.5994</v>
      </c>
      <c r="K621" t="n">
        <v>0.224</v>
      </c>
      <c r="L621" t="n">
        <v>0.776</v>
      </c>
      <c r="M621" t="n">
        <v>0</v>
      </c>
    </row>
    <row r="622" spans="1:13">
      <c r="A622" s="1">
        <f>HYPERLINK("http://www.twitter.com/NathanBLawrence/status/996579133181214721", "996579133181214721")</f>
        <v/>
      </c>
      <c r="B622" s="2" t="n">
        <v>43236.10596064815</v>
      </c>
      <c r="C622" t="n">
        <v>0</v>
      </c>
      <c r="D622" t="n">
        <v>739</v>
      </c>
      <c r="E622" t="s">
        <v>633</v>
      </c>
      <c r="F622">
        <f>HYPERLINK("http://pbs.twimg.com/media/DdRaw91XUAAA2r7.jpg", "http://pbs.twimg.com/media/DdRaw91XUAAA2r7.jpg")</f>
        <v/>
      </c>
      <c r="G622" t="s"/>
      <c r="H622" t="s"/>
      <c r="I622" t="s"/>
      <c r="J622" t="n">
        <v>-0.4404</v>
      </c>
      <c r="K622" t="n">
        <v>0.127</v>
      </c>
      <c r="L622" t="n">
        <v>0.873</v>
      </c>
      <c r="M622" t="n">
        <v>0</v>
      </c>
    </row>
    <row r="623" spans="1:13">
      <c r="A623" s="1">
        <f>HYPERLINK("http://www.twitter.com/NathanBLawrence/status/996578921280716800", "996578921280716800")</f>
        <v/>
      </c>
      <c r="B623" s="2" t="n">
        <v>43236.10538194444</v>
      </c>
      <c r="C623" t="n">
        <v>11</v>
      </c>
      <c r="D623" t="n">
        <v>4</v>
      </c>
      <c r="E623" t="s">
        <v>634</v>
      </c>
      <c r="F623" t="s"/>
      <c r="G623" t="s"/>
      <c r="H623" t="s"/>
      <c r="I623" t="s"/>
      <c r="J623" t="n">
        <v>-0.5266999999999999</v>
      </c>
      <c r="K623" t="n">
        <v>0.139</v>
      </c>
      <c r="L623" t="n">
        <v>0.861</v>
      </c>
      <c r="M623" t="n">
        <v>0</v>
      </c>
    </row>
    <row r="624" spans="1:13">
      <c r="A624" s="1">
        <f>HYPERLINK("http://www.twitter.com/NathanBLawrence/status/996578625079001088", "996578625079001088")</f>
        <v/>
      </c>
      <c r="B624" s="2" t="n">
        <v>43236.10456018519</v>
      </c>
      <c r="C624" t="n">
        <v>11</v>
      </c>
      <c r="D624" t="n">
        <v>6</v>
      </c>
      <c r="E624" t="s">
        <v>635</v>
      </c>
      <c r="F624" t="s"/>
      <c r="G624" t="s"/>
      <c r="H624" t="s"/>
      <c r="I624" t="s"/>
      <c r="J624" t="n">
        <v>-0.5407999999999999</v>
      </c>
      <c r="K624" t="n">
        <v>0.176</v>
      </c>
      <c r="L624" t="n">
        <v>0.824</v>
      </c>
      <c r="M624" t="n">
        <v>0</v>
      </c>
    </row>
    <row r="625" spans="1:13">
      <c r="A625" s="1">
        <f>HYPERLINK("http://www.twitter.com/NathanBLawrence/status/996578346304618496", "996578346304618496")</f>
        <v/>
      </c>
      <c r="B625" s="2" t="n">
        <v>43236.10378472223</v>
      </c>
      <c r="C625" t="n">
        <v>19</v>
      </c>
      <c r="D625" t="n">
        <v>11</v>
      </c>
      <c r="E625" t="s">
        <v>636</v>
      </c>
      <c r="F625" t="s"/>
      <c r="G625" t="s"/>
      <c r="H625" t="s"/>
      <c r="I625" t="s"/>
      <c r="J625" t="n">
        <v>-0.3818</v>
      </c>
      <c r="K625" t="n">
        <v>0.167</v>
      </c>
      <c r="L625" t="n">
        <v>0.833</v>
      </c>
      <c r="M625" t="n">
        <v>0</v>
      </c>
    </row>
    <row r="626" spans="1:13">
      <c r="A626" s="1">
        <f>HYPERLINK("http://www.twitter.com/NathanBLawrence/status/996577856686768128", "996577856686768128")</f>
        <v/>
      </c>
      <c r="B626" s="2" t="n">
        <v>43236.10244212963</v>
      </c>
      <c r="C626" t="n">
        <v>14</v>
      </c>
      <c r="D626" t="n">
        <v>4</v>
      </c>
      <c r="E626" t="s">
        <v>637</v>
      </c>
      <c r="F626" t="s"/>
      <c r="G626" t="s"/>
      <c r="H626" t="s"/>
      <c r="I626" t="s"/>
      <c r="J626" t="n">
        <v>-0.8832</v>
      </c>
      <c r="K626" t="n">
        <v>0.327</v>
      </c>
      <c r="L626" t="n">
        <v>0.572</v>
      </c>
      <c r="M626" t="n">
        <v>0.101</v>
      </c>
    </row>
    <row r="627" spans="1:13">
      <c r="A627" s="1">
        <f>HYPERLINK("http://www.twitter.com/NathanBLawrence/status/996576466623123456", "996576466623123456")</f>
        <v/>
      </c>
      <c r="B627" s="2" t="n">
        <v>43236.09859953704</v>
      </c>
      <c r="C627" t="n">
        <v>5</v>
      </c>
      <c r="D627" t="n">
        <v>2</v>
      </c>
      <c r="E627" t="s">
        <v>638</v>
      </c>
      <c r="F627" t="s"/>
      <c r="G627" t="s"/>
      <c r="H627" t="s"/>
      <c r="I627" t="s"/>
      <c r="J627" t="n">
        <v>0.4824</v>
      </c>
      <c r="K627" t="n">
        <v>0</v>
      </c>
      <c r="L627" t="n">
        <v>0.719</v>
      </c>
      <c r="M627" t="n">
        <v>0.281</v>
      </c>
    </row>
    <row r="628" spans="1:13">
      <c r="A628" s="1">
        <f>HYPERLINK("http://www.twitter.com/NathanBLawrence/status/996574391185035264", "996574391185035264")</f>
        <v/>
      </c>
      <c r="B628" s="2" t="n">
        <v>43236.09287037037</v>
      </c>
      <c r="C628" t="n">
        <v>0</v>
      </c>
      <c r="D628" t="n">
        <v>781</v>
      </c>
      <c r="E628" t="s">
        <v>639</v>
      </c>
      <c r="F628">
        <f>HYPERLINK("http://pbs.twimg.com/media/DdP5dvdWsAA4sqE.jpg", "http://pbs.twimg.com/media/DdP5dvdWsAA4sqE.jpg")</f>
        <v/>
      </c>
      <c r="G628" t="s"/>
      <c r="H628" t="s"/>
      <c r="I628" t="s"/>
      <c r="J628" t="n">
        <v>-0.0516</v>
      </c>
      <c r="K628" t="n">
        <v>0.057</v>
      </c>
      <c r="L628" t="n">
        <v>0.9429999999999999</v>
      </c>
      <c r="M628" t="n">
        <v>0</v>
      </c>
    </row>
    <row r="629" spans="1:13">
      <c r="A629" s="1">
        <f>HYPERLINK("http://www.twitter.com/NathanBLawrence/status/996573825721487360", "996573825721487360")</f>
        <v/>
      </c>
      <c r="B629" s="2" t="n">
        <v>43236.09131944444</v>
      </c>
      <c r="C629" t="n">
        <v>9</v>
      </c>
      <c r="D629" t="n">
        <v>7</v>
      </c>
      <c r="E629" t="s">
        <v>640</v>
      </c>
      <c r="F629" t="s"/>
      <c r="G629" t="s"/>
      <c r="H629" t="s"/>
      <c r="I629" t="s"/>
      <c r="J629" t="n">
        <v>-0.4588</v>
      </c>
      <c r="K629" t="n">
        <v>0.3</v>
      </c>
      <c r="L629" t="n">
        <v>0.7</v>
      </c>
      <c r="M629" t="n">
        <v>0</v>
      </c>
    </row>
    <row r="630" spans="1:13">
      <c r="A630" s="1">
        <f>HYPERLINK("http://www.twitter.com/NathanBLawrence/status/996573503255007237", "996573503255007237")</f>
        <v/>
      </c>
      <c r="B630" s="2" t="n">
        <v>43236.09042824074</v>
      </c>
      <c r="C630" t="n">
        <v>10</v>
      </c>
      <c r="D630" t="n">
        <v>5</v>
      </c>
      <c r="E630" t="s">
        <v>641</v>
      </c>
      <c r="F630" t="s"/>
      <c r="G630" t="s"/>
      <c r="H630" t="s"/>
      <c r="I630" t="s"/>
      <c r="J630" t="n">
        <v>-0.4019</v>
      </c>
      <c r="K630" t="n">
        <v>0.236</v>
      </c>
      <c r="L630" t="n">
        <v>0.764</v>
      </c>
      <c r="M630" t="n">
        <v>0</v>
      </c>
    </row>
    <row r="631" spans="1:13">
      <c r="A631" s="1">
        <f>HYPERLINK("http://www.twitter.com/NathanBLawrence/status/996573214657601537", "996573214657601537")</f>
        <v/>
      </c>
      <c r="B631" s="2" t="n">
        <v>43236.08962962963</v>
      </c>
      <c r="C631" t="n">
        <v>0</v>
      </c>
      <c r="D631" t="n">
        <v>211</v>
      </c>
      <c r="E631" t="s">
        <v>642</v>
      </c>
      <c r="F631" t="s"/>
      <c r="G631" t="s"/>
      <c r="H631" t="s"/>
      <c r="I631" t="s"/>
      <c r="J631" t="n">
        <v>-0.3818</v>
      </c>
      <c r="K631" t="n">
        <v>0.14</v>
      </c>
      <c r="L631" t="n">
        <v>0.86</v>
      </c>
      <c r="M631" t="n">
        <v>0</v>
      </c>
    </row>
    <row r="632" spans="1:13">
      <c r="A632" s="1">
        <f>HYPERLINK("http://www.twitter.com/NathanBLawrence/status/996573162560045056", "996573162560045056")</f>
        <v/>
      </c>
      <c r="B632" s="2" t="n">
        <v>43236.08949074074</v>
      </c>
      <c r="C632" t="n">
        <v>0</v>
      </c>
      <c r="D632" t="n">
        <v>701</v>
      </c>
      <c r="E632" t="s">
        <v>643</v>
      </c>
      <c r="F632" t="s"/>
      <c r="G632" t="s"/>
      <c r="H632" t="s"/>
      <c r="I632" t="s"/>
      <c r="J632" t="n">
        <v>0.4588</v>
      </c>
      <c r="K632" t="n">
        <v>0</v>
      </c>
      <c r="L632" t="n">
        <v>0.88</v>
      </c>
      <c r="M632" t="n">
        <v>0.12</v>
      </c>
    </row>
    <row r="633" spans="1:13">
      <c r="A633" s="1">
        <f>HYPERLINK("http://www.twitter.com/NathanBLawrence/status/996572654818672640", "996572654818672640")</f>
        <v/>
      </c>
      <c r="B633" s="2" t="n">
        <v>43236.0880787037</v>
      </c>
      <c r="C633" t="n">
        <v>24</v>
      </c>
      <c r="D633" t="n">
        <v>18</v>
      </c>
      <c r="E633" t="s">
        <v>644</v>
      </c>
      <c r="F633" t="s"/>
      <c r="G633" t="s"/>
      <c r="H633" t="s"/>
      <c r="I633" t="s"/>
      <c r="J633" t="n">
        <v>-0.6705</v>
      </c>
      <c r="K633" t="n">
        <v>0.344</v>
      </c>
      <c r="L633" t="n">
        <v>0.526</v>
      </c>
      <c r="M633" t="n">
        <v>0.129</v>
      </c>
    </row>
    <row r="634" spans="1:13">
      <c r="A634" s="1">
        <f>HYPERLINK("http://www.twitter.com/NathanBLawrence/status/996571359558778881", "996571359558778881")</f>
        <v/>
      </c>
      <c r="B634" s="2" t="n">
        <v>43236.08451388889</v>
      </c>
      <c r="C634" t="n">
        <v>12</v>
      </c>
      <c r="D634" t="n">
        <v>7</v>
      </c>
      <c r="E634" t="s">
        <v>645</v>
      </c>
      <c r="F634" t="s"/>
      <c r="G634" t="s"/>
      <c r="H634" t="s"/>
      <c r="I634" t="s"/>
      <c r="J634" t="n">
        <v>0.8065</v>
      </c>
      <c r="K634" t="n">
        <v>0</v>
      </c>
      <c r="L634" t="n">
        <v>0.407</v>
      </c>
      <c r="M634" t="n">
        <v>0.593</v>
      </c>
    </row>
    <row r="635" spans="1:13">
      <c r="A635" s="1">
        <f>HYPERLINK("http://www.twitter.com/NathanBLawrence/status/996570777309757440", "996570777309757440")</f>
        <v/>
      </c>
      <c r="B635" s="2" t="n">
        <v>43236.08290509259</v>
      </c>
      <c r="C635" t="n">
        <v>4</v>
      </c>
      <c r="D635" t="n">
        <v>7</v>
      </c>
      <c r="E635" t="s">
        <v>646</v>
      </c>
      <c r="F635" t="s"/>
      <c r="G635" t="s"/>
      <c r="H635" t="s"/>
      <c r="I635" t="s"/>
      <c r="J635" t="n">
        <v>-0.6249</v>
      </c>
      <c r="K635" t="n">
        <v>0.186</v>
      </c>
      <c r="L635" t="n">
        <v>0.8139999999999999</v>
      </c>
      <c r="M635" t="n">
        <v>0</v>
      </c>
    </row>
    <row r="636" spans="1:13">
      <c r="A636" s="1">
        <f>HYPERLINK("http://www.twitter.com/NathanBLawrence/status/996570630228135936", "996570630228135936")</f>
        <v/>
      </c>
      <c r="B636" s="2" t="n">
        <v>43236.0825</v>
      </c>
      <c r="C636" t="n">
        <v>0</v>
      </c>
      <c r="D636" t="n">
        <v>3281</v>
      </c>
      <c r="E636" t="s">
        <v>647</v>
      </c>
      <c r="F636" t="s"/>
      <c r="G636" t="s"/>
      <c r="H636" t="s"/>
      <c r="I636" t="s"/>
      <c r="J636" t="n">
        <v>0</v>
      </c>
      <c r="K636" t="n">
        <v>0</v>
      </c>
      <c r="L636" t="n">
        <v>1</v>
      </c>
      <c r="M636" t="n">
        <v>0</v>
      </c>
    </row>
    <row r="637" spans="1:13">
      <c r="A637" s="1">
        <f>HYPERLINK("http://www.twitter.com/NathanBLawrence/status/996570521109086208", "996570521109086208")</f>
        <v/>
      </c>
      <c r="B637" s="2" t="n">
        <v>43236.08219907407</v>
      </c>
      <c r="C637" t="n">
        <v>10</v>
      </c>
      <c r="D637" t="n">
        <v>10</v>
      </c>
      <c r="E637" t="s">
        <v>648</v>
      </c>
      <c r="F637" t="s"/>
      <c r="G637" t="s"/>
      <c r="H637" t="s"/>
      <c r="I637" t="s"/>
      <c r="J637" t="n">
        <v>0</v>
      </c>
      <c r="K637" t="n">
        <v>0</v>
      </c>
      <c r="L637" t="n">
        <v>1</v>
      </c>
      <c r="M637" t="n">
        <v>0</v>
      </c>
    </row>
    <row r="638" spans="1:13">
      <c r="A638" s="1">
        <f>HYPERLINK("http://www.twitter.com/NathanBLawrence/status/996570347867549696", "996570347867549696")</f>
        <v/>
      </c>
      <c r="B638" s="2" t="n">
        <v>43236.08171296296</v>
      </c>
      <c r="C638" t="n">
        <v>0</v>
      </c>
      <c r="D638" t="n">
        <v>2730</v>
      </c>
      <c r="E638" t="s">
        <v>649</v>
      </c>
      <c r="F638" t="s"/>
      <c r="G638" t="s"/>
      <c r="H638" t="s"/>
      <c r="I638" t="s"/>
      <c r="J638" t="n">
        <v>0</v>
      </c>
      <c r="K638" t="n">
        <v>0</v>
      </c>
      <c r="L638" t="n">
        <v>1</v>
      </c>
      <c r="M638" t="n">
        <v>0</v>
      </c>
    </row>
    <row r="639" spans="1:13">
      <c r="A639" s="1">
        <f>HYPERLINK("http://www.twitter.com/NathanBLawrence/status/996570287847096320", "996570287847096320")</f>
        <v/>
      </c>
      <c r="B639" s="2" t="n">
        <v>43236.08155092593</v>
      </c>
      <c r="C639" t="n">
        <v>0</v>
      </c>
      <c r="D639" t="n">
        <v>7850</v>
      </c>
      <c r="E639" t="s">
        <v>650</v>
      </c>
      <c r="F639" t="s"/>
      <c r="G639" t="s"/>
      <c r="H639" t="s"/>
      <c r="I639" t="s"/>
      <c r="J639" t="n">
        <v>-0.9516</v>
      </c>
      <c r="K639" t="n">
        <v>0.5</v>
      </c>
      <c r="L639" t="n">
        <v>0.5</v>
      </c>
      <c r="M639" t="n">
        <v>0</v>
      </c>
    </row>
    <row r="640" spans="1:13">
      <c r="A640" s="1">
        <f>HYPERLINK("http://www.twitter.com/NathanBLawrence/status/996570247959199746", "996570247959199746")</f>
        <v/>
      </c>
      <c r="B640" s="2" t="n">
        <v>43236.08144675926</v>
      </c>
      <c r="C640" t="n">
        <v>6</v>
      </c>
      <c r="D640" t="n">
        <v>5</v>
      </c>
      <c r="E640" t="s">
        <v>651</v>
      </c>
      <c r="F640" t="s"/>
      <c r="G640" t="s"/>
      <c r="H640" t="s"/>
      <c r="I640" t="s"/>
      <c r="J640" t="n">
        <v>-0.4019</v>
      </c>
      <c r="K640" t="n">
        <v>0.184</v>
      </c>
      <c r="L640" t="n">
        <v>0.8159999999999999</v>
      </c>
      <c r="M640" t="n">
        <v>0</v>
      </c>
    </row>
    <row r="641" spans="1:13">
      <c r="A641" s="1">
        <f>HYPERLINK("http://www.twitter.com/NathanBLawrence/status/996565160067190784", "996565160067190784")</f>
        <v/>
      </c>
      <c r="B641" s="2" t="n">
        <v>43236.0674074074</v>
      </c>
      <c r="C641" t="n">
        <v>0</v>
      </c>
      <c r="D641" t="n">
        <v>120</v>
      </c>
      <c r="E641" t="s">
        <v>652</v>
      </c>
      <c r="F641">
        <f>HYPERLINK("http://pbs.twimg.com/media/DdGScPkW0AAkkq_.jpg", "http://pbs.twimg.com/media/DdGScPkW0AAkkq_.jpg")</f>
        <v/>
      </c>
      <c r="G641" t="s"/>
      <c r="H641" t="s"/>
      <c r="I641" t="s"/>
      <c r="J641" t="n">
        <v>0</v>
      </c>
      <c r="K641" t="n">
        <v>0</v>
      </c>
      <c r="L641" t="n">
        <v>1</v>
      </c>
      <c r="M641" t="n">
        <v>0</v>
      </c>
    </row>
    <row r="642" spans="1:13">
      <c r="A642" s="1">
        <f>HYPERLINK("http://www.twitter.com/NathanBLawrence/status/996564758345101314", "996564758345101314")</f>
        <v/>
      </c>
      <c r="B642" s="2" t="n">
        <v>43236.0662962963</v>
      </c>
      <c r="C642" t="n">
        <v>0</v>
      </c>
      <c r="D642" t="n">
        <v>3</v>
      </c>
      <c r="E642" t="s">
        <v>653</v>
      </c>
      <c r="F642" t="s"/>
      <c r="G642" t="s"/>
      <c r="H642" t="s"/>
      <c r="I642" t="s"/>
      <c r="J642" t="n">
        <v>0.5399</v>
      </c>
      <c r="K642" t="n">
        <v>0</v>
      </c>
      <c r="L642" t="n">
        <v>0.633</v>
      </c>
      <c r="M642" t="n">
        <v>0.367</v>
      </c>
    </row>
    <row r="643" spans="1:13">
      <c r="A643" s="1">
        <f>HYPERLINK("http://www.twitter.com/NathanBLawrence/status/996564640321519616", "996564640321519616")</f>
        <v/>
      </c>
      <c r="B643" s="2" t="n">
        <v>43236.06597222222</v>
      </c>
      <c r="C643" t="n">
        <v>36</v>
      </c>
      <c r="D643" t="n">
        <v>24</v>
      </c>
      <c r="E643" t="s">
        <v>654</v>
      </c>
      <c r="F643" t="s"/>
      <c r="G643" t="s"/>
      <c r="H643" t="s"/>
      <c r="I643" t="s"/>
      <c r="J643" t="n">
        <v>0.3999</v>
      </c>
      <c r="K643" t="n">
        <v>0.101</v>
      </c>
      <c r="L643" t="n">
        <v>0.67</v>
      </c>
      <c r="M643" t="n">
        <v>0.23</v>
      </c>
    </row>
    <row r="644" spans="1:13">
      <c r="A644" s="1">
        <f>HYPERLINK("http://www.twitter.com/NathanBLawrence/status/996564010441965568", "996564010441965568")</f>
        <v/>
      </c>
      <c r="B644" s="2" t="n">
        <v>43236.06423611111</v>
      </c>
      <c r="C644" t="n">
        <v>3</v>
      </c>
      <c r="D644" t="n">
        <v>5</v>
      </c>
      <c r="E644" t="s">
        <v>655</v>
      </c>
      <c r="F644" t="s"/>
      <c r="G644" t="s"/>
      <c r="H644" t="s"/>
      <c r="I644" t="s"/>
      <c r="J644" t="n">
        <v>0</v>
      </c>
      <c r="K644" t="n">
        <v>0.238</v>
      </c>
      <c r="L644" t="n">
        <v>0.523</v>
      </c>
      <c r="M644" t="n">
        <v>0.238</v>
      </c>
    </row>
    <row r="645" spans="1:13">
      <c r="A645" s="1">
        <f>HYPERLINK("http://www.twitter.com/NathanBLawrence/status/996560512799272960", "996560512799272960")</f>
        <v/>
      </c>
      <c r="B645" s="2" t="n">
        <v>43236.05458333333</v>
      </c>
      <c r="C645" t="n">
        <v>31</v>
      </c>
      <c r="D645" t="n">
        <v>15</v>
      </c>
      <c r="E645" t="s">
        <v>656</v>
      </c>
      <c r="F645" t="s"/>
      <c r="G645" t="s"/>
      <c r="H645" t="s"/>
      <c r="I645" t="s"/>
      <c r="J645" t="n">
        <v>-0.7793</v>
      </c>
      <c r="K645" t="n">
        <v>0.214</v>
      </c>
      <c r="L645" t="n">
        <v>0.786</v>
      </c>
      <c r="M645" t="n">
        <v>0</v>
      </c>
    </row>
    <row r="646" spans="1:13">
      <c r="A646" s="1">
        <f>HYPERLINK("http://www.twitter.com/NathanBLawrence/status/996560133273468929", "996560133273468929")</f>
        <v/>
      </c>
      <c r="B646" s="2" t="n">
        <v>43236.05353009259</v>
      </c>
      <c r="C646" t="n">
        <v>21</v>
      </c>
      <c r="D646" t="n">
        <v>14</v>
      </c>
      <c r="E646" t="s">
        <v>657</v>
      </c>
      <c r="F646" t="s"/>
      <c r="G646" t="s"/>
      <c r="H646" t="s"/>
      <c r="I646" t="s"/>
      <c r="J646" t="n">
        <v>-0.7667</v>
      </c>
      <c r="K646" t="n">
        <v>0.231</v>
      </c>
      <c r="L646" t="n">
        <v>0.769</v>
      </c>
      <c r="M646" t="n">
        <v>0</v>
      </c>
    </row>
    <row r="647" spans="1:13">
      <c r="A647" s="1">
        <f>HYPERLINK("http://www.twitter.com/NathanBLawrence/status/996558812520693760", "996558812520693760")</f>
        <v/>
      </c>
      <c r="B647" s="2" t="n">
        <v>43236.04988425926</v>
      </c>
      <c r="C647" t="n">
        <v>10</v>
      </c>
      <c r="D647" t="n">
        <v>2</v>
      </c>
      <c r="E647" t="s">
        <v>658</v>
      </c>
      <c r="F647" t="s"/>
      <c r="G647" t="s"/>
      <c r="H647" t="s"/>
      <c r="I647" t="s"/>
      <c r="J647" t="n">
        <v>-0.128</v>
      </c>
      <c r="K647" t="n">
        <v>0.288</v>
      </c>
      <c r="L647" t="n">
        <v>0.523</v>
      </c>
      <c r="M647" t="n">
        <v>0.19</v>
      </c>
    </row>
    <row r="648" spans="1:13">
      <c r="A648" s="1">
        <f>HYPERLINK("http://www.twitter.com/NathanBLawrence/status/996558500711952389", "996558500711952389")</f>
        <v/>
      </c>
      <c r="B648" s="2" t="n">
        <v>43236.04902777778</v>
      </c>
      <c r="C648" t="n">
        <v>4</v>
      </c>
      <c r="D648" t="n">
        <v>6</v>
      </c>
      <c r="E648" t="s">
        <v>659</v>
      </c>
      <c r="F648" t="s"/>
      <c r="G648" t="s"/>
      <c r="H648" t="s"/>
      <c r="I648" t="s"/>
      <c r="J648" t="n">
        <v>0.4404</v>
      </c>
      <c r="K648" t="n">
        <v>0.128</v>
      </c>
      <c r="L648" t="n">
        <v>0.588</v>
      </c>
      <c r="M648" t="n">
        <v>0.283</v>
      </c>
    </row>
    <row r="649" spans="1:13">
      <c r="A649" s="1">
        <f>HYPERLINK("http://www.twitter.com/NathanBLawrence/status/996558344289533954", "996558344289533954")</f>
        <v/>
      </c>
      <c r="B649" s="2" t="n">
        <v>43236.04859953704</v>
      </c>
      <c r="C649" t="n">
        <v>7</v>
      </c>
      <c r="D649" t="n">
        <v>5</v>
      </c>
      <c r="E649" t="s">
        <v>660</v>
      </c>
      <c r="F649" t="s"/>
      <c r="G649" t="s"/>
      <c r="H649" t="s"/>
      <c r="I649" t="s"/>
      <c r="J649" t="n">
        <v>0.5574</v>
      </c>
      <c r="K649" t="n">
        <v>0</v>
      </c>
      <c r="L649" t="n">
        <v>0.806</v>
      </c>
      <c r="M649" t="n">
        <v>0.194</v>
      </c>
    </row>
    <row r="650" spans="1:13">
      <c r="A650" s="1">
        <f>HYPERLINK("http://www.twitter.com/NathanBLawrence/status/996557990789500928", "996557990789500928")</f>
        <v/>
      </c>
      <c r="B650" s="2" t="n">
        <v>43236.04761574074</v>
      </c>
      <c r="C650" t="n">
        <v>11</v>
      </c>
      <c r="D650" t="n">
        <v>10</v>
      </c>
      <c r="E650" t="s">
        <v>661</v>
      </c>
      <c r="F650" t="s"/>
      <c r="G650" t="s"/>
      <c r="H650" t="s"/>
      <c r="I650" t="s"/>
      <c r="J650" t="n">
        <v>-0.802</v>
      </c>
      <c r="K650" t="n">
        <v>0.375</v>
      </c>
      <c r="L650" t="n">
        <v>0.625</v>
      </c>
      <c r="M650" t="n">
        <v>0</v>
      </c>
    </row>
    <row r="651" spans="1:13">
      <c r="A651" s="1">
        <f>HYPERLINK("http://www.twitter.com/NathanBLawrence/status/996557438026268674", "996557438026268674")</f>
        <v/>
      </c>
      <c r="B651" s="2" t="n">
        <v>43236.04609953704</v>
      </c>
      <c r="C651" t="n">
        <v>0</v>
      </c>
      <c r="D651" t="n">
        <v>17</v>
      </c>
      <c r="E651" t="s">
        <v>662</v>
      </c>
      <c r="F651" t="s"/>
      <c r="G651" t="s"/>
      <c r="H651" t="s"/>
      <c r="I651" t="s"/>
      <c r="J651" t="n">
        <v>0</v>
      </c>
      <c r="K651" t="n">
        <v>0</v>
      </c>
      <c r="L651" t="n">
        <v>1</v>
      </c>
      <c r="M651" t="n">
        <v>0</v>
      </c>
    </row>
    <row r="652" spans="1:13">
      <c r="A652" s="1">
        <f>HYPERLINK("http://www.twitter.com/NathanBLawrence/status/996557091656556544", "996557091656556544")</f>
        <v/>
      </c>
      <c r="B652" s="2" t="n">
        <v>43236.04513888889</v>
      </c>
      <c r="C652" t="n">
        <v>0</v>
      </c>
      <c r="D652" t="n">
        <v>2562</v>
      </c>
      <c r="E652" t="s">
        <v>663</v>
      </c>
      <c r="F652">
        <f>HYPERLINK("http://pbs.twimg.com/media/DdLCys6XcAAGLrI.jpg", "http://pbs.twimg.com/media/DdLCys6XcAAGLrI.jpg")</f>
        <v/>
      </c>
      <c r="G652" t="s"/>
      <c r="H652" t="s"/>
      <c r="I652" t="s"/>
      <c r="J652" t="n">
        <v>-0.1027</v>
      </c>
      <c r="K652" t="n">
        <v>0.19</v>
      </c>
      <c r="L652" t="n">
        <v>0.672</v>
      </c>
      <c r="M652" t="n">
        <v>0.138</v>
      </c>
    </row>
    <row r="653" spans="1:13">
      <c r="A653" s="1">
        <f>HYPERLINK("http://www.twitter.com/NathanBLawrence/status/996556280171978752", "996556280171978752")</f>
        <v/>
      </c>
      <c r="B653" s="2" t="n">
        <v>43236.04289351852</v>
      </c>
      <c r="C653" t="n">
        <v>2</v>
      </c>
      <c r="D653" t="n">
        <v>3</v>
      </c>
      <c r="E653" t="s">
        <v>664</v>
      </c>
      <c r="F653" t="s"/>
      <c r="G653" t="s"/>
      <c r="H653" t="s"/>
      <c r="I653" t="s"/>
      <c r="J653" t="n">
        <v>-0.0516</v>
      </c>
      <c r="K653" t="n">
        <v>0.154</v>
      </c>
      <c r="L653" t="n">
        <v>0.705</v>
      </c>
      <c r="M653" t="n">
        <v>0.141</v>
      </c>
    </row>
    <row r="654" spans="1:13">
      <c r="A654" s="1">
        <f>HYPERLINK("http://www.twitter.com/NathanBLawrence/status/996556222697369600", "996556222697369600")</f>
        <v/>
      </c>
      <c r="B654" s="2" t="n">
        <v>43236.04274305556</v>
      </c>
      <c r="C654" t="n">
        <v>1</v>
      </c>
      <c r="D654" t="n">
        <v>1</v>
      </c>
      <c r="E654" t="s">
        <v>665</v>
      </c>
      <c r="F654" t="s"/>
      <c r="G654" t="s"/>
      <c r="H654" t="s"/>
      <c r="I654" t="s"/>
      <c r="J654" t="n">
        <v>-0.4588</v>
      </c>
      <c r="K654" t="n">
        <v>0.25</v>
      </c>
      <c r="L654" t="n">
        <v>0.75</v>
      </c>
      <c r="M654" t="n">
        <v>0</v>
      </c>
    </row>
    <row r="655" spans="1:13">
      <c r="A655" s="1">
        <f>HYPERLINK("http://www.twitter.com/NathanBLawrence/status/996556181001781248", "996556181001781248")</f>
        <v/>
      </c>
      <c r="B655" s="2" t="n">
        <v>43236.04262731481</v>
      </c>
      <c r="C655" t="n">
        <v>10</v>
      </c>
      <c r="D655" t="n">
        <v>2</v>
      </c>
      <c r="E655" t="s">
        <v>666</v>
      </c>
      <c r="F655" t="s"/>
      <c r="G655" t="s"/>
      <c r="H655" t="s"/>
      <c r="I655" t="s"/>
      <c r="J655" t="n">
        <v>0.7241</v>
      </c>
      <c r="K655" t="n">
        <v>0</v>
      </c>
      <c r="L655" t="n">
        <v>0.569</v>
      </c>
      <c r="M655" t="n">
        <v>0.431</v>
      </c>
    </row>
    <row r="656" spans="1:13">
      <c r="A656" s="1">
        <f>HYPERLINK("http://www.twitter.com/NathanBLawrence/status/996555927086972928", "996555927086972928")</f>
        <v/>
      </c>
      <c r="B656" s="2" t="n">
        <v>43236.0419212963</v>
      </c>
      <c r="C656" t="n">
        <v>6</v>
      </c>
      <c r="D656" t="n">
        <v>7</v>
      </c>
      <c r="E656" t="s">
        <v>667</v>
      </c>
      <c r="F656" t="s"/>
      <c r="G656" t="s"/>
      <c r="H656" t="s"/>
      <c r="I656" t="s"/>
      <c r="J656" t="n">
        <v>0</v>
      </c>
      <c r="K656" t="n">
        <v>0</v>
      </c>
      <c r="L656" t="n">
        <v>1</v>
      </c>
      <c r="M656" t="n">
        <v>0</v>
      </c>
    </row>
    <row r="657" spans="1:13">
      <c r="A657" s="1">
        <f>HYPERLINK("http://www.twitter.com/NathanBLawrence/status/996555759830745089", "996555759830745089")</f>
        <v/>
      </c>
      <c r="B657" s="2" t="n">
        <v>43236.04145833333</v>
      </c>
      <c r="C657" t="n">
        <v>5</v>
      </c>
      <c r="D657" t="n">
        <v>7</v>
      </c>
      <c r="E657" t="s">
        <v>668</v>
      </c>
      <c r="F657" t="s"/>
      <c r="G657" t="s"/>
      <c r="H657" t="s"/>
      <c r="I657" t="s"/>
      <c r="J657" t="n">
        <v>-0.2263</v>
      </c>
      <c r="K657" t="n">
        <v>0.08699999999999999</v>
      </c>
      <c r="L657" t="n">
        <v>0.913</v>
      </c>
      <c r="M657" t="n">
        <v>0</v>
      </c>
    </row>
    <row r="658" spans="1:13">
      <c r="A658" s="1">
        <f>HYPERLINK("http://www.twitter.com/NathanBLawrence/status/996555684148752384", "996555684148752384")</f>
        <v/>
      </c>
      <c r="B658" s="2" t="n">
        <v>43236.04125</v>
      </c>
      <c r="C658" t="n">
        <v>11</v>
      </c>
      <c r="D658" t="n">
        <v>9</v>
      </c>
      <c r="E658" t="s">
        <v>669</v>
      </c>
      <c r="F658" t="s"/>
      <c r="G658" t="s"/>
      <c r="H658" t="s"/>
      <c r="I658" t="s"/>
      <c r="J658" t="n">
        <v>-0.802</v>
      </c>
      <c r="K658" t="n">
        <v>0.292</v>
      </c>
      <c r="L658" t="n">
        <v>0.633</v>
      </c>
      <c r="M658" t="n">
        <v>0.075</v>
      </c>
    </row>
    <row r="659" spans="1:13">
      <c r="A659" s="1">
        <f>HYPERLINK("http://www.twitter.com/NathanBLawrence/status/996555587562323968", "996555587562323968")</f>
        <v/>
      </c>
      <c r="B659" s="2" t="n">
        <v>43236.04098379629</v>
      </c>
      <c r="C659" t="n">
        <v>14</v>
      </c>
      <c r="D659" t="n">
        <v>16</v>
      </c>
      <c r="E659" t="s">
        <v>670</v>
      </c>
      <c r="F659" t="s"/>
      <c r="G659" t="s"/>
      <c r="H659" t="s"/>
      <c r="I659" t="s"/>
      <c r="J659" t="n">
        <v>-0.7423999999999999</v>
      </c>
      <c r="K659" t="n">
        <v>0.231</v>
      </c>
      <c r="L659" t="n">
        <v>0.769</v>
      </c>
      <c r="M659" t="n">
        <v>0</v>
      </c>
    </row>
    <row r="660" spans="1:13">
      <c r="A660" s="1">
        <f>HYPERLINK("http://www.twitter.com/NathanBLawrence/status/996555331667804160", "996555331667804160")</f>
        <v/>
      </c>
      <c r="B660" s="2" t="n">
        <v>43236.04027777778</v>
      </c>
      <c r="C660" t="n">
        <v>13</v>
      </c>
      <c r="D660" t="n">
        <v>12</v>
      </c>
      <c r="E660" t="s">
        <v>671</v>
      </c>
      <c r="F660" t="s"/>
      <c r="G660" t="s"/>
      <c r="H660" t="s"/>
      <c r="I660" t="s"/>
      <c r="J660" t="n">
        <v>0.2165</v>
      </c>
      <c r="K660" t="n">
        <v>0.107</v>
      </c>
      <c r="L660" t="n">
        <v>0.754</v>
      </c>
      <c r="M660" t="n">
        <v>0.139</v>
      </c>
    </row>
    <row r="661" spans="1:13">
      <c r="A661" s="1">
        <f>HYPERLINK("http://www.twitter.com/NathanBLawrence/status/996553646018981889", "996553646018981889")</f>
        <v/>
      </c>
      <c r="B661" s="2" t="n">
        <v>43236.035625</v>
      </c>
      <c r="C661" t="n">
        <v>17</v>
      </c>
      <c r="D661" t="n">
        <v>13</v>
      </c>
      <c r="E661" t="s">
        <v>672</v>
      </c>
      <c r="F661" t="s"/>
      <c r="G661" t="s"/>
      <c r="H661" t="s"/>
      <c r="I661" t="s"/>
      <c r="J661" t="n">
        <v>-0.8309</v>
      </c>
      <c r="K661" t="n">
        <v>0.326</v>
      </c>
      <c r="L661" t="n">
        <v>0.5629999999999999</v>
      </c>
      <c r="M661" t="n">
        <v>0.111</v>
      </c>
    </row>
    <row r="662" spans="1:13">
      <c r="A662" s="1">
        <f>HYPERLINK("http://www.twitter.com/NathanBLawrence/status/996553152928231424", "996553152928231424")</f>
        <v/>
      </c>
      <c r="B662" s="2" t="n">
        <v>43236.03427083333</v>
      </c>
      <c r="C662" t="n">
        <v>0</v>
      </c>
      <c r="D662" t="n">
        <v>12687</v>
      </c>
      <c r="E662" t="s">
        <v>673</v>
      </c>
      <c r="F662" t="s"/>
      <c r="G662" t="s"/>
      <c r="H662" t="s"/>
      <c r="I662" t="s"/>
      <c r="J662" t="n">
        <v>-0.2023</v>
      </c>
      <c r="K662" t="n">
        <v>0.134</v>
      </c>
      <c r="L662" t="n">
        <v>0.763</v>
      </c>
      <c r="M662" t="n">
        <v>0.103</v>
      </c>
    </row>
    <row r="663" spans="1:13">
      <c r="A663" s="1">
        <f>HYPERLINK("http://www.twitter.com/NathanBLawrence/status/996553061823758336", "996553061823758336")</f>
        <v/>
      </c>
      <c r="B663" s="2" t="n">
        <v>43236.0340162037</v>
      </c>
      <c r="C663" t="n">
        <v>0</v>
      </c>
      <c r="D663" t="n">
        <v>5345</v>
      </c>
      <c r="E663" t="s">
        <v>674</v>
      </c>
      <c r="F663">
        <f>HYPERLINK("http://pbs.twimg.com/media/DdKudDgWAAEYjp_.jpg", "http://pbs.twimg.com/media/DdKudDgWAAEYjp_.jpg")</f>
        <v/>
      </c>
      <c r="G663" t="s"/>
      <c r="H663" t="s"/>
      <c r="I663" t="s"/>
      <c r="J663" t="n">
        <v>0.4588</v>
      </c>
      <c r="K663" t="n">
        <v>0</v>
      </c>
      <c r="L663" t="n">
        <v>0.889</v>
      </c>
      <c r="M663" t="n">
        <v>0.111</v>
      </c>
    </row>
    <row r="664" spans="1:13">
      <c r="A664" s="1">
        <f>HYPERLINK("http://www.twitter.com/NathanBLawrence/status/996552950716579840", "996552950716579840")</f>
        <v/>
      </c>
      <c r="B664" s="2" t="n">
        <v>43236.03371527778</v>
      </c>
      <c r="C664" t="n">
        <v>10</v>
      </c>
      <c r="D664" t="n">
        <v>7</v>
      </c>
      <c r="E664" t="s">
        <v>675</v>
      </c>
      <c r="F664" t="s"/>
      <c r="G664" t="s"/>
      <c r="H664" t="s"/>
      <c r="I664" t="s"/>
      <c r="J664" t="n">
        <v>0.3182</v>
      </c>
      <c r="K664" t="n">
        <v>0</v>
      </c>
      <c r="L664" t="n">
        <v>0.796</v>
      </c>
      <c r="M664" t="n">
        <v>0.204</v>
      </c>
    </row>
    <row r="665" spans="1:13">
      <c r="A665" s="1">
        <f>HYPERLINK("http://www.twitter.com/NathanBLawrence/status/996552538596851712", "996552538596851712")</f>
        <v/>
      </c>
      <c r="B665" s="2" t="n">
        <v>43236.03256944445</v>
      </c>
      <c r="C665" t="n">
        <v>0</v>
      </c>
      <c r="D665" t="n">
        <v>1437</v>
      </c>
      <c r="E665" t="s">
        <v>676</v>
      </c>
      <c r="F665" t="s"/>
      <c r="G665" t="s"/>
      <c r="H665" t="s"/>
      <c r="I665" t="s"/>
      <c r="J665" t="n">
        <v>-0.6486</v>
      </c>
      <c r="K665" t="n">
        <v>0.261</v>
      </c>
      <c r="L665" t="n">
        <v>0.739</v>
      </c>
      <c r="M665" t="n">
        <v>0</v>
      </c>
    </row>
    <row r="666" spans="1:13">
      <c r="A666" s="1">
        <f>HYPERLINK("http://www.twitter.com/NathanBLawrence/status/996551933379805184", "996551933379805184")</f>
        <v/>
      </c>
      <c r="B666" s="2" t="n">
        <v>43236.03090277778</v>
      </c>
      <c r="C666" t="n">
        <v>8</v>
      </c>
      <c r="D666" t="n">
        <v>9</v>
      </c>
      <c r="E666" t="s">
        <v>677</v>
      </c>
      <c r="F666" t="s"/>
      <c r="G666" t="s"/>
      <c r="H666" t="s"/>
      <c r="I666" t="s"/>
      <c r="J666" t="n">
        <v>-0.7717000000000001</v>
      </c>
      <c r="K666" t="n">
        <v>0.271</v>
      </c>
      <c r="L666" t="n">
        <v>0.729</v>
      </c>
      <c r="M666" t="n">
        <v>0</v>
      </c>
    </row>
    <row r="667" spans="1:13">
      <c r="A667" s="1">
        <f>HYPERLINK("http://www.twitter.com/NathanBLawrence/status/996551706866368512", "996551706866368512")</f>
        <v/>
      </c>
      <c r="B667" s="2" t="n">
        <v>43236.03027777778</v>
      </c>
      <c r="C667" t="n">
        <v>0</v>
      </c>
      <c r="D667" t="n">
        <v>14</v>
      </c>
      <c r="E667" t="s">
        <v>678</v>
      </c>
      <c r="F667" t="s"/>
      <c r="G667" t="s"/>
      <c r="H667" t="s"/>
      <c r="I667" t="s"/>
      <c r="J667" t="n">
        <v>0</v>
      </c>
      <c r="K667" t="n">
        <v>0</v>
      </c>
      <c r="L667" t="n">
        <v>1</v>
      </c>
      <c r="M667" t="n">
        <v>0</v>
      </c>
    </row>
    <row r="668" spans="1:13">
      <c r="A668" s="1">
        <f>HYPERLINK("http://www.twitter.com/NathanBLawrence/status/996551442696556545", "996551442696556545")</f>
        <v/>
      </c>
      <c r="B668" s="2" t="n">
        <v>43236.02954861111</v>
      </c>
      <c r="C668" t="n">
        <v>6</v>
      </c>
      <c r="D668" t="n">
        <v>4</v>
      </c>
      <c r="E668" t="s">
        <v>679</v>
      </c>
      <c r="F668" t="s"/>
      <c r="G668" t="s"/>
      <c r="H668" t="s"/>
      <c r="I668" t="s"/>
      <c r="J668" t="n">
        <v>-0.2732</v>
      </c>
      <c r="K668" t="n">
        <v>0.196</v>
      </c>
      <c r="L668" t="n">
        <v>0.67</v>
      </c>
      <c r="M668" t="n">
        <v>0.134</v>
      </c>
    </row>
    <row r="669" spans="1:13">
      <c r="A669" s="1">
        <f>HYPERLINK("http://www.twitter.com/NathanBLawrence/status/996551160294064128", "996551160294064128")</f>
        <v/>
      </c>
      <c r="B669" s="2" t="n">
        <v>43236.02877314815</v>
      </c>
      <c r="C669" t="n">
        <v>0</v>
      </c>
      <c r="D669" t="n">
        <v>6</v>
      </c>
      <c r="E669" t="s">
        <v>680</v>
      </c>
      <c r="F669" t="s"/>
      <c r="G669" t="s"/>
      <c r="H669" t="s"/>
      <c r="I669" t="s"/>
      <c r="J669" t="n">
        <v>-0.6486</v>
      </c>
      <c r="K669" t="n">
        <v>0.218</v>
      </c>
      <c r="L669" t="n">
        <v>0.782</v>
      </c>
      <c r="M669" t="n">
        <v>0</v>
      </c>
    </row>
    <row r="670" spans="1:13">
      <c r="A670" s="1">
        <f>HYPERLINK("http://www.twitter.com/NathanBLawrence/status/996551084901462018", "996551084901462018")</f>
        <v/>
      </c>
      <c r="B670" s="2" t="n">
        <v>43236.02856481481</v>
      </c>
      <c r="C670" t="n">
        <v>0</v>
      </c>
      <c r="D670" t="n">
        <v>6</v>
      </c>
      <c r="E670" t="s">
        <v>681</v>
      </c>
      <c r="F670" t="s"/>
      <c r="G670" t="s"/>
      <c r="H670" t="s"/>
      <c r="I670" t="s"/>
      <c r="J670" t="n">
        <v>0.6369</v>
      </c>
      <c r="K670" t="n">
        <v>0</v>
      </c>
      <c r="L670" t="n">
        <v>0.785</v>
      </c>
      <c r="M670" t="n">
        <v>0.215</v>
      </c>
    </row>
    <row r="671" spans="1:13">
      <c r="A671" s="1">
        <f>HYPERLINK("http://www.twitter.com/NathanBLawrence/status/996550972645113858", "996550972645113858")</f>
        <v/>
      </c>
      <c r="B671" s="2" t="n">
        <v>43236.02825231481</v>
      </c>
      <c r="C671" t="n">
        <v>2</v>
      </c>
      <c r="D671" t="n">
        <v>0</v>
      </c>
      <c r="E671" t="s">
        <v>682</v>
      </c>
      <c r="F671" t="s"/>
      <c r="G671" t="s"/>
      <c r="H671" t="s"/>
      <c r="I671" t="s"/>
      <c r="J671" t="n">
        <v>-0.5423</v>
      </c>
      <c r="K671" t="n">
        <v>0.179</v>
      </c>
      <c r="L671" t="n">
        <v>0.713</v>
      </c>
      <c r="M671" t="n">
        <v>0.108</v>
      </c>
    </row>
    <row r="672" spans="1:13">
      <c r="A672" s="1">
        <f>HYPERLINK("http://www.twitter.com/NathanBLawrence/status/996550716842885120", "996550716842885120")</f>
        <v/>
      </c>
      <c r="B672" s="2" t="n">
        <v>43236.0275462963</v>
      </c>
      <c r="C672" t="n">
        <v>0</v>
      </c>
      <c r="D672" t="n">
        <v>410</v>
      </c>
      <c r="E672" t="s">
        <v>683</v>
      </c>
      <c r="F672">
        <f>HYPERLINK("http://pbs.twimg.com/media/DcwsP7-XcAA6YdK.jpg", "http://pbs.twimg.com/media/DcwsP7-XcAA6YdK.jpg")</f>
        <v/>
      </c>
      <c r="G672" t="s"/>
      <c r="H672" t="s"/>
      <c r="I672" t="s"/>
      <c r="J672" t="n">
        <v>0</v>
      </c>
      <c r="K672" t="n">
        <v>0</v>
      </c>
      <c r="L672" t="n">
        <v>1</v>
      </c>
      <c r="M672" t="n">
        <v>0</v>
      </c>
    </row>
    <row r="673" spans="1:13">
      <c r="A673" s="1">
        <f>HYPERLINK("http://www.twitter.com/NathanBLawrence/status/996550647586504704", "996550647586504704")</f>
        <v/>
      </c>
      <c r="B673" s="2" t="n">
        <v>43236.02736111111</v>
      </c>
      <c r="C673" t="n">
        <v>0</v>
      </c>
      <c r="D673" t="n">
        <v>134</v>
      </c>
      <c r="E673" t="s">
        <v>684</v>
      </c>
      <c r="F673" t="s"/>
      <c r="G673" t="s"/>
      <c r="H673" t="s"/>
      <c r="I673" t="s"/>
      <c r="J673" t="n">
        <v>0</v>
      </c>
      <c r="K673" t="n">
        <v>0</v>
      </c>
      <c r="L673" t="n">
        <v>1</v>
      </c>
      <c r="M673" t="n">
        <v>0</v>
      </c>
    </row>
    <row r="674" spans="1:13">
      <c r="A674" s="1">
        <f>HYPERLINK("http://www.twitter.com/NathanBLawrence/status/996550572059738112", "996550572059738112")</f>
        <v/>
      </c>
      <c r="B674" s="2" t="n">
        <v>43236.02715277778</v>
      </c>
      <c r="C674" t="n">
        <v>10</v>
      </c>
      <c r="D674" t="n">
        <v>5</v>
      </c>
      <c r="E674" t="s">
        <v>685</v>
      </c>
      <c r="F674" t="s"/>
      <c r="G674" t="s"/>
      <c r="H674" t="s"/>
      <c r="I674" t="s"/>
      <c r="J674" t="n">
        <v>0</v>
      </c>
      <c r="K674" t="n">
        <v>0</v>
      </c>
      <c r="L674" t="n">
        <v>1</v>
      </c>
      <c r="M674" t="n">
        <v>0</v>
      </c>
    </row>
    <row r="675" spans="1:13">
      <c r="A675" s="1">
        <f>HYPERLINK("http://www.twitter.com/NathanBLawrence/status/996549226359226368", "996549226359226368")</f>
        <v/>
      </c>
      <c r="B675" s="2" t="n">
        <v>43236.0234375</v>
      </c>
      <c r="C675" t="n">
        <v>17</v>
      </c>
      <c r="D675" t="n">
        <v>2</v>
      </c>
      <c r="E675" t="s">
        <v>686</v>
      </c>
      <c r="F675" t="s"/>
      <c r="G675" t="s"/>
      <c r="H675" t="s"/>
      <c r="I675" t="s"/>
      <c r="J675" t="n">
        <v>0.6588000000000001</v>
      </c>
      <c r="K675" t="n">
        <v>0</v>
      </c>
      <c r="L675" t="n">
        <v>0.803</v>
      </c>
      <c r="M675" t="n">
        <v>0.197</v>
      </c>
    </row>
    <row r="676" spans="1:13">
      <c r="A676" s="1">
        <f>HYPERLINK("http://www.twitter.com/NathanBLawrence/status/996545744231251968", "996545744231251968")</f>
        <v/>
      </c>
      <c r="B676" s="2" t="n">
        <v>43236.01383101852</v>
      </c>
      <c r="C676" t="n">
        <v>10</v>
      </c>
      <c r="D676" t="n">
        <v>4</v>
      </c>
      <c r="E676" t="s">
        <v>687</v>
      </c>
      <c r="F676" t="s"/>
      <c r="G676" t="s"/>
      <c r="H676" t="s"/>
      <c r="I676" t="s"/>
      <c r="J676" t="n">
        <v>0.4404</v>
      </c>
      <c r="K676" t="n">
        <v>0.122</v>
      </c>
      <c r="L676" t="n">
        <v>0.609</v>
      </c>
      <c r="M676" t="n">
        <v>0.269</v>
      </c>
    </row>
    <row r="677" spans="1:13">
      <c r="A677" s="1">
        <f>HYPERLINK("http://www.twitter.com/NathanBLawrence/status/996545121385529345", "996545121385529345")</f>
        <v/>
      </c>
      <c r="B677" s="2" t="n">
        <v>43236.01210648148</v>
      </c>
      <c r="C677" t="n">
        <v>22</v>
      </c>
      <c r="D677" t="n">
        <v>11</v>
      </c>
      <c r="E677" t="s">
        <v>688</v>
      </c>
      <c r="F677" t="s"/>
      <c r="G677" t="s"/>
      <c r="H677" t="s"/>
      <c r="I677" t="s"/>
      <c r="J677" t="n">
        <v>-0.8889</v>
      </c>
      <c r="K677" t="n">
        <v>0.266</v>
      </c>
      <c r="L677" t="n">
        <v>0.734</v>
      </c>
      <c r="M677" t="n">
        <v>0</v>
      </c>
    </row>
    <row r="678" spans="1:13">
      <c r="A678" s="1">
        <f>HYPERLINK("http://www.twitter.com/NathanBLawrence/status/996544163997827072", "996544163997827072")</f>
        <v/>
      </c>
      <c r="B678" s="2" t="n">
        <v>43236.00946759259</v>
      </c>
      <c r="C678" t="n">
        <v>11</v>
      </c>
      <c r="D678" t="n">
        <v>5</v>
      </c>
      <c r="E678" t="s">
        <v>689</v>
      </c>
      <c r="F678" t="s"/>
      <c r="G678" t="s"/>
      <c r="H678" t="s"/>
      <c r="I678" t="s"/>
      <c r="J678" t="n">
        <v>-0.8883</v>
      </c>
      <c r="K678" t="n">
        <v>0.333</v>
      </c>
      <c r="L678" t="n">
        <v>0.667</v>
      </c>
      <c r="M678" t="n">
        <v>0</v>
      </c>
    </row>
    <row r="679" spans="1:13">
      <c r="A679" s="1">
        <f>HYPERLINK("http://www.twitter.com/NathanBLawrence/status/996543865577340929", "996543865577340929")</f>
        <v/>
      </c>
      <c r="B679" s="2" t="n">
        <v>43236.00864583333</v>
      </c>
      <c r="C679" t="n">
        <v>10</v>
      </c>
      <c r="D679" t="n">
        <v>7</v>
      </c>
      <c r="E679" t="s">
        <v>690</v>
      </c>
      <c r="F679" t="s"/>
      <c r="G679" t="s"/>
      <c r="H679" t="s"/>
      <c r="I679" t="s"/>
      <c r="J679" t="n">
        <v>-0.4069</v>
      </c>
      <c r="K679" t="n">
        <v>0.218</v>
      </c>
      <c r="L679" t="n">
        <v>0.585</v>
      </c>
      <c r="M679" t="n">
        <v>0.198</v>
      </c>
    </row>
    <row r="680" spans="1:13">
      <c r="A680" s="1">
        <f>HYPERLINK("http://www.twitter.com/NathanBLawrence/status/996543340362395649", "996543340362395649")</f>
        <v/>
      </c>
      <c r="B680" s="2" t="n">
        <v>43236.0071875</v>
      </c>
      <c r="C680" t="n">
        <v>7</v>
      </c>
      <c r="D680" t="n">
        <v>5</v>
      </c>
      <c r="E680" t="s">
        <v>691</v>
      </c>
      <c r="F680" t="s"/>
      <c r="G680" t="s"/>
      <c r="H680" t="s"/>
      <c r="I680" t="s"/>
      <c r="J680" t="n">
        <v>-0.4767</v>
      </c>
      <c r="K680" t="n">
        <v>0.128</v>
      </c>
      <c r="L680" t="n">
        <v>0.872</v>
      </c>
      <c r="M680" t="n">
        <v>0</v>
      </c>
    </row>
    <row r="681" spans="1:13">
      <c r="A681" s="1">
        <f>HYPERLINK("http://www.twitter.com/NathanBLawrence/status/996542485873676288", "996542485873676288")</f>
        <v/>
      </c>
      <c r="B681" s="2" t="n">
        <v>43236.00483796297</v>
      </c>
      <c r="C681" t="n">
        <v>11</v>
      </c>
      <c r="D681" t="n">
        <v>4</v>
      </c>
      <c r="E681" t="s">
        <v>692</v>
      </c>
      <c r="F681" t="s"/>
      <c r="G681" t="s"/>
      <c r="H681" t="s"/>
      <c r="I681" t="s"/>
      <c r="J681" t="n">
        <v>-0.4926</v>
      </c>
      <c r="K681" t="n">
        <v>0.175</v>
      </c>
      <c r="L681" t="n">
        <v>0.825</v>
      </c>
      <c r="M681" t="n">
        <v>0</v>
      </c>
    </row>
    <row r="682" spans="1:13">
      <c r="A682" s="1">
        <f>HYPERLINK("http://www.twitter.com/NathanBLawrence/status/996542155161194496", "996542155161194496")</f>
        <v/>
      </c>
      <c r="B682" s="2" t="n">
        <v>43236.00392361111</v>
      </c>
      <c r="C682" t="n">
        <v>8</v>
      </c>
      <c r="D682" t="n">
        <v>3</v>
      </c>
      <c r="E682" t="s">
        <v>693</v>
      </c>
      <c r="F682" t="s"/>
      <c r="G682" t="s"/>
      <c r="H682" t="s"/>
      <c r="I682" t="s"/>
      <c r="J682" t="n">
        <v>-0.1511</v>
      </c>
      <c r="K682" t="n">
        <v>0.127</v>
      </c>
      <c r="L682" t="n">
        <v>0.765</v>
      </c>
      <c r="M682" t="n">
        <v>0.108</v>
      </c>
    </row>
    <row r="683" spans="1:13">
      <c r="A683" s="1">
        <f>HYPERLINK("http://www.twitter.com/NathanBLawrence/status/996541646207574016", "996541646207574016")</f>
        <v/>
      </c>
      <c r="B683" s="2" t="n">
        <v>43236.00251157407</v>
      </c>
      <c r="C683" t="n">
        <v>6</v>
      </c>
      <c r="D683" t="n">
        <v>2</v>
      </c>
      <c r="E683" t="s">
        <v>694</v>
      </c>
      <c r="F683" t="s"/>
      <c r="G683" t="s"/>
      <c r="H683" t="s"/>
      <c r="I683" t="s"/>
      <c r="J683" t="n">
        <v>-0.2003</v>
      </c>
      <c r="K683" t="n">
        <v>0.082</v>
      </c>
      <c r="L683" t="n">
        <v>0.918</v>
      </c>
      <c r="M683" t="n">
        <v>0</v>
      </c>
    </row>
    <row r="684" spans="1:13">
      <c r="A684" s="1">
        <f>HYPERLINK("http://www.twitter.com/NathanBLawrence/status/996541454724943872", "996541454724943872")</f>
        <v/>
      </c>
      <c r="B684" s="2" t="n">
        <v>43236.00199074074</v>
      </c>
      <c r="C684" t="n">
        <v>6</v>
      </c>
      <c r="D684" t="n">
        <v>4</v>
      </c>
      <c r="E684" t="s">
        <v>695</v>
      </c>
      <c r="F684" t="s"/>
      <c r="G684" t="s"/>
      <c r="H684" t="s"/>
      <c r="I684" t="s"/>
      <c r="J684" t="n">
        <v>-0.9241</v>
      </c>
      <c r="K684" t="n">
        <v>0.34</v>
      </c>
      <c r="L684" t="n">
        <v>0.66</v>
      </c>
      <c r="M684" t="n">
        <v>0</v>
      </c>
    </row>
    <row r="685" spans="1:13">
      <c r="A685" s="1">
        <f>HYPERLINK("http://www.twitter.com/NathanBLawrence/status/996541123140071425", "996541123140071425")</f>
        <v/>
      </c>
      <c r="B685" s="2" t="n">
        <v>43236.00107638889</v>
      </c>
      <c r="C685" t="n">
        <v>2</v>
      </c>
      <c r="D685" t="n">
        <v>1</v>
      </c>
      <c r="E685" t="s">
        <v>696</v>
      </c>
      <c r="F685" t="s"/>
      <c r="G685" t="s"/>
      <c r="H685" t="s"/>
      <c r="I685" t="s"/>
      <c r="J685" t="n">
        <v>-0.2695</v>
      </c>
      <c r="K685" t="n">
        <v>0.077</v>
      </c>
      <c r="L685" t="n">
        <v>0.923</v>
      </c>
      <c r="M685" t="n">
        <v>0</v>
      </c>
    </row>
    <row r="686" spans="1:13">
      <c r="A686" s="1">
        <f>HYPERLINK("http://www.twitter.com/NathanBLawrence/status/996540901177479168", "996540901177479168")</f>
        <v/>
      </c>
      <c r="B686" s="2" t="n">
        <v>43236.00046296296</v>
      </c>
      <c r="C686" t="n">
        <v>0</v>
      </c>
      <c r="D686" t="n">
        <v>1086</v>
      </c>
      <c r="E686" t="s">
        <v>697</v>
      </c>
      <c r="F686">
        <f>HYPERLINK("http://pbs.twimg.com/media/DdRS88VU0AANDsa.jpg", "http://pbs.twimg.com/media/DdRS88VU0AANDsa.jpg")</f>
        <v/>
      </c>
      <c r="G686" t="s"/>
      <c r="H686" t="s"/>
      <c r="I686" t="s"/>
      <c r="J686" t="n">
        <v>0.4389</v>
      </c>
      <c r="K686" t="n">
        <v>0</v>
      </c>
      <c r="L686" t="n">
        <v>0.868</v>
      </c>
      <c r="M686" t="n">
        <v>0.132</v>
      </c>
    </row>
    <row r="687" spans="1:13">
      <c r="A687" s="1">
        <f>HYPERLINK("http://www.twitter.com/NathanBLawrence/status/996528264066748416", "996528264066748416")</f>
        <v/>
      </c>
      <c r="B687" s="2" t="n">
        <v>43235.96559027778</v>
      </c>
      <c r="C687" t="n">
        <v>7</v>
      </c>
      <c r="D687" t="n">
        <v>4</v>
      </c>
      <c r="E687" t="s">
        <v>698</v>
      </c>
      <c r="F687" t="s"/>
      <c r="G687" t="s"/>
      <c r="H687" t="s"/>
      <c r="I687" t="s"/>
      <c r="J687" t="n">
        <v>0</v>
      </c>
      <c r="K687" t="n">
        <v>0</v>
      </c>
      <c r="L687" t="n">
        <v>1</v>
      </c>
      <c r="M687" t="n">
        <v>0</v>
      </c>
    </row>
    <row r="688" spans="1:13">
      <c r="A688" s="1">
        <f>HYPERLINK("http://www.twitter.com/NathanBLawrence/status/996527565304037376", "996527565304037376")</f>
        <v/>
      </c>
      <c r="B688" s="2" t="n">
        <v>43235.96365740741</v>
      </c>
      <c r="C688" t="n">
        <v>0</v>
      </c>
      <c r="D688" t="n">
        <v>740</v>
      </c>
      <c r="E688" t="s">
        <v>699</v>
      </c>
      <c r="F688" t="s"/>
      <c r="G688" t="s"/>
      <c r="H688" t="s"/>
      <c r="I688" t="s"/>
      <c r="J688" t="n">
        <v>0</v>
      </c>
      <c r="K688" t="n">
        <v>0</v>
      </c>
      <c r="L688" t="n">
        <v>1</v>
      </c>
      <c r="M688" t="n">
        <v>0</v>
      </c>
    </row>
    <row r="689" spans="1:13">
      <c r="A689" s="1">
        <f>HYPERLINK("http://www.twitter.com/NathanBLawrence/status/996527471502680064", "996527471502680064")</f>
        <v/>
      </c>
      <c r="B689" s="2" t="n">
        <v>43235.96340277778</v>
      </c>
      <c r="C689" t="n">
        <v>0</v>
      </c>
      <c r="D689" t="n">
        <v>3055</v>
      </c>
      <c r="E689" t="s">
        <v>700</v>
      </c>
      <c r="F689" t="s"/>
      <c r="G689" t="s"/>
      <c r="H689" t="s"/>
      <c r="I689" t="s"/>
      <c r="J689" t="n">
        <v>-0.5859</v>
      </c>
      <c r="K689" t="n">
        <v>0.179</v>
      </c>
      <c r="L689" t="n">
        <v>0.821</v>
      </c>
      <c r="M689" t="n">
        <v>0</v>
      </c>
    </row>
    <row r="690" spans="1:13">
      <c r="A690" s="1">
        <f>HYPERLINK("http://www.twitter.com/NathanBLawrence/status/996527363625074688", "996527363625074688")</f>
        <v/>
      </c>
      <c r="B690" s="2" t="n">
        <v>43235.96310185185</v>
      </c>
      <c r="C690" t="n">
        <v>0</v>
      </c>
      <c r="D690" t="n">
        <v>13403</v>
      </c>
      <c r="E690" t="s">
        <v>701</v>
      </c>
      <c r="F690" t="s"/>
      <c r="G690" t="s"/>
      <c r="H690" t="s"/>
      <c r="I690" t="s"/>
      <c r="J690" t="n">
        <v>0.2732</v>
      </c>
      <c r="K690" t="n">
        <v>0.127</v>
      </c>
      <c r="L690" t="n">
        <v>0.671</v>
      </c>
      <c r="M690" t="n">
        <v>0.201</v>
      </c>
    </row>
    <row r="691" spans="1:13">
      <c r="A691" s="1">
        <f>HYPERLINK("http://www.twitter.com/NathanBLawrence/status/996526449157853185", "996526449157853185")</f>
        <v/>
      </c>
      <c r="B691" s="2" t="n">
        <v>43235.96057870371</v>
      </c>
      <c r="C691" t="n">
        <v>0</v>
      </c>
      <c r="D691" t="n">
        <v>895</v>
      </c>
      <c r="E691" t="s">
        <v>702</v>
      </c>
      <c r="F691" t="s"/>
      <c r="G691" t="s"/>
      <c r="H691" t="s"/>
      <c r="I691" t="s"/>
      <c r="J691" t="n">
        <v>-0.5106000000000001</v>
      </c>
      <c r="K691" t="n">
        <v>0.261</v>
      </c>
      <c r="L691" t="n">
        <v>0.619</v>
      </c>
      <c r="M691" t="n">
        <v>0.121</v>
      </c>
    </row>
    <row r="692" spans="1:13">
      <c r="A692" s="1">
        <f>HYPERLINK("http://www.twitter.com/NathanBLawrence/status/996526386570444800", "996526386570444800")</f>
        <v/>
      </c>
      <c r="B692" s="2" t="n">
        <v>43235.96040509259</v>
      </c>
      <c r="C692" t="n">
        <v>0</v>
      </c>
      <c r="D692" t="n">
        <v>11002</v>
      </c>
      <c r="E692" t="s">
        <v>703</v>
      </c>
      <c r="F692">
        <f>HYPERLINK("https://video.twimg.com/ext_tw_video/996011243168137216/pu/vid/1280x720/dTrnPWv0HKhaiC_8.mp4?tag=3", "https://video.twimg.com/ext_tw_video/996011243168137216/pu/vid/1280x720/dTrnPWv0HKhaiC_8.mp4?tag=3")</f>
        <v/>
      </c>
      <c r="G692" t="s"/>
      <c r="H692" t="s"/>
      <c r="I692" t="s"/>
      <c r="J692" t="n">
        <v>0.6679</v>
      </c>
      <c r="K692" t="n">
        <v>0.098</v>
      </c>
      <c r="L692" t="n">
        <v>0.663</v>
      </c>
      <c r="M692" t="n">
        <v>0.239</v>
      </c>
    </row>
    <row r="693" spans="1:13">
      <c r="A693" s="1">
        <f>HYPERLINK("http://www.twitter.com/NathanBLawrence/status/996525594190884864", "996525594190884864")</f>
        <v/>
      </c>
      <c r="B693" s="2" t="n">
        <v>43235.95821759259</v>
      </c>
      <c r="C693" t="n">
        <v>0</v>
      </c>
      <c r="D693" t="n">
        <v>316</v>
      </c>
      <c r="E693" t="s">
        <v>704</v>
      </c>
      <c r="F693">
        <f>HYPERLINK("https://video.twimg.com/ext_tw_video/996440861889257472/pu/vid/256x320/yH-uL0kRgOavfpB5.mp4?tag=3", "https://video.twimg.com/ext_tw_video/996440861889257472/pu/vid/256x320/yH-uL0kRgOavfpB5.mp4?tag=3")</f>
        <v/>
      </c>
      <c r="G693" t="s"/>
      <c r="H693" t="s"/>
      <c r="I693" t="s"/>
      <c r="J693" t="n">
        <v>-0.4767</v>
      </c>
      <c r="K693" t="n">
        <v>0.341</v>
      </c>
      <c r="L693" t="n">
        <v>0.659</v>
      </c>
      <c r="M693" t="n">
        <v>0</v>
      </c>
    </row>
    <row r="694" spans="1:13">
      <c r="A694" s="1">
        <f>HYPERLINK("http://www.twitter.com/NathanBLawrence/status/996525091289640961", "996525091289640961")</f>
        <v/>
      </c>
      <c r="B694" s="2" t="n">
        <v>43235.9568287037</v>
      </c>
      <c r="C694" t="n">
        <v>10</v>
      </c>
      <c r="D694" t="n">
        <v>2</v>
      </c>
      <c r="E694" t="s">
        <v>705</v>
      </c>
      <c r="F694" t="s"/>
      <c r="G694" t="s"/>
      <c r="H694" t="s"/>
      <c r="I694" t="s"/>
      <c r="J694" t="n">
        <v>-0.3164</v>
      </c>
      <c r="K694" t="n">
        <v>0.076</v>
      </c>
      <c r="L694" t="n">
        <v>0.924</v>
      </c>
      <c r="M694" t="n">
        <v>0</v>
      </c>
    </row>
    <row r="695" spans="1:13">
      <c r="A695" s="1">
        <f>HYPERLINK("http://www.twitter.com/NathanBLawrence/status/996465686728720384", "996465686728720384")</f>
        <v/>
      </c>
      <c r="B695" s="2" t="n">
        <v>43235.7929050926</v>
      </c>
      <c r="C695" t="n">
        <v>13</v>
      </c>
      <c r="D695" t="n">
        <v>3</v>
      </c>
      <c r="E695" t="s">
        <v>706</v>
      </c>
      <c r="F695" t="s"/>
      <c r="G695" t="s"/>
      <c r="H695" t="s"/>
      <c r="I695" t="s"/>
      <c r="J695" t="n">
        <v>0.4215</v>
      </c>
      <c r="K695" t="n">
        <v>0.062</v>
      </c>
      <c r="L695" t="n">
        <v>0.82</v>
      </c>
      <c r="M695" t="n">
        <v>0.118</v>
      </c>
    </row>
    <row r="696" spans="1:13">
      <c r="A696" s="1">
        <f>HYPERLINK("http://www.twitter.com/NathanBLawrence/status/996465160511344640", "996465160511344640")</f>
        <v/>
      </c>
      <c r="B696" s="2" t="n">
        <v>43235.79145833333</v>
      </c>
      <c r="C696" t="n">
        <v>6</v>
      </c>
      <c r="D696" t="n">
        <v>0</v>
      </c>
      <c r="E696" t="s">
        <v>707</v>
      </c>
      <c r="F696" t="s"/>
      <c r="G696" t="s"/>
      <c r="H696" t="s"/>
      <c r="I696" t="s"/>
      <c r="J696" t="n">
        <v>-0.296</v>
      </c>
      <c r="K696" t="n">
        <v>0.075</v>
      </c>
      <c r="L696" t="n">
        <v>0.925</v>
      </c>
      <c r="M696" t="n">
        <v>0</v>
      </c>
    </row>
    <row r="697" spans="1:13">
      <c r="A697" s="1">
        <f>HYPERLINK("http://www.twitter.com/NathanBLawrence/status/996464913013817344", "996464913013817344")</f>
        <v/>
      </c>
      <c r="B697" s="2" t="n">
        <v>43235.79077546296</v>
      </c>
      <c r="C697" t="n">
        <v>6</v>
      </c>
      <c r="D697" t="n">
        <v>2</v>
      </c>
      <c r="E697" t="s">
        <v>708</v>
      </c>
      <c r="F697" t="s"/>
      <c r="G697" t="s"/>
      <c r="H697" t="s"/>
      <c r="I697" t="s"/>
      <c r="J697" t="n">
        <v>-0.6369</v>
      </c>
      <c r="K697" t="n">
        <v>0.125</v>
      </c>
      <c r="L697" t="n">
        <v>0.835</v>
      </c>
      <c r="M697" t="n">
        <v>0.04</v>
      </c>
    </row>
    <row r="698" spans="1:13">
      <c r="A698" s="1">
        <f>HYPERLINK("http://www.twitter.com/NathanBLawrence/status/996464396531523584", "996464396531523584")</f>
        <v/>
      </c>
      <c r="B698" s="2" t="n">
        <v>43235.78935185185</v>
      </c>
      <c r="C698" t="n">
        <v>4</v>
      </c>
      <c r="D698" t="n">
        <v>0</v>
      </c>
      <c r="E698" t="s">
        <v>709</v>
      </c>
      <c r="F698" t="s"/>
      <c r="G698" t="s"/>
      <c r="H698" t="s"/>
      <c r="I698" t="s"/>
      <c r="J698" t="n">
        <v>0.0516</v>
      </c>
      <c r="K698" t="n">
        <v>0</v>
      </c>
      <c r="L698" t="n">
        <v>0.96</v>
      </c>
      <c r="M698" t="n">
        <v>0.04</v>
      </c>
    </row>
    <row r="699" spans="1:13">
      <c r="A699" s="1">
        <f>HYPERLINK("http://www.twitter.com/NathanBLawrence/status/996464290973401089", "996464290973401089")</f>
        <v/>
      </c>
      <c r="B699" s="2" t="n">
        <v>43235.7890625</v>
      </c>
      <c r="C699" t="n">
        <v>7</v>
      </c>
      <c r="D699" t="n">
        <v>3</v>
      </c>
      <c r="E699" t="s">
        <v>710</v>
      </c>
      <c r="F699" t="s"/>
      <c r="G699" t="s"/>
      <c r="H699" t="s"/>
      <c r="I699" t="s"/>
      <c r="J699" t="n">
        <v>0.3382</v>
      </c>
      <c r="K699" t="n">
        <v>0.187</v>
      </c>
      <c r="L699" t="n">
        <v>0.509</v>
      </c>
      <c r="M699" t="n">
        <v>0.305</v>
      </c>
    </row>
    <row r="700" spans="1:13">
      <c r="A700" s="1">
        <f>HYPERLINK("http://www.twitter.com/NathanBLawrence/status/996463831244144640", "996463831244144640")</f>
        <v/>
      </c>
      <c r="B700" s="2" t="n">
        <v>43235.78778935185</v>
      </c>
      <c r="C700" t="n">
        <v>0</v>
      </c>
      <c r="D700" t="n">
        <v>3</v>
      </c>
      <c r="E700" t="s">
        <v>711</v>
      </c>
      <c r="F700" t="s"/>
      <c r="G700" t="s"/>
      <c r="H700" t="s"/>
      <c r="I700" t="s"/>
      <c r="J700" t="n">
        <v>-0.34</v>
      </c>
      <c r="K700" t="n">
        <v>0.179</v>
      </c>
      <c r="L700" t="n">
        <v>0.821</v>
      </c>
      <c r="M700" t="n">
        <v>0</v>
      </c>
    </row>
    <row r="701" spans="1:13">
      <c r="A701" s="1">
        <f>HYPERLINK("http://www.twitter.com/NathanBLawrence/status/996463751606882304", "996463751606882304")</f>
        <v/>
      </c>
      <c r="B701" s="2" t="n">
        <v>43235.78756944444</v>
      </c>
      <c r="C701" t="n">
        <v>4</v>
      </c>
      <c r="D701" t="n">
        <v>2</v>
      </c>
      <c r="E701" t="s">
        <v>712</v>
      </c>
      <c r="F701" t="s"/>
      <c r="G701" t="s"/>
      <c r="H701" t="s"/>
      <c r="I701" t="s"/>
      <c r="J701" t="n">
        <v>-0.4926</v>
      </c>
      <c r="K701" t="n">
        <v>0.347</v>
      </c>
      <c r="L701" t="n">
        <v>0.653</v>
      </c>
      <c r="M701" t="n">
        <v>0</v>
      </c>
    </row>
    <row r="702" spans="1:13">
      <c r="A702" s="1">
        <f>HYPERLINK("http://www.twitter.com/NathanBLawrence/status/996463382768238592", "996463382768238592")</f>
        <v/>
      </c>
      <c r="B702" s="2" t="n">
        <v>43235.78655092593</v>
      </c>
      <c r="C702" t="n">
        <v>19</v>
      </c>
      <c r="D702" t="n">
        <v>13</v>
      </c>
      <c r="E702" t="s">
        <v>713</v>
      </c>
      <c r="F702" t="s"/>
      <c r="G702" t="s"/>
      <c r="H702" t="s"/>
      <c r="I702" t="s"/>
      <c r="J702" t="n">
        <v>0</v>
      </c>
      <c r="K702" t="n">
        <v>0</v>
      </c>
      <c r="L702" t="n">
        <v>1</v>
      </c>
      <c r="M702" t="n">
        <v>0</v>
      </c>
    </row>
    <row r="703" spans="1:13">
      <c r="A703" s="1">
        <f>HYPERLINK("http://www.twitter.com/NathanBLawrence/status/996463221060976640", "996463221060976640")</f>
        <v/>
      </c>
      <c r="B703" s="2" t="n">
        <v>43235.78609953704</v>
      </c>
      <c r="C703" t="n">
        <v>0</v>
      </c>
      <c r="D703" t="n">
        <v>954</v>
      </c>
      <c r="E703" t="s">
        <v>714</v>
      </c>
      <c r="F703" t="s"/>
      <c r="G703" t="s"/>
      <c r="H703" t="s"/>
      <c r="I703" t="s"/>
      <c r="J703" t="n">
        <v>0.6114000000000001</v>
      </c>
      <c r="K703" t="n">
        <v>0</v>
      </c>
      <c r="L703" t="n">
        <v>0.783</v>
      </c>
      <c r="M703" t="n">
        <v>0.217</v>
      </c>
    </row>
    <row r="704" spans="1:13">
      <c r="A704" s="1">
        <f>HYPERLINK("http://www.twitter.com/NathanBLawrence/status/996463179772260352", "996463179772260352")</f>
        <v/>
      </c>
      <c r="B704" s="2" t="n">
        <v>43235.78599537037</v>
      </c>
      <c r="C704" t="n">
        <v>6</v>
      </c>
      <c r="D704" t="n">
        <v>2</v>
      </c>
      <c r="E704" t="s">
        <v>715</v>
      </c>
      <c r="F704" t="s"/>
      <c r="G704" t="s"/>
      <c r="H704" t="s"/>
      <c r="I704" t="s"/>
      <c r="J704" t="n">
        <v>0.4939</v>
      </c>
      <c r="K704" t="n">
        <v>0.064</v>
      </c>
      <c r="L704" t="n">
        <v>0.751</v>
      </c>
      <c r="M704" t="n">
        <v>0.185</v>
      </c>
    </row>
    <row r="705" spans="1:13">
      <c r="A705" s="1">
        <f>HYPERLINK("http://www.twitter.com/NathanBLawrence/status/996462897856303105", "996462897856303105")</f>
        <v/>
      </c>
      <c r="B705" s="2" t="n">
        <v>43235.78520833333</v>
      </c>
      <c r="C705" t="n">
        <v>8</v>
      </c>
      <c r="D705" t="n">
        <v>3</v>
      </c>
      <c r="E705" t="s">
        <v>716</v>
      </c>
      <c r="F705" t="s"/>
      <c r="G705" t="s"/>
      <c r="H705" t="s"/>
      <c r="I705" t="s"/>
      <c r="J705" t="n">
        <v>0.1779</v>
      </c>
      <c r="K705" t="n">
        <v>0.099</v>
      </c>
      <c r="L705" t="n">
        <v>0.8090000000000001</v>
      </c>
      <c r="M705" t="n">
        <v>0.092</v>
      </c>
    </row>
    <row r="706" spans="1:13">
      <c r="A706" s="1">
        <f>HYPERLINK("http://www.twitter.com/NathanBLawrence/status/996462555785641984", "996462555785641984")</f>
        <v/>
      </c>
      <c r="B706" s="2" t="n">
        <v>43235.78427083333</v>
      </c>
      <c r="C706" t="n">
        <v>31</v>
      </c>
      <c r="D706" t="n">
        <v>25</v>
      </c>
      <c r="E706" t="s">
        <v>717</v>
      </c>
      <c r="F706" t="s"/>
      <c r="G706" t="s"/>
      <c r="H706" t="s"/>
      <c r="I706" t="s"/>
      <c r="J706" t="n">
        <v>0.2481</v>
      </c>
      <c r="K706" t="n">
        <v>0.074</v>
      </c>
      <c r="L706" t="n">
        <v>0.8070000000000001</v>
      </c>
      <c r="M706" t="n">
        <v>0.119</v>
      </c>
    </row>
    <row r="707" spans="1:13">
      <c r="A707" s="1">
        <f>HYPERLINK("http://www.twitter.com/NathanBLawrence/status/996462311547138048", "996462311547138048")</f>
        <v/>
      </c>
      <c r="B707" s="2" t="n">
        <v>43235.78359953704</v>
      </c>
      <c r="C707" t="n">
        <v>8</v>
      </c>
      <c r="D707" t="n">
        <v>4</v>
      </c>
      <c r="E707" t="s">
        <v>718</v>
      </c>
      <c r="F707" t="s"/>
      <c r="G707" t="s"/>
      <c r="H707" t="s"/>
      <c r="I707" t="s"/>
      <c r="J707" t="n">
        <v>0.7579</v>
      </c>
      <c r="K707" t="n">
        <v>0</v>
      </c>
      <c r="L707" t="n">
        <v>0.783</v>
      </c>
      <c r="M707" t="n">
        <v>0.217</v>
      </c>
    </row>
    <row r="708" spans="1:13">
      <c r="A708" s="1">
        <f>HYPERLINK("http://www.twitter.com/NathanBLawrence/status/996462207767465984", "996462207767465984")</f>
        <v/>
      </c>
      <c r="B708" s="2" t="n">
        <v>43235.78331018519</v>
      </c>
      <c r="C708" t="n">
        <v>7</v>
      </c>
      <c r="D708" t="n">
        <v>3</v>
      </c>
      <c r="E708" t="s">
        <v>719</v>
      </c>
      <c r="F708" t="s"/>
      <c r="G708" t="s"/>
      <c r="H708" t="s"/>
      <c r="I708" t="s"/>
      <c r="J708" t="n">
        <v>0</v>
      </c>
      <c r="K708" t="n">
        <v>0</v>
      </c>
      <c r="L708" t="n">
        <v>1</v>
      </c>
      <c r="M708" t="n">
        <v>0</v>
      </c>
    </row>
    <row r="709" spans="1:13">
      <c r="A709" s="1">
        <f>HYPERLINK("http://www.twitter.com/NathanBLawrence/status/996461733458821121", "996461733458821121")</f>
        <v/>
      </c>
      <c r="B709" s="2" t="n">
        <v>43235.78200231482</v>
      </c>
      <c r="C709" t="n">
        <v>7</v>
      </c>
      <c r="D709" t="n">
        <v>0</v>
      </c>
      <c r="E709" t="s">
        <v>720</v>
      </c>
      <c r="F709" t="s"/>
      <c r="G709" t="s"/>
      <c r="H709" t="s"/>
      <c r="I709" t="s"/>
      <c r="J709" t="n">
        <v>0</v>
      </c>
      <c r="K709" t="n">
        <v>0</v>
      </c>
      <c r="L709" t="n">
        <v>1</v>
      </c>
      <c r="M709" t="n">
        <v>0</v>
      </c>
    </row>
    <row r="710" spans="1:13">
      <c r="A710" s="1">
        <f>HYPERLINK("http://www.twitter.com/NathanBLawrence/status/996457070441320453", "996457070441320453")</f>
        <v/>
      </c>
      <c r="B710" s="2" t="n">
        <v>43235.76913194444</v>
      </c>
      <c r="C710" t="n">
        <v>3</v>
      </c>
      <c r="D710" t="n">
        <v>4</v>
      </c>
      <c r="E710" t="s">
        <v>721</v>
      </c>
      <c r="F710" t="s"/>
      <c r="G710" t="s"/>
      <c r="H710" t="s"/>
      <c r="I710" t="s"/>
      <c r="J710" t="n">
        <v>-0.4574</v>
      </c>
      <c r="K710" t="n">
        <v>0.333</v>
      </c>
      <c r="L710" t="n">
        <v>0.667</v>
      </c>
      <c r="M710" t="n">
        <v>0</v>
      </c>
    </row>
    <row r="711" spans="1:13">
      <c r="A711" s="1">
        <f>HYPERLINK("http://www.twitter.com/NathanBLawrence/status/996456671743365120", "996456671743365120")</f>
        <v/>
      </c>
      <c r="B711" s="2" t="n">
        <v>43235.76803240741</v>
      </c>
      <c r="C711" t="n">
        <v>5</v>
      </c>
      <c r="D711" t="n">
        <v>6</v>
      </c>
      <c r="E711" t="s">
        <v>722</v>
      </c>
      <c r="F711" t="s"/>
      <c r="G711" t="s"/>
      <c r="H711" t="s"/>
      <c r="I711" t="s"/>
      <c r="J711" t="n">
        <v>-0.8374</v>
      </c>
      <c r="K711" t="n">
        <v>0.379</v>
      </c>
      <c r="L711" t="n">
        <v>0.621</v>
      </c>
      <c r="M711" t="n">
        <v>0</v>
      </c>
    </row>
    <row r="712" spans="1:13">
      <c r="A712" s="1">
        <f>HYPERLINK("http://www.twitter.com/NathanBLawrence/status/996449555225886720", "996449555225886720")</f>
        <v/>
      </c>
      <c r="B712" s="2" t="n">
        <v>43235.74839120371</v>
      </c>
      <c r="C712" t="n">
        <v>16</v>
      </c>
      <c r="D712" t="n">
        <v>15</v>
      </c>
      <c r="E712" t="s">
        <v>723</v>
      </c>
      <c r="F712" t="s"/>
      <c r="G712" t="s"/>
      <c r="H712" t="s"/>
      <c r="I712" t="s"/>
      <c r="J712" t="n">
        <v>-0.6924</v>
      </c>
      <c r="K712" t="n">
        <v>0.136</v>
      </c>
      <c r="L712" t="n">
        <v>0.864</v>
      </c>
      <c r="M712" t="n">
        <v>0</v>
      </c>
    </row>
    <row r="713" spans="1:13">
      <c r="A713" s="1">
        <f>HYPERLINK("http://www.twitter.com/NathanBLawrence/status/996449304016371712", "996449304016371712")</f>
        <v/>
      </c>
      <c r="B713" s="2" t="n">
        <v>43235.74769675926</v>
      </c>
      <c r="C713" t="n">
        <v>0</v>
      </c>
      <c r="D713" t="n">
        <v>229</v>
      </c>
      <c r="E713" t="s">
        <v>724</v>
      </c>
      <c r="F713">
        <f>HYPERLINK("http://pbs.twimg.com/media/DdQRH56V0AAPBZl.jpg", "http://pbs.twimg.com/media/DdQRH56V0AAPBZl.jpg")</f>
        <v/>
      </c>
      <c r="G713" t="s"/>
      <c r="H713" t="s"/>
      <c r="I713" t="s"/>
      <c r="J713" t="n">
        <v>0</v>
      </c>
      <c r="K713" t="n">
        <v>0</v>
      </c>
      <c r="L713" t="n">
        <v>1</v>
      </c>
      <c r="M713" t="n">
        <v>0</v>
      </c>
    </row>
    <row r="714" spans="1:13">
      <c r="A714" s="1">
        <f>HYPERLINK("http://www.twitter.com/NathanBLawrence/status/996449198789685248", "996449198789685248")</f>
        <v/>
      </c>
      <c r="B714" s="2" t="n">
        <v>43235.74740740741</v>
      </c>
      <c r="C714" t="n">
        <v>0</v>
      </c>
      <c r="D714" t="n">
        <v>10</v>
      </c>
      <c r="E714" t="s">
        <v>725</v>
      </c>
      <c r="F714" t="s"/>
      <c r="G714" t="s"/>
      <c r="H714" t="s"/>
      <c r="I714" t="s"/>
      <c r="J714" t="n">
        <v>-0.4588</v>
      </c>
      <c r="K714" t="n">
        <v>0.12</v>
      </c>
      <c r="L714" t="n">
        <v>0.88</v>
      </c>
      <c r="M714" t="n">
        <v>0</v>
      </c>
    </row>
    <row r="715" spans="1:13">
      <c r="A715" s="1">
        <f>HYPERLINK("http://www.twitter.com/NathanBLawrence/status/996449052337233921", "996449052337233921")</f>
        <v/>
      </c>
      <c r="B715" s="2" t="n">
        <v>43235.74700231481</v>
      </c>
      <c r="C715" t="n">
        <v>4</v>
      </c>
      <c r="D715" t="n">
        <v>1</v>
      </c>
      <c r="E715" t="s">
        <v>726</v>
      </c>
      <c r="F715" t="s"/>
      <c r="G715" t="s"/>
      <c r="H715" t="s"/>
      <c r="I715" t="s"/>
      <c r="J715" t="n">
        <v>0.6988</v>
      </c>
      <c r="K715" t="n">
        <v>0</v>
      </c>
      <c r="L715" t="n">
        <v>0.594</v>
      </c>
      <c r="M715" t="n">
        <v>0.406</v>
      </c>
    </row>
    <row r="716" spans="1:13">
      <c r="A716" s="1">
        <f>HYPERLINK("http://www.twitter.com/NathanBLawrence/status/996448790419722240", "996448790419722240")</f>
        <v/>
      </c>
      <c r="B716" s="2" t="n">
        <v>43235.74628472222</v>
      </c>
      <c r="C716" t="n">
        <v>0</v>
      </c>
      <c r="D716" t="n">
        <v>1414</v>
      </c>
      <c r="E716" t="s">
        <v>727</v>
      </c>
      <c r="F716" t="s"/>
      <c r="G716" t="s"/>
      <c r="H716" t="s"/>
      <c r="I716" t="s"/>
      <c r="J716" t="n">
        <v>0.34</v>
      </c>
      <c r="K716" t="n">
        <v>0</v>
      </c>
      <c r="L716" t="n">
        <v>0.714</v>
      </c>
      <c r="M716" t="n">
        <v>0.286</v>
      </c>
    </row>
    <row r="717" spans="1:13">
      <c r="A717" s="1">
        <f>HYPERLINK("http://www.twitter.com/NathanBLawrence/status/996448743200210945", "996448743200210945")</f>
        <v/>
      </c>
      <c r="B717" s="2" t="n">
        <v>43235.7461574074</v>
      </c>
      <c r="C717" t="n">
        <v>13</v>
      </c>
      <c r="D717" t="n">
        <v>6</v>
      </c>
      <c r="E717" t="s">
        <v>728</v>
      </c>
      <c r="F717" t="s"/>
      <c r="G717" t="s"/>
      <c r="H717" t="s"/>
      <c r="I717" t="s"/>
      <c r="J717" t="n">
        <v>0.3182</v>
      </c>
      <c r="K717" t="n">
        <v>0</v>
      </c>
      <c r="L717" t="n">
        <v>0.796</v>
      </c>
      <c r="M717" t="n">
        <v>0.204</v>
      </c>
    </row>
    <row r="718" spans="1:13">
      <c r="A718" s="1">
        <f>HYPERLINK("http://www.twitter.com/NathanBLawrence/status/996448556314574848", "996448556314574848")</f>
        <v/>
      </c>
      <c r="B718" s="2" t="n">
        <v>43235.74563657407</v>
      </c>
      <c r="C718" t="n">
        <v>12</v>
      </c>
      <c r="D718" t="n">
        <v>3</v>
      </c>
      <c r="E718" t="s">
        <v>729</v>
      </c>
      <c r="F718" t="s"/>
      <c r="G718" t="s"/>
      <c r="H718" t="s"/>
      <c r="I718" t="s"/>
      <c r="J718" t="n">
        <v>-0.7076</v>
      </c>
      <c r="K718" t="n">
        <v>0.109</v>
      </c>
      <c r="L718" t="n">
        <v>0.891</v>
      </c>
      <c r="M718" t="n">
        <v>0</v>
      </c>
    </row>
    <row r="719" spans="1:13">
      <c r="A719" s="1">
        <f>HYPERLINK("http://www.twitter.com/NathanBLawrence/status/996448271492046848", "996448271492046848")</f>
        <v/>
      </c>
      <c r="B719" s="2" t="n">
        <v>43235.74484953703</v>
      </c>
      <c r="C719" t="n">
        <v>0</v>
      </c>
      <c r="D719" t="n">
        <v>2</v>
      </c>
      <c r="E719" t="s">
        <v>730</v>
      </c>
      <c r="F719" t="s"/>
      <c r="G719" t="s"/>
      <c r="H719" t="s"/>
      <c r="I719" t="s"/>
      <c r="J719" t="n">
        <v>-0.296</v>
      </c>
      <c r="K719" t="n">
        <v>0.104</v>
      </c>
      <c r="L719" t="n">
        <v>0.896</v>
      </c>
      <c r="M719" t="n">
        <v>0</v>
      </c>
    </row>
    <row r="720" spans="1:13">
      <c r="A720" s="1">
        <f>HYPERLINK("http://www.twitter.com/NathanBLawrence/status/996448056533958656", "996448056533958656")</f>
        <v/>
      </c>
      <c r="B720" s="2" t="n">
        <v>43235.74425925926</v>
      </c>
      <c r="C720" t="n">
        <v>10</v>
      </c>
      <c r="D720" t="n">
        <v>5</v>
      </c>
      <c r="E720" t="s">
        <v>731</v>
      </c>
      <c r="F720" t="s"/>
      <c r="G720" t="s"/>
      <c r="H720" t="s"/>
      <c r="I720" t="s"/>
      <c r="J720" t="n">
        <v>-0.7101</v>
      </c>
      <c r="K720" t="n">
        <v>0.217</v>
      </c>
      <c r="L720" t="n">
        <v>0.706</v>
      </c>
      <c r="M720" t="n">
        <v>0.078</v>
      </c>
    </row>
    <row r="721" spans="1:13">
      <c r="A721" s="1">
        <f>HYPERLINK("http://www.twitter.com/NathanBLawrence/status/996447553817231360", "996447553817231360")</f>
        <v/>
      </c>
      <c r="B721" s="2" t="n">
        <v>43235.74287037037</v>
      </c>
      <c r="C721" t="n">
        <v>16</v>
      </c>
      <c r="D721" t="n">
        <v>9</v>
      </c>
      <c r="E721" t="s">
        <v>732</v>
      </c>
      <c r="F721">
        <f>HYPERLINK("http://pbs.twimg.com/media/Db4hr8IVQAAV7YA.jpg", "http://pbs.twimg.com/media/Db4hr8IVQAAV7YA.jpg")</f>
        <v/>
      </c>
      <c r="G721" t="s"/>
      <c r="H721" t="s"/>
      <c r="I721" t="s"/>
      <c r="J721" t="n">
        <v>-0.5859</v>
      </c>
      <c r="K721" t="n">
        <v>0.192</v>
      </c>
      <c r="L721" t="n">
        <v>0.8080000000000001</v>
      </c>
      <c r="M721" t="n">
        <v>0</v>
      </c>
    </row>
    <row r="722" spans="1:13">
      <c r="A722" s="1">
        <f>HYPERLINK("http://www.twitter.com/NathanBLawrence/status/996446777959038976", "996446777959038976")</f>
        <v/>
      </c>
      <c r="B722" s="2" t="n">
        <v>43235.74072916667</v>
      </c>
      <c r="C722" t="n">
        <v>0</v>
      </c>
      <c r="D722" t="n">
        <v>128</v>
      </c>
      <c r="E722" t="s">
        <v>733</v>
      </c>
      <c r="F722">
        <f>HYPERLINK("http://pbs.twimg.com/media/DdQNzRfXkAIyesN.jpg", "http://pbs.twimg.com/media/DdQNzRfXkAIyesN.jpg")</f>
        <v/>
      </c>
      <c r="G722" t="s"/>
      <c r="H722" t="s"/>
      <c r="I722" t="s"/>
      <c r="J722" t="n">
        <v>0.7371</v>
      </c>
      <c r="K722" t="n">
        <v>0</v>
      </c>
      <c r="L722" t="n">
        <v>0.742</v>
      </c>
      <c r="M722" t="n">
        <v>0.258</v>
      </c>
    </row>
    <row r="723" spans="1:13">
      <c r="A723" s="1">
        <f>HYPERLINK("http://www.twitter.com/NathanBLawrence/status/996446673151737857", "996446673151737857")</f>
        <v/>
      </c>
      <c r="B723" s="2" t="n">
        <v>43235.74043981481</v>
      </c>
      <c r="C723" t="n">
        <v>4</v>
      </c>
      <c r="D723" t="n">
        <v>1</v>
      </c>
      <c r="E723" t="s">
        <v>734</v>
      </c>
      <c r="F723" t="s"/>
      <c r="G723" t="s"/>
      <c r="H723" t="s"/>
      <c r="I723" t="s"/>
      <c r="J723" t="n">
        <v>0.7306</v>
      </c>
      <c r="K723" t="n">
        <v>0</v>
      </c>
      <c r="L723" t="n">
        <v>0.842</v>
      </c>
      <c r="M723" t="n">
        <v>0.158</v>
      </c>
    </row>
    <row r="724" spans="1:13">
      <c r="A724" s="1">
        <f>HYPERLINK("http://www.twitter.com/NathanBLawrence/status/996444929290203136", "996444929290203136")</f>
        <v/>
      </c>
      <c r="B724" s="2" t="n">
        <v>43235.735625</v>
      </c>
      <c r="C724" t="n">
        <v>2</v>
      </c>
      <c r="D724" t="n">
        <v>1</v>
      </c>
      <c r="E724" t="s">
        <v>735</v>
      </c>
      <c r="F724" t="s"/>
      <c r="G724" t="s"/>
      <c r="H724" t="s"/>
      <c r="I724" t="s"/>
      <c r="J724" t="n">
        <v>0.4019</v>
      </c>
      <c r="K724" t="n">
        <v>0</v>
      </c>
      <c r="L724" t="n">
        <v>0.93</v>
      </c>
      <c r="M724" t="n">
        <v>0.07000000000000001</v>
      </c>
    </row>
    <row r="725" spans="1:13">
      <c r="A725" s="1">
        <f>HYPERLINK("http://www.twitter.com/NathanBLawrence/status/996444833077055488", "996444833077055488")</f>
        <v/>
      </c>
      <c r="B725" s="2" t="n">
        <v>43235.73535879629</v>
      </c>
      <c r="C725" t="n">
        <v>6</v>
      </c>
      <c r="D725" t="n">
        <v>3</v>
      </c>
      <c r="E725" t="s">
        <v>736</v>
      </c>
      <c r="F725" t="s"/>
      <c r="G725" t="s"/>
      <c r="H725" t="s"/>
      <c r="I725" t="s"/>
      <c r="J725" t="n">
        <v>0.743</v>
      </c>
      <c r="K725" t="n">
        <v>0</v>
      </c>
      <c r="L725" t="n">
        <v>0.805</v>
      </c>
      <c r="M725" t="n">
        <v>0.195</v>
      </c>
    </row>
    <row r="726" spans="1:13">
      <c r="A726" s="1">
        <f>HYPERLINK("http://www.twitter.com/NathanBLawrence/status/996444745688756224", "996444745688756224")</f>
        <v/>
      </c>
      <c r="B726" s="2" t="n">
        <v>43235.73512731482</v>
      </c>
      <c r="C726" t="n">
        <v>9</v>
      </c>
      <c r="D726" t="n">
        <v>6</v>
      </c>
      <c r="E726" t="s">
        <v>737</v>
      </c>
      <c r="F726" t="s"/>
      <c r="G726" t="s"/>
      <c r="H726" t="s"/>
      <c r="I726" t="s"/>
      <c r="J726" t="n">
        <v>0.296</v>
      </c>
      <c r="K726" t="n">
        <v>0.127</v>
      </c>
      <c r="L726" t="n">
        <v>0.669</v>
      </c>
      <c r="M726" t="n">
        <v>0.204</v>
      </c>
    </row>
    <row r="727" spans="1:13">
      <c r="A727" s="1">
        <f>HYPERLINK("http://www.twitter.com/NathanBLawrence/status/996444690722373632", "996444690722373632")</f>
        <v/>
      </c>
      <c r="B727" s="2" t="n">
        <v>43235.73496527778</v>
      </c>
      <c r="C727" t="n">
        <v>13</v>
      </c>
      <c r="D727" t="n">
        <v>9</v>
      </c>
      <c r="E727" t="s">
        <v>738</v>
      </c>
      <c r="F727" t="s"/>
      <c r="G727" t="s"/>
      <c r="H727" t="s"/>
      <c r="I727" t="s"/>
      <c r="J727" t="n">
        <v>0.2003</v>
      </c>
      <c r="K727" t="n">
        <v>0.061</v>
      </c>
      <c r="L727" t="n">
        <v>0.857</v>
      </c>
      <c r="M727" t="n">
        <v>0.083</v>
      </c>
    </row>
    <row r="728" spans="1:13">
      <c r="A728" s="1">
        <f>HYPERLINK("http://www.twitter.com/NathanBLawrence/status/996442837691461632", "996442837691461632")</f>
        <v/>
      </c>
      <c r="B728" s="2" t="n">
        <v>43235.72986111111</v>
      </c>
      <c r="C728" t="n">
        <v>11</v>
      </c>
      <c r="D728" t="n">
        <v>3</v>
      </c>
      <c r="E728" t="s">
        <v>739</v>
      </c>
      <c r="F728" t="s"/>
      <c r="G728" t="s"/>
      <c r="H728" t="s"/>
      <c r="I728" t="s"/>
      <c r="J728" t="n">
        <v>-0.7937</v>
      </c>
      <c r="K728" t="n">
        <v>0.282</v>
      </c>
      <c r="L728" t="n">
        <v>0.718</v>
      </c>
      <c r="M728" t="n">
        <v>0</v>
      </c>
    </row>
    <row r="729" spans="1:13">
      <c r="A729" s="1">
        <f>HYPERLINK("http://www.twitter.com/NathanBLawrence/status/996442308731023360", "996442308731023360")</f>
        <v/>
      </c>
      <c r="B729" s="2" t="n">
        <v>43235.72840277778</v>
      </c>
      <c r="C729" t="n">
        <v>4</v>
      </c>
      <c r="D729" t="n">
        <v>2</v>
      </c>
      <c r="E729" t="s">
        <v>740</v>
      </c>
      <c r="F729" t="s"/>
      <c r="G729" t="s"/>
      <c r="H729" t="s"/>
      <c r="I729" t="s"/>
      <c r="J729" t="n">
        <v>-0.7964</v>
      </c>
      <c r="K729" t="n">
        <v>0.208</v>
      </c>
      <c r="L729" t="n">
        <v>0.734</v>
      </c>
      <c r="M729" t="n">
        <v>0.059</v>
      </c>
    </row>
    <row r="730" spans="1:13">
      <c r="A730" s="1">
        <f>HYPERLINK("http://www.twitter.com/NathanBLawrence/status/996442015213604864", "996442015213604864")</f>
        <v/>
      </c>
      <c r="B730" s="2" t="n">
        <v>43235.72759259259</v>
      </c>
      <c r="C730" t="n">
        <v>4</v>
      </c>
      <c r="D730" t="n">
        <v>3</v>
      </c>
      <c r="E730" t="s">
        <v>741</v>
      </c>
      <c r="F730" t="s"/>
      <c r="G730" t="s"/>
      <c r="H730" t="s"/>
      <c r="I730" t="s"/>
      <c r="J730" t="n">
        <v>-0.2003</v>
      </c>
      <c r="K730" t="n">
        <v>0.175</v>
      </c>
      <c r="L730" t="n">
        <v>0.6919999999999999</v>
      </c>
      <c r="M730" t="n">
        <v>0.133</v>
      </c>
    </row>
    <row r="731" spans="1:13">
      <c r="A731" s="1">
        <f>HYPERLINK("http://www.twitter.com/NathanBLawrence/status/996441603853008896", "996441603853008896")</f>
        <v/>
      </c>
      <c r="B731" s="2" t="n">
        <v>43235.72645833333</v>
      </c>
      <c r="C731" t="n">
        <v>2</v>
      </c>
      <c r="D731" t="n">
        <v>2</v>
      </c>
      <c r="E731" t="s">
        <v>742</v>
      </c>
      <c r="F731" t="s"/>
      <c r="G731" t="s"/>
      <c r="H731" t="s"/>
      <c r="I731" t="s"/>
      <c r="J731" t="n">
        <v>-0.296</v>
      </c>
      <c r="K731" t="n">
        <v>0.08400000000000001</v>
      </c>
      <c r="L731" t="n">
        <v>0.916</v>
      </c>
      <c r="M731" t="n">
        <v>0</v>
      </c>
    </row>
    <row r="732" spans="1:13">
      <c r="A732" s="1">
        <f>HYPERLINK("http://www.twitter.com/NathanBLawrence/status/996441432641622017", "996441432641622017")</f>
        <v/>
      </c>
      <c r="B732" s="2" t="n">
        <v>43235.7259837963</v>
      </c>
      <c r="C732" t="n">
        <v>2</v>
      </c>
      <c r="D732" t="n">
        <v>1</v>
      </c>
      <c r="E732" t="s">
        <v>743</v>
      </c>
      <c r="F732" t="s"/>
      <c r="G732" t="s"/>
      <c r="H732" t="s"/>
      <c r="I732" t="s"/>
      <c r="J732" t="n">
        <v>0.6114000000000001</v>
      </c>
      <c r="K732" t="n">
        <v>0</v>
      </c>
      <c r="L732" t="n">
        <v>0.765</v>
      </c>
      <c r="M732" t="n">
        <v>0.235</v>
      </c>
    </row>
    <row r="733" spans="1:13">
      <c r="A733" s="1">
        <f>HYPERLINK("http://www.twitter.com/NathanBLawrence/status/996441209894617088", "996441209894617088")</f>
        <v/>
      </c>
      <c r="B733" s="2" t="n">
        <v>43235.72537037037</v>
      </c>
      <c r="C733" t="n">
        <v>9</v>
      </c>
      <c r="D733" t="n">
        <v>4</v>
      </c>
      <c r="E733" t="s">
        <v>744</v>
      </c>
      <c r="F733" t="s"/>
      <c r="G733" t="s"/>
      <c r="H733" t="s"/>
      <c r="I733" t="s"/>
      <c r="J733" t="n">
        <v>0.5859</v>
      </c>
      <c r="K733" t="n">
        <v>0.037</v>
      </c>
      <c r="L733" t="n">
        <v>0.847</v>
      </c>
      <c r="M733" t="n">
        <v>0.116</v>
      </c>
    </row>
    <row r="734" spans="1:13">
      <c r="A734" s="1">
        <f>HYPERLINK("http://www.twitter.com/NathanBLawrence/status/996437076282298369", "996437076282298369")</f>
        <v/>
      </c>
      <c r="B734" s="2" t="n">
        <v>43235.71395833333</v>
      </c>
      <c r="C734" t="n">
        <v>1</v>
      </c>
      <c r="D734" t="n">
        <v>0</v>
      </c>
      <c r="E734" t="s">
        <v>745</v>
      </c>
      <c r="F734" t="s"/>
      <c r="G734" t="s"/>
      <c r="H734" t="s"/>
      <c r="I734" t="s"/>
      <c r="J734" t="n">
        <v>0.3489</v>
      </c>
      <c r="K734" t="n">
        <v>0</v>
      </c>
      <c r="L734" t="n">
        <v>0.922</v>
      </c>
      <c r="M734" t="n">
        <v>0.078</v>
      </c>
    </row>
    <row r="735" spans="1:13">
      <c r="A735" s="1">
        <f>HYPERLINK("http://www.twitter.com/NathanBLawrence/status/996436558243745792", "996436558243745792")</f>
        <v/>
      </c>
      <c r="B735" s="2" t="n">
        <v>43235.71253472222</v>
      </c>
      <c r="C735" t="n">
        <v>12</v>
      </c>
      <c r="D735" t="n">
        <v>9</v>
      </c>
      <c r="E735" t="s">
        <v>746</v>
      </c>
      <c r="F735" t="s"/>
      <c r="G735" t="s"/>
      <c r="H735" t="s"/>
      <c r="I735" t="s"/>
      <c r="J735" t="n">
        <v>-0.1027</v>
      </c>
      <c r="K735" t="n">
        <v>0.048</v>
      </c>
      <c r="L735" t="n">
        <v>0.952</v>
      </c>
      <c r="M735" t="n">
        <v>0</v>
      </c>
    </row>
    <row r="736" spans="1:13">
      <c r="A736" s="1">
        <f>HYPERLINK("http://www.twitter.com/NathanBLawrence/status/996436064536444928", "996436064536444928")</f>
        <v/>
      </c>
      <c r="B736" s="2" t="n">
        <v>43235.71116898148</v>
      </c>
      <c r="C736" t="n">
        <v>8</v>
      </c>
      <c r="D736" t="n">
        <v>7</v>
      </c>
      <c r="E736" t="s">
        <v>747</v>
      </c>
      <c r="F736" t="s"/>
      <c r="G736" t="s"/>
      <c r="H736" t="s"/>
      <c r="I736" t="s"/>
      <c r="J736" t="n">
        <v>-0.126</v>
      </c>
      <c r="K736" t="n">
        <v>0.165</v>
      </c>
      <c r="L736" t="n">
        <v>0.638</v>
      </c>
      <c r="M736" t="n">
        <v>0.197</v>
      </c>
    </row>
    <row r="737" spans="1:13">
      <c r="A737" s="1">
        <f>HYPERLINK("http://www.twitter.com/NathanBLawrence/status/996424192621854720", "996424192621854720")</f>
        <v/>
      </c>
      <c r="B737" s="2" t="n">
        <v>43235.67840277778</v>
      </c>
      <c r="C737" t="n">
        <v>9</v>
      </c>
      <c r="D737" t="n">
        <v>8</v>
      </c>
      <c r="E737" t="s">
        <v>748</v>
      </c>
      <c r="F737" t="s"/>
      <c r="G737" t="s"/>
      <c r="H737" t="s"/>
      <c r="I737" t="s"/>
      <c r="J737" t="n">
        <v>0</v>
      </c>
      <c r="K737" t="n">
        <v>0</v>
      </c>
      <c r="L737" t="n">
        <v>1</v>
      </c>
      <c r="M737" t="n">
        <v>0</v>
      </c>
    </row>
    <row r="738" spans="1:13">
      <c r="A738" s="1">
        <f>HYPERLINK("http://www.twitter.com/NathanBLawrence/status/996424010358501376", "996424010358501376")</f>
        <v/>
      </c>
      <c r="B738" s="2" t="n">
        <v>43235.67790509259</v>
      </c>
      <c r="C738" t="n">
        <v>6</v>
      </c>
      <c r="D738" t="n">
        <v>7</v>
      </c>
      <c r="E738" t="s">
        <v>749</v>
      </c>
      <c r="F738" t="s"/>
      <c r="G738" t="s"/>
      <c r="H738" t="s"/>
      <c r="I738" t="s"/>
      <c r="J738" t="n">
        <v>0</v>
      </c>
      <c r="K738" t="n">
        <v>0</v>
      </c>
      <c r="L738" t="n">
        <v>1</v>
      </c>
      <c r="M738" t="n">
        <v>0</v>
      </c>
    </row>
    <row r="739" spans="1:13">
      <c r="A739" s="1">
        <f>HYPERLINK("http://www.twitter.com/NathanBLawrence/status/996423653389578240", "996423653389578240")</f>
        <v/>
      </c>
      <c r="B739" s="2" t="n">
        <v>43235.6769212963</v>
      </c>
      <c r="C739" t="n">
        <v>1</v>
      </c>
      <c r="D739" t="n">
        <v>0</v>
      </c>
      <c r="E739" t="s">
        <v>750</v>
      </c>
      <c r="F739" t="s"/>
      <c r="G739" t="s"/>
      <c r="H739" t="s"/>
      <c r="I739" t="s"/>
      <c r="J739" t="n">
        <v>-0.8126</v>
      </c>
      <c r="K739" t="n">
        <v>0.402</v>
      </c>
      <c r="L739" t="n">
        <v>0.598</v>
      </c>
      <c r="M739" t="n">
        <v>0</v>
      </c>
    </row>
    <row r="740" spans="1:13">
      <c r="A740" s="1">
        <f>HYPERLINK("http://www.twitter.com/NathanBLawrence/status/996423440448942080", "996423440448942080")</f>
        <v/>
      </c>
      <c r="B740" s="2" t="n">
        <v>43235.67633101852</v>
      </c>
      <c r="C740" t="n">
        <v>2</v>
      </c>
      <c r="D740" t="n">
        <v>3</v>
      </c>
      <c r="E740" t="s">
        <v>751</v>
      </c>
      <c r="F740" t="s"/>
      <c r="G740" t="s"/>
      <c r="H740" t="s"/>
      <c r="I740" t="s"/>
      <c r="J740" t="n">
        <v>-0.4404</v>
      </c>
      <c r="K740" t="n">
        <v>0.108</v>
      </c>
      <c r="L740" t="n">
        <v>0.892</v>
      </c>
      <c r="M740" t="n">
        <v>0</v>
      </c>
    </row>
    <row r="741" spans="1:13">
      <c r="A741" s="1">
        <f>HYPERLINK("http://www.twitter.com/NathanBLawrence/status/996423180955803648", "996423180955803648")</f>
        <v/>
      </c>
      <c r="B741" s="2" t="n">
        <v>43235.67561342593</v>
      </c>
      <c r="C741" t="n">
        <v>1</v>
      </c>
      <c r="D741" t="n">
        <v>1</v>
      </c>
      <c r="E741" t="s">
        <v>752</v>
      </c>
      <c r="F741" t="s"/>
      <c r="G741" t="s"/>
      <c r="H741" t="s"/>
      <c r="I741" t="s"/>
      <c r="J741" t="n">
        <v>-0.6597</v>
      </c>
      <c r="K741" t="n">
        <v>0.328</v>
      </c>
      <c r="L741" t="n">
        <v>0.672</v>
      </c>
      <c r="M741" t="n">
        <v>0</v>
      </c>
    </row>
    <row r="742" spans="1:13">
      <c r="A742" s="1">
        <f>HYPERLINK("http://www.twitter.com/NathanBLawrence/status/996423035715371009", "996423035715371009")</f>
        <v/>
      </c>
      <c r="B742" s="2" t="n">
        <v>43235.67521990741</v>
      </c>
      <c r="C742" t="n">
        <v>5</v>
      </c>
      <c r="D742" t="n">
        <v>3</v>
      </c>
      <c r="E742" t="s">
        <v>753</v>
      </c>
      <c r="F742" t="s"/>
      <c r="G742" t="s"/>
      <c r="H742" t="s"/>
      <c r="I742" t="s"/>
      <c r="J742" t="n">
        <v>0.1531</v>
      </c>
      <c r="K742" t="n">
        <v>0.152</v>
      </c>
      <c r="L742" t="n">
        <v>0.652</v>
      </c>
      <c r="M742" t="n">
        <v>0.196</v>
      </c>
    </row>
    <row r="743" spans="1:13">
      <c r="A743" s="1">
        <f>HYPERLINK("http://www.twitter.com/NathanBLawrence/status/996422908787347458", "996422908787347458")</f>
        <v/>
      </c>
      <c r="B743" s="2" t="n">
        <v>43235.67486111111</v>
      </c>
      <c r="C743" t="n">
        <v>4</v>
      </c>
      <c r="D743" t="n">
        <v>1</v>
      </c>
      <c r="E743" t="s">
        <v>754</v>
      </c>
      <c r="F743" t="s"/>
      <c r="G743" t="s"/>
      <c r="H743" t="s"/>
      <c r="I743" t="s"/>
      <c r="J743" t="n">
        <v>-0.7269</v>
      </c>
      <c r="K743" t="n">
        <v>0.319</v>
      </c>
      <c r="L743" t="n">
        <v>0.681</v>
      </c>
      <c r="M743" t="n">
        <v>0</v>
      </c>
    </row>
    <row r="744" spans="1:13">
      <c r="A744" s="1">
        <f>HYPERLINK("http://www.twitter.com/NathanBLawrence/status/996422724200288256", "996422724200288256")</f>
        <v/>
      </c>
      <c r="B744" s="2" t="n">
        <v>43235.67435185185</v>
      </c>
      <c r="C744" t="n">
        <v>3</v>
      </c>
      <c r="D744" t="n">
        <v>1</v>
      </c>
      <c r="E744" t="s">
        <v>755</v>
      </c>
      <c r="F744" t="s"/>
      <c r="G744" t="s"/>
      <c r="H744" t="s"/>
      <c r="I744" t="s"/>
      <c r="J744" t="n">
        <v>-0.3612</v>
      </c>
      <c r="K744" t="n">
        <v>0.285</v>
      </c>
      <c r="L744" t="n">
        <v>0.596</v>
      </c>
      <c r="M744" t="n">
        <v>0.119</v>
      </c>
    </row>
    <row r="745" spans="1:13">
      <c r="A745" s="1">
        <f>HYPERLINK("http://www.twitter.com/NathanBLawrence/status/996422660329324545", "996422660329324545")</f>
        <v/>
      </c>
      <c r="B745" s="2" t="n">
        <v>43235.67417824074</v>
      </c>
      <c r="C745" t="n">
        <v>0</v>
      </c>
      <c r="D745" t="n">
        <v>0</v>
      </c>
      <c r="E745" t="s">
        <v>756</v>
      </c>
      <c r="F745" t="s"/>
      <c r="G745" t="s"/>
      <c r="H745" t="s"/>
      <c r="I745" t="s"/>
      <c r="J745" t="n">
        <v>0.9468</v>
      </c>
      <c r="K745" t="n">
        <v>0</v>
      </c>
      <c r="L745" t="n">
        <v>0.417</v>
      </c>
      <c r="M745" t="n">
        <v>0.583</v>
      </c>
    </row>
    <row r="746" spans="1:13">
      <c r="A746" s="1">
        <f>HYPERLINK("http://www.twitter.com/NathanBLawrence/status/996422472181338112", "996422472181338112")</f>
        <v/>
      </c>
      <c r="B746" s="2" t="n">
        <v>43235.67365740741</v>
      </c>
      <c r="C746" t="n">
        <v>1</v>
      </c>
      <c r="D746" t="n">
        <v>2</v>
      </c>
      <c r="E746" t="s">
        <v>757</v>
      </c>
      <c r="F746" t="s"/>
      <c r="G746" t="s"/>
      <c r="H746" t="s"/>
      <c r="I746" t="s"/>
      <c r="J746" t="n">
        <v>-0.296</v>
      </c>
      <c r="K746" t="n">
        <v>0.18</v>
      </c>
      <c r="L746" t="n">
        <v>0.82</v>
      </c>
      <c r="M746" t="n">
        <v>0</v>
      </c>
    </row>
    <row r="747" spans="1:13">
      <c r="A747" s="1">
        <f>HYPERLINK("http://www.twitter.com/NathanBLawrence/status/996422367306924032", "996422367306924032")</f>
        <v/>
      </c>
      <c r="B747" s="2" t="n">
        <v>43235.67336805556</v>
      </c>
      <c r="C747" t="n">
        <v>3</v>
      </c>
      <c r="D747" t="n">
        <v>3</v>
      </c>
      <c r="E747" t="s">
        <v>758</v>
      </c>
      <c r="F747" t="s"/>
      <c r="G747" t="s"/>
      <c r="H747" t="s"/>
      <c r="I747" t="s"/>
      <c r="J747" t="n">
        <v>0.7269</v>
      </c>
      <c r="K747" t="n">
        <v>0</v>
      </c>
      <c r="L747" t="n">
        <v>0.663</v>
      </c>
      <c r="M747" t="n">
        <v>0.337</v>
      </c>
    </row>
    <row r="748" spans="1:13">
      <c r="A748" s="1">
        <f>HYPERLINK("http://www.twitter.com/NathanBLawrence/status/996422204295335936", "996422204295335936")</f>
        <v/>
      </c>
      <c r="B748" s="2" t="n">
        <v>43235.67291666667</v>
      </c>
      <c r="C748" t="n">
        <v>7</v>
      </c>
      <c r="D748" t="n">
        <v>3</v>
      </c>
      <c r="E748" t="s">
        <v>759</v>
      </c>
      <c r="F748" t="s"/>
      <c r="G748" t="s"/>
      <c r="H748" t="s"/>
      <c r="I748" t="s"/>
      <c r="J748" t="n">
        <v>0.4215</v>
      </c>
      <c r="K748" t="n">
        <v>0</v>
      </c>
      <c r="L748" t="n">
        <v>0.725</v>
      </c>
      <c r="M748" t="n">
        <v>0.275</v>
      </c>
    </row>
    <row r="749" spans="1:13">
      <c r="A749" s="1">
        <f>HYPERLINK("http://www.twitter.com/NathanBLawrence/status/996422079711924224", "996422079711924224")</f>
        <v/>
      </c>
      <c r="B749" s="2" t="n">
        <v>43235.67258101852</v>
      </c>
      <c r="C749" t="n">
        <v>0</v>
      </c>
      <c r="D749" t="n">
        <v>0</v>
      </c>
      <c r="E749" t="s">
        <v>760</v>
      </c>
      <c r="F749" t="s"/>
      <c r="G749" t="s"/>
      <c r="H749" t="s"/>
      <c r="I749" t="s"/>
      <c r="J749" t="n">
        <v>0.3182</v>
      </c>
      <c r="K749" t="n">
        <v>0</v>
      </c>
      <c r="L749" t="n">
        <v>0.753</v>
      </c>
      <c r="M749" t="n">
        <v>0.247</v>
      </c>
    </row>
    <row r="750" spans="1:13">
      <c r="A750" s="1">
        <f>HYPERLINK("http://www.twitter.com/NathanBLawrence/status/996421974984347651", "996421974984347651")</f>
        <v/>
      </c>
      <c r="B750" s="2" t="n">
        <v>43235.67229166667</v>
      </c>
      <c r="C750" t="n">
        <v>2</v>
      </c>
      <c r="D750" t="n">
        <v>3</v>
      </c>
      <c r="E750" t="s">
        <v>761</v>
      </c>
      <c r="F750" t="s"/>
      <c r="G750" t="s"/>
      <c r="H750" t="s"/>
      <c r="I750" t="s"/>
      <c r="J750" t="n">
        <v>0</v>
      </c>
      <c r="K750" t="n">
        <v>0</v>
      </c>
      <c r="L750" t="n">
        <v>1</v>
      </c>
      <c r="M750" t="n">
        <v>0</v>
      </c>
    </row>
    <row r="751" spans="1:13">
      <c r="A751" s="1">
        <f>HYPERLINK("http://www.twitter.com/NathanBLawrence/status/996421854234529792", "996421854234529792")</f>
        <v/>
      </c>
      <c r="B751" s="2" t="n">
        <v>43235.67195601852</v>
      </c>
      <c r="C751" t="n">
        <v>1</v>
      </c>
      <c r="D751" t="n">
        <v>1</v>
      </c>
      <c r="E751" t="s">
        <v>762</v>
      </c>
      <c r="F751" t="s"/>
      <c r="G751" t="s"/>
      <c r="H751" t="s"/>
      <c r="I751" t="s"/>
      <c r="J751" t="n">
        <v>-0.5242</v>
      </c>
      <c r="K751" t="n">
        <v>0.145</v>
      </c>
      <c r="L751" t="n">
        <v>0.855</v>
      </c>
      <c r="M751" t="n">
        <v>0</v>
      </c>
    </row>
    <row r="752" spans="1:13">
      <c r="A752" s="1">
        <f>HYPERLINK("http://www.twitter.com/NathanBLawrence/status/996421663976710144", "996421663976710144")</f>
        <v/>
      </c>
      <c r="B752" s="2" t="n">
        <v>43235.67142361111</v>
      </c>
      <c r="C752" t="n">
        <v>0</v>
      </c>
      <c r="D752" t="n">
        <v>982</v>
      </c>
      <c r="E752" t="s">
        <v>763</v>
      </c>
      <c r="F752" t="s"/>
      <c r="G752" t="s"/>
      <c r="H752" t="s"/>
      <c r="I752" t="s"/>
      <c r="J752" t="n">
        <v>-0.296</v>
      </c>
      <c r="K752" t="n">
        <v>0.095</v>
      </c>
      <c r="L752" t="n">
        <v>0.905</v>
      </c>
      <c r="M752" t="n">
        <v>0</v>
      </c>
    </row>
    <row r="753" spans="1:13">
      <c r="A753" s="1">
        <f>HYPERLINK("http://www.twitter.com/NathanBLawrence/status/996421319360040960", "996421319360040960")</f>
        <v/>
      </c>
      <c r="B753" s="2" t="n">
        <v>43235.67047453704</v>
      </c>
      <c r="C753" t="n">
        <v>6</v>
      </c>
      <c r="D753" t="n">
        <v>2</v>
      </c>
      <c r="E753" t="s">
        <v>764</v>
      </c>
      <c r="F753" t="s"/>
      <c r="G753" t="s"/>
      <c r="H753" t="s"/>
      <c r="I753" t="s"/>
      <c r="J753" t="n">
        <v>0.7739</v>
      </c>
      <c r="K753" t="n">
        <v>0</v>
      </c>
      <c r="L753" t="n">
        <v>0.704</v>
      </c>
      <c r="M753" t="n">
        <v>0.296</v>
      </c>
    </row>
    <row r="754" spans="1:13">
      <c r="A754" s="1">
        <f>HYPERLINK("http://www.twitter.com/NathanBLawrence/status/996421057245364226", "996421057245364226")</f>
        <v/>
      </c>
      <c r="B754" s="2" t="n">
        <v>43235.66975694444</v>
      </c>
      <c r="C754" t="n">
        <v>1</v>
      </c>
      <c r="D754" t="n">
        <v>0</v>
      </c>
      <c r="E754" t="s">
        <v>765</v>
      </c>
      <c r="F754" t="s"/>
      <c r="G754" t="s"/>
      <c r="H754" t="s"/>
      <c r="I754" t="s"/>
      <c r="J754" t="n">
        <v>-0.4019</v>
      </c>
      <c r="K754" t="n">
        <v>0.153</v>
      </c>
      <c r="L754" t="n">
        <v>0.847</v>
      </c>
      <c r="M754" t="n">
        <v>0</v>
      </c>
    </row>
    <row r="755" spans="1:13">
      <c r="A755" s="1">
        <f>HYPERLINK("http://www.twitter.com/NathanBLawrence/status/996420909895315456", "996420909895315456")</f>
        <v/>
      </c>
      <c r="B755" s="2" t="n">
        <v>43235.66935185185</v>
      </c>
      <c r="C755" t="n">
        <v>2</v>
      </c>
      <c r="D755" t="n">
        <v>0</v>
      </c>
      <c r="E755" t="s">
        <v>766</v>
      </c>
      <c r="F755" t="s"/>
      <c r="G755" t="s"/>
      <c r="H755" t="s"/>
      <c r="I755" t="s"/>
      <c r="J755" t="n">
        <v>0</v>
      </c>
      <c r="K755" t="n">
        <v>0</v>
      </c>
      <c r="L755" t="n">
        <v>1</v>
      </c>
      <c r="M755" t="n">
        <v>0</v>
      </c>
    </row>
    <row r="756" spans="1:13">
      <c r="A756" s="1">
        <f>HYPERLINK("http://www.twitter.com/NathanBLawrence/status/996420418335424519", "996420418335424519")</f>
        <v/>
      </c>
      <c r="B756" s="2" t="n">
        <v>43235.66798611111</v>
      </c>
      <c r="C756" t="n">
        <v>3</v>
      </c>
      <c r="D756" t="n">
        <v>2</v>
      </c>
      <c r="E756" t="s">
        <v>767</v>
      </c>
      <c r="F756" t="s"/>
      <c r="G756" t="s"/>
      <c r="H756" t="s"/>
      <c r="I756" t="s"/>
      <c r="J756" t="n">
        <v>-0.7717000000000001</v>
      </c>
      <c r="K756" t="n">
        <v>0.271</v>
      </c>
      <c r="L756" t="n">
        <v>0.729</v>
      </c>
      <c r="M756" t="n">
        <v>0</v>
      </c>
    </row>
    <row r="757" spans="1:13">
      <c r="A757" s="1">
        <f>HYPERLINK("http://www.twitter.com/NathanBLawrence/status/996420309828845568", "996420309828845568")</f>
        <v/>
      </c>
      <c r="B757" s="2" t="n">
        <v>43235.66769675926</v>
      </c>
      <c r="C757" t="n">
        <v>9</v>
      </c>
      <c r="D757" t="n">
        <v>10</v>
      </c>
      <c r="E757" t="s">
        <v>768</v>
      </c>
      <c r="F757" t="s"/>
      <c r="G757" t="s"/>
      <c r="H757" t="s"/>
      <c r="I757" t="s"/>
      <c r="J757" t="n">
        <v>-0.5106000000000001</v>
      </c>
      <c r="K757" t="n">
        <v>0.264</v>
      </c>
      <c r="L757" t="n">
        <v>0.736</v>
      </c>
      <c r="M757" t="n">
        <v>0</v>
      </c>
    </row>
    <row r="758" spans="1:13">
      <c r="A758" s="1">
        <f>HYPERLINK("http://www.twitter.com/NathanBLawrence/status/996236861193375744", "996236861193375744")</f>
        <v/>
      </c>
      <c r="B758" s="2" t="n">
        <v>43235.16146990741</v>
      </c>
      <c r="C758" t="n">
        <v>30</v>
      </c>
      <c r="D758" t="n">
        <v>12</v>
      </c>
      <c r="E758" t="s">
        <v>769</v>
      </c>
      <c r="F758" t="s"/>
      <c r="G758" t="s"/>
      <c r="H758" t="s"/>
      <c r="I758" t="s"/>
      <c r="J758" t="n">
        <v>-0.7345</v>
      </c>
      <c r="K758" t="n">
        <v>0.212</v>
      </c>
      <c r="L758" t="n">
        <v>0.788</v>
      </c>
      <c r="M758" t="n">
        <v>0</v>
      </c>
    </row>
    <row r="759" spans="1:13">
      <c r="A759" s="1">
        <f>HYPERLINK("http://www.twitter.com/NathanBLawrence/status/996236188716490754", "996236188716490754")</f>
        <v/>
      </c>
      <c r="B759" s="2" t="n">
        <v>43235.15961805556</v>
      </c>
      <c r="C759" t="n">
        <v>0</v>
      </c>
      <c r="D759" t="n">
        <v>3918</v>
      </c>
      <c r="E759" t="s">
        <v>770</v>
      </c>
      <c r="F759" t="s"/>
      <c r="G759" t="s"/>
      <c r="H759" t="s"/>
      <c r="I759" t="s"/>
      <c r="J759" t="n">
        <v>-0.4215</v>
      </c>
      <c r="K759" t="n">
        <v>0.186</v>
      </c>
      <c r="L759" t="n">
        <v>0.73</v>
      </c>
      <c r="M759" t="n">
        <v>0.08400000000000001</v>
      </c>
    </row>
    <row r="760" spans="1:13">
      <c r="A760" s="1">
        <f>HYPERLINK("http://www.twitter.com/NathanBLawrence/status/996236084353773570", "996236084353773570")</f>
        <v/>
      </c>
      <c r="B760" s="2" t="n">
        <v>43235.1593287037</v>
      </c>
      <c r="C760" t="n">
        <v>13</v>
      </c>
      <c r="D760" t="n">
        <v>6</v>
      </c>
      <c r="E760" t="s">
        <v>771</v>
      </c>
      <c r="F760" t="s"/>
      <c r="G760" t="s"/>
      <c r="H760" t="s"/>
      <c r="I760" t="s"/>
      <c r="J760" t="n">
        <v>0.4003</v>
      </c>
      <c r="K760" t="n">
        <v>0</v>
      </c>
      <c r="L760" t="n">
        <v>0.722</v>
      </c>
      <c r="M760" t="n">
        <v>0.278</v>
      </c>
    </row>
    <row r="761" spans="1:13">
      <c r="A761" s="1">
        <f>HYPERLINK("http://www.twitter.com/NathanBLawrence/status/996234218035281920", "996234218035281920")</f>
        <v/>
      </c>
      <c r="B761" s="2" t="n">
        <v>43235.15417824074</v>
      </c>
      <c r="C761" t="n">
        <v>22</v>
      </c>
      <c r="D761" t="n">
        <v>6</v>
      </c>
      <c r="E761" t="s">
        <v>772</v>
      </c>
      <c r="F761" t="s"/>
      <c r="G761" t="s"/>
      <c r="H761" t="s"/>
      <c r="I761" t="s"/>
      <c r="J761" t="n">
        <v>-0.296</v>
      </c>
      <c r="K761" t="n">
        <v>0.216</v>
      </c>
      <c r="L761" t="n">
        <v>0.603</v>
      </c>
      <c r="M761" t="n">
        <v>0.181</v>
      </c>
    </row>
    <row r="762" spans="1:13">
      <c r="A762" s="1">
        <f>HYPERLINK("http://www.twitter.com/NathanBLawrence/status/996231881673752576", "996231881673752576")</f>
        <v/>
      </c>
      <c r="B762" s="2" t="n">
        <v>43235.14773148148</v>
      </c>
      <c r="C762" t="n">
        <v>5</v>
      </c>
      <c r="D762" t="n">
        <v>3</v>
      </c>
      <c r="E762" t="s">
        <v>773</v>
      </c>
      <c r="F762" t="s"/>
      <c r="G762" t="s"/>
      <c r="H762" t="s"/>
      <c r="I762" t="s"/>
      <c r="J762" t="n">
        <v>0.0772</v>
      </c>
      <c r="K762" t="n">
        <v>0.116</v>
      </c>
      <c r="L762" t="n">
        <v>0.754</v>
      </c>
      <c r="M762" t="n">
        <v>0.131</v>
      </c>
    </row>
    <row r="763" spans="1:13">
      <c r="A763" s="1">
        <f>HYPERLINK("http://www.twitter.com/NathanBLawrence/status/996207968264765440", "996207968264765440")</f>
        <v/>
      </c>
      <c r="B763" s="2" t="n">
        <v>43235.08173611111</v>
      </c>
      <c r="C763" t="n">
        <v>6</v>
      </c>
      <c r="D763" t="n">
        <v>6</v>
      </c>
      <c r="E763" t="s">
        <v>774</v>
      </c>
      <c r="F763" t="s"/>
      <c r="G763" t="s"/>
      <c r="H763" t="s"/>
      <c r="I763" t="s"/>
      <c r="J763" t="n">
        <v>0</v>
      </c>
      <c r="K763" t="n">
        <v>0</v>
      </c>
      <c r="L763" t="n">
        <v>1</v>
      </c>
      <c r="M763" t="n">
        <v>0</v>
      </c>
    </row>
    <row r="764" spans="1:13">
      <c r="A764" s="1">
        <f>HYPERLINK("http://www.twitter.com/NathanBLawrence/status/996207801625075712", "996207801625075712")</f>
        <v/>
      </c>
      <c r="B764" s="2" t="n">
        <v>43235.08128472222</v>
      </c>
      <c r="C764" t="n">
        <v>6</v>
      </c>
      <c r="D764" t="n">
        <v>2</v>
      </c>
      <c r="E764" t="s">
        <v>775</v>
      </c>
      <c r="F764" t="s"/>
      <c r="G764" t="s"/>
      <c r="H764" t="s"/>
      <c r="I764" t="s"/>
      <c r="J764" t="n">
        <v>0.3818</v>
      </c>
      <c r="K764" t="n">
        <v>0</v>
      </c>
      <c r="L764" t="n">
        <v>0.833</v>
      </c>
      <c r="M764" t="n">
        <v>0.167</v>
      </c>
    </row>
    <row r="765" spans="1:13">
      <c r="A765" s="1">
        <f>HYPERLINK("http://www.twitter.com/NathanBLawrence/status/996206947555729409", "996206947555729409")</f>
        <v/>
      </c>
      <c r="B765" s="2" t="n">
        <v>43235.07892361111</v>
      </c>
      <c r="C765" t="n">
        <v>6</v>
      </c>
      <c r="D765" t="n">
        <v>1</v>
      </c>
      <c r="E765" t="s">
        <v>776</v>
      </c>
      <c r="F765" t="s"/>
      <c r="G765" t="s"/>
      <c r="H765" t="s"/>
      <c r="I765" t="s"/>
      <c r="J765" t="n">
        <v>0</v>
      </c>
      <c r="K765" t="n">
        <v>0</v>
      </c>
      <c r="L765" t="n">
        <v>1</v>
      </c>
      <c r="M765" t="n">
        <v>0</v>
      </c>
    </row>
    <row r="766" spans="1:13">
      <c r="A766" s="1">
        <f>HYPERLINK("http://www.twitter.com/NathanBLawrence/status/996205007161585664", "996205007161585664")</f>
        <v/>
      </c>
      <c r="B766" s="2" t="n">
        <v>43235.07356481482</v>
      </c>
      <c r="C766" t="n">
        <v>0</v>
      </c>
      <c r="D766" t="n">
        <v>72</v>
      </c>
      <c r="E766" t="s">
        <v>777</v>
      </c>
      <c r="F766">
        <f>HYPERLINK("http://pbs.twimg.com/media/DdLkpFaX0AA3ZOE.jpg", "http://pbs.twimg.com/media/DdLkpFaX0AA3ZOE.jpg")</f>
        <v/>
      </c>
      <c r="G766" t="s"/>
      <c r="H766" t="s"/>
      <c r="I766" t="s"/>
      <c r="J766" t="n">
        <v>0</v>
      </c>
      <c r="K766" t="n">
        <v>0</v>
      </c>
      <c r="L766" t="n">
        <v>1</v>
      </c>
      <c r="M766" t="n">
        <v>0</v>
      </c>
    </row>
    <row r="767" spans="1:13">
      <c r="A767" s="1">
        <f>HYPERLINK("http://www.twitter.com/NathanBLawrence/status/996204813913210880", "996204813913210880")</f>
        <v/>
      </c>
      <c r="B767" s="2" t="n">
        <v>43235.07303240741</v>
      </c>
      <c r="C767" t="n">
        <v>18</v>
      </c>
      <c r="D767" t="n">
        <v>9</v>
      </c>
      <c r="E767" t="s">
        <v>778</v>
      </c>
      <c r="F767" t="s"/>
      <c r="G767" t="s"/>
      <c r="H767" t="s"/>
      <c r="I767" t="s"/>
      <c r="J767" t="n">
        <v>0</v>
      </c>
      <c r="K767" t="n">
        <v>0</v>
      </c>
      <c r="L767" t="n">
        <v>1</v>
      </c>
      <c r="M767" t="n">
        <v>0</v>
      </c>
    </row>
    <row r="768" spans="1:13">
      <c r="A768" s="1">
        <f>HYPERLINK("http://www.twitter.com/NathanBLawrence/status/996204556294897665", "996204556294897665")</f>
        <v/>
      </c>
      <c r="B768" s="2" t="n">
        <v>43235.07232638889</v>
      </c>
      <c r="C768" t="n">
        <v>0</v>
      </c>
      <c r="D768" t="n">
        <v>296</v>
      </c>
      <c r="E768" t="s">
        <v>779</v>
      </c>
      <c r="F768">
        <f>HYPERLINK("https://video.twimg.com/amplify_video/996114163695894528/vid/1280x720/lhQBUxpDPey7w5tf.mp4?tag=2", "https://video.twimg.com/amplify_video/996114163695894528/vid/1280x720/lhQBUxpDPey7w5tf.mp4?tag=2")</f>
        <v/>
      </c>
      <c r="G768" t="s"/>
      <c r="H768" t="s"/>
      <c r="I768" t="s"/>
      <c r="J768" t="n">
        <v>0.4215</v>
      </c>
      <c r="K768" t="n">
        <v>0</v>
      </c>
      <c r="L768" t="n">
        <v>0.903</v>
      </c>
      <c r="M768" t="n">
        <v>0.097</v>
      </c>
    </row>
    <row r="769" spans="1:13">
      <c r="A769" s="1">
        <f>HYPERLINK("http://www.twitter.com/NathanBLawrence/status/996204421179572224", "996204421179572224")</f>
        <v/>
      </c>
      <c r="B769" s="2" t="n">
        <v>43235.07195601852</v>
      </c>
      <c r="C769" t="n">
        <v>0</v>
      </c>
      <c r="D769" t="n">
        <v>0</v>
      </c>
      <c r="E769" t="s">
        <v>780</v>
      </c>
      <c r="F769" t="s"/>
      <c r="G769" t="s"/>
      <c r="H769" t="s"/>
      <c r="I769" t="s"/>
      <c r="J769" t="n">
        <v>0</v>
      </c>
      <c r="K769" t="n">
        <v>0</v>
      </c>
      <c r="L769" t="n">
        <v>1</v>
      </c>
      <c r="M769" t="n">
        <v>0</v>
      </c>
    </row>
    <row r="770" spans="1:13">
      <c r="A770" s="1">
        <f>HYPERLINK("http://www.twitter.com/NathanBLawrence/status/996204348622364672", "996204348622364672")</f>
        <v/>
      </c>
      <c r="B770" s="2" t="n">
        <v>43235.07174768519</v>
      </c>
      <c r="C770" t="n">
        <v>0</v>
      </c>
      <c r="D770" t="n">
        <v>1</v>
      </c>
      <c r="E770" t="s">
        <v>781</v>
      </c>
      <c r="F770" t="s"/>
      <c r="G770" t="s"/>
      <c r="H770" t="s"/>
      <c r="I770" t="s"/>
      <c r="J770" t="n">
        <v>0</v>
      </c>
      <c r="K770" t="n">
        <v>0</v>
      </c>
      <c r="L770" t="n">
        <v>1</v>
      </c>
      <c r="M770" t="n">
        <v>0</v>
      </c>
    </row>
    <row r="771" spans="1:13">
      <c r="A771" s="1">
        <f>HYPERLINK("http://www.twitter.com/NathanBLawrence/status/996204112604684288", "996204112604684288")</f>
        <v/>
      </c>
      <c r="B771" s="2" t="n">
        <v>43235.07109953704</v>
      </c>
      <c r="C771" t="n">
        <v>0</v>
      </c>
      <c r="D771" t="n">
        <v>1</v>
      </c>
      <c r="E771" t="s">
        <v>782</v>
      </c>
      <c r="F771" t="s"/>
      <c r="G771" t="s"/>
      <c r="H771" t="s"/>
      <c r="I771" t="s"/>
      <c r="J771" t="n">
        <v>0.1027</v>
      </c>
      <c r="K771" t="n">
        <v>0.165</v>
      </c>
      <c r="L771" t="n">
        <v>0.65</v>
      </c>
      <c r="M771" t="n">
        <v>0.185</v>
      </c>
    </row>
    <row r="772" spans="1:13">
      <c r="A772" s="1">
        <f>HYPERLINK("http://www.twitter.com/NathanBLawrence/status/996203968421232640", "996203968421232640")</f>
        <v/>
      </c>
      <c r="B772" s="2" t="n">
        <v>43235.07070601852</v>
      </c>
      <c r="C772" t="n">
        <v>0</v>
      </c>
      <c r="D772" t="n">
        <v>1209</v>
      </c>
      <c r="E772" t="s">
        <v>783</v>
      </c>
      <c r="F772" t="s"/>
      <c r="G772" t="s"/>
      <c r="H772" t="s"/>
      <c r="I772" t="s"/>
      <c r="J772" t="n">
        <v>0</v>
      </c>
      <c r="K772" t="n">
        <v>0</v>
      </c>
      <c r="L772" t="n">
        <v>1</v>
      </c>
      <c r="M772" t="n">
        <v>0</v>
      </c>
    </row>
    <row r="773" spans="1:13">
      <c r="A773" s="1">
        <f>HYPERLINK("http://www.twitter.com/NathanBLawrence/status/996203890990170113", "996203890990170113")</f>
        <v/>
      </c>
      <c r="B773" s="2" t="n">
        <v>43235.07048611111</v>
      </c>
      <c r="C773" t="n">
        <v>0</v>
      </c>
      <c r="D773" t="n">
        <v>3</v>
      </c>
      <c r="E773" t="s">
        <v>784</v>
      </c>
      <c r="F773" t="s"/>
      <c r="G773" t="s"/>
      <c r="H773" t="s"/>
      <c r="I773" t="s"/>
      <c r="J773" t="n">
        <v>-0.5093</v>
      </c>
      <c r="K773" t="n">
        <v>0.523</v>
      </c>
      <c r="L773" t="n">
        <v>0.477</v>
      </c>
      <c r="M773" t="n">
        <v>0</v>
      </c>
    </row>
    <row r="774" spans="1:13">
      <c r="A774" s="1">
        <f>HYPERLINK("http://www.twitter.com/NathanBLawrence/status/996203203728306176", "996203203728306176")</f>
        <v/>
      </c>
      <c r="B774" s="2" t="n">
        <v>43235.06858796296</v>
      </c>
      <c r="C774" t="n">
        <v>2</v>
      </c>
      <c r="D774" t="n">
        <v>3</v>
      </c>
      <c r="E774" t="s">
        <v>785</v>
      </c>
      <c r="F774" t="s"/>
      <c r="G774" t="s"/>
      <c r="H774" t="s"/>
      <c r="I774" t="s"/>
      <c r="J774" t="n">
        <v>0</v>
      </c>
      <c r="K774" t="n">
        <v>0</v>
      </c>
      <c r="L774" t="n">
        <v>1</v>
      </c>
      <c r="M774" t="n">
        <v>0</v>
      </c>
    </row>
    <row r="775" spans="1:13">
      <c r="A775" s="1">
        <f>HYPERLINK("http://www.twitter.com/NathanBLawrence/status/996201611486679041", "996201611486679041")</f>
        <v/>
      </c>
      <c r="B775" s="2" t="n">
        <v>43235.06420138889</v>
      </c>
      <c r="C775" t="n">
        <v>4</v>
      </c>
      <c r="D775" t="n">
        <v>2</v>
      </c>
      <c r="E775" t="s">
        <v>786</v>
      </c>
      <c r="F775" t="s"/>
      <c r="G775" t="s"/>
      <c r="H775" t="s"/>
      <c r="I775" t="s"/>
      <c r="J775" t="n">
        <v>-0.296</v>
      </c>
      <c r="K775" t="n">
        <v>0.155</v>
      </c>
      <c r="L775" t="n">
        <v>0.845</v>
      </c>
      <c r="M775" t="n">
        <v>0</v>
      </c>
    </row>
    <row r="776" spans="1:13">
      <c r="A776" s="1">
        <f>HYPERLINK("http://www.twitter.com/NathanBLawrence/status/996201100033212416", "996201100033212416")</f>
        <v/>
      </c>
      <c r="B776" s="2" t="n">
        <v>43235.06278935185</v>
      </c>
      <c r="C776" t="n">
        <v>0</v>
      </c>
      <c r="D776" t="n">
        <v>1168</v>
      </c>
      <c r="E776" t="s">
        <v>787</v>
      </c>
      <c r="F776" t="s"/>
      <c r="G776" t="s"/>
      <c r="H776" t="s"/>
      <c r="I776" t="s"/>
      <c r="J776" t="n">
        <v>0.8225</v>
      </c>
      <c r="K776" t="n">
        <v>0</v>
      </c>
      <c r="L776" t="n">
        <v>0.591</v>
      </c>
      <c r="M776" t="n">
        <v>0.409</v>
      </c>
    </row>
    <row r="777" spans="1:13">
      <c r="A777" s="1">
        <f>HYPERLINK("http://www.twitter.com/NathanBLawrence/status/996201053963018244", "996201053963018244")</f>
        <v/>
      </c>
      <c r="B777" s="2" t="n">
        <v>43235.06266203704</v>
      </c>
      <c r="C777" t="n">
        <v>1</v>
      </c>
      <c r="D777" t="n">
        <v>0</v>
      </c>
      <c r="E777" t="s">
        <v>788</v>
      </c>
      <c r="F777" t="s"/>
      <c r="G777" t="s"/>
      <c r="H777" t="s"/>
      <c r="I777" t="s"/>
      <c r="J777" t="n">
        <v>0.4926</v>
      </c>
      <c r="K777" t="n">
        <v>0</v>
      </c>
      <c r="L777" t="n">
        <v>0.385</v>
      </c>
      <c r="M777" t="n">
        <v>0.615</v>
      </c>
    </row>
    <row r="778" spans="1:13">
      <c r="A778" s="1">
        <f>HYPERLINK("http://www.twitter.com/NathanBLawrence/status/996200965236649984", "996200965236649984")</f>
        <v/>
      </c>
      <c r="B778" s="2" t="n">
        <v>43235.06241898148</v>
      </c>
      <c r="C778" t="n">
        <v>0</v>
      </c>
      <c r="D778" t="n">
        <v>1355</v>
      </c>
      <c r="E778" t="s">
        <v>789</v>
      </c>
      <c r="F778">
        <f>HYPERLINK("https://video.twimg.com/ext_tw_video/996080531363287049/pu/vid/640x360/h4tB-877esz9HZ_X.mp4?tag=3", "https://video.twimg.com/ext_tw_video/996080531363287049/pu/vid/640x360/h4tB-877esz9HZ_X.mp4?tag=3")</f>
        <v/>
      </c>
      <c r="G778" t="s"/>
      <c r="H778" t="s"/>
      <c r="I778" t="s"/>
      <c r="J778" t="n">
        <v>-0.6597</v>
      </c>
      <c r="K778" t="n">
        <v>0.221</v>
      </c>
      <c r="L778" t="n">
        <v>0.779</v>
      </c>
      <c r="M778" t="n">
        <v>0</v>
      </c>
    </row>
    <row r="779" spans="1:13">
      <c r="A779" s="1">
        <f>HYPERLINK("http://www.twitter.com/NathanBLawrence/status/996200901277728768", "996200901277728768")</f>
        <v/>
      </c>
      <c r="B779" s="2" t="n">
        <v>43235.06224537037</v>
      </c>
      <c r="C779" t="n">
        <v>33</v>
      </c>
      <c r="D779" t="n">
        <v>21</v>
      </c>
      <c r="E779" t="s">
        <v>790</v>
      </c>
      <c r="F779" t="s"/>
      <c r="G779" t="s"/>
      <c r="H779" t="s"/>
      <c r="I779" t="s"/>
      <c r="J779" t="n">
        <v>0.2481</v>
      </c>
      <c r="K779" t="n">
        <v>0.068</v>
      </c>
      <c r="L779" t="n">
        <v>0.834</v>
      </c>
      <c r="M779" t="n">
        <v>0.098</v>
      </c>
    </row>
    <row r="780" spans="1:13">
      <c r="A780" s="1">
        <f>HYPERLINK("http://www.twitter.com/NathanBLawrence/status/996200376150847488", "996200376150847488")</f>
        <v/>
      </c>
      <c r="B780" s="2" t="n">
        <v>43235.06078703704</v>
      </c>
      <c r="C780" t="n">
        <v>8</v>
      </c>
      <c r="D780" t="n">
        <v>6</v>
      </c>
      <c r="E780" t="s">
        <v>791</v>
      </c>
      <c r="F780" t="s"/>
      <c r="G780" t="s"/>
      <c r="H780" t="s"/>
      <c r="I780" t="s"/>
      <c r="J780" t="n">
        <v>-0.3182</v>
      </c>
      <c r="K780" t="n">
        <v>0.141</v>
      </c>
      <c r="L780" t="n">
        <v>0.859</v>
      </c>
      <c r="M780" t="n">
        <v>0</v>
      </c>
    </row>
    <row r="781" spans="1:13">
      <c r="A781" s="1">
        <f>HYPERLINK("http://www.twitter.com/NathanBLawrence/status/996199800843288576", "996199800843288576")</f>
        <v/>
      </c>
      <c r="B781" s="2" t="n">
        <v>43235.05920138889</v>
      </c>
      <c r="C781" t="n">
        <v>0</v>
      </c>
      <c r="D781" t="n">
        <v>1</v>
      </c>
      <c r="E781" t="s">
        <v>792</v>
      </c>
      <c r="F781" t="s"/>
      <c r="G781" t="s"/>
      <c r="H781" t="s"/>
      <c r="I781" t="s"/>
      <c r="J781" t="n">
        <v>0</v>
      </c>
      <c r="K781" t="n">
        <v>0</v>
      </c>
      <c r="L781" t="n">
        <v>1</v>
      </c>
      <c r="M781" t="n">
        <v>0</v>
      </c>
    </row>
    <row r="782" spans="1:13">
      <c r="A782" s="1">
        <f>HYPERLINK("http://www.twitter.com/NathanBLawrence/status/996199315189088257", "996199315189088257")</f>
        <v/>
      </c>
      <c r="B782" s="2" t="n">
        <v>43235.0578587963</v>
      </c>
      <c r="C782" t="n">
        <v>0</v>
      </c>
      <c r="D782" t="n">
        <v>2</v>
      </c>
      <c r="E782" t="s">
        <v>793</v>
      </c>
      <c r="F782" t="s"/>
      <c r="G782" t="s"/>
      <c r="H782" t="s"/>
      <c r="I782" t="s"/>
      <c r="J782" t="n">
        <v>-0.4404</v>
      </c>
      <c r="K782" t="n">
        <v>0.229</v>
      </c>
      <c r="L782" t="n">
        <v>0.681</v>
      </c>
      <c r="M782" t="n">
        <v>0.09</v>
      </c>
    </row>
    <row r="783" spans="1:13">
      <c r="A783" s="1">
        <f>HYPERLINK("http://www.twitter.com/NathanBLawrence/status/996199184142286849", "996199184142286849")</f>
        <v/>
      </c>
      <c r="B783" s="2" t="n">
        <v>43235.0575</v>
      </c>
      <c r="C783" t="n">
        <v>7</v>
      </c>
      <c r="D783" t="n">
        <v>6</v>
      </c>
      <c r="E783" t="s">
        <v>794</v>
      </c>
      <c r="F783" t="s"/>
      <c r="G783" t="s"/>
      <c r="H783" t="s"/>
      <c r="I783" t="s"/>
      <c r="J783" t="n">
        <v>-0.3182</v>
      </c>
      <c r="K783" t="n">
        <v>0.173</v>
      </c>
      <c r="L783" t="n">
        <v>0.827</v>
      </c>
      <c r="M783" t="n">
        <v>0</v>
      </c>
    </row>
    <row r="784" spans="1:13">
      <c r="A784" s="1">
        <f>HYPERLINK("http://www.twitter.com/NathanBLawrence/status/996198872014733313", "996198872014733313")</f>
        <v/>
      </c>
      <c r="B784" s="2" t="n">
        <v>43235.05664351852</v>
      </c>
      <c r="C784" t="n">
        <v>1</v>
      </c>
      <c r="D784" t="n">
        <v>1</v>
      </c>
      <c r="E784" t="s">
        <v>795</v>
      </c>
      <c r="F784" t="s"/>
      <c r="G784" t="s"/>
      <c r="H784" t="s"/>
      <c r="I784" t="s"/>
      <c r="J784" t="n">
        <v>0</v>
      </c>
      <c r="K784" t="n">
        <v>0</v>
      </c>
      <c r="L784" t="n">
        <v>1</v>
      </c>
      <c r="M784" t="n">
        <v>0</v>
      </c>
    </row>
    <row r="785" spans="1:13">
      <c r="A785" s="1">
        <f>HYPERLINK("http://www.twitter.com/NathanBLawrence/status/996198567793475585", "996198567793475585")</f>
        <v/>
      </c>
      <c r="B785" s="2" t="n">
        <v>43235.05579861111</v>
      </c>
      <c r="C785" t="n">
        <v>0</v>
      </c>
      <c r="D785" t="n">
        <v>1</v>
      </c>
      <c r="E785" t="s">
        <v>796</v>
      </c>
      <c r="F785" t="s"/>
      <c r="G785" t="s"/>
      <c r="H785" t="s"/>
      <c r="I785" t="s"/>
      <c r="J785" t="n">
        <v>0.5423</v>
      </c>
      <c r="K785" t="n">
        <v>0</v>
      </c>
      <c r="L785" t="n">
        <v>0.881</v>
      </c>
      <c r="M785" t="n">
        <v>0.119</v>
      </c>
    </row>
    <row r="786" spans="1:13">
      <c r="A786" s="1">
        <f>HYPERLINK("http://www.twitter.com/NathanBLawrence/status/996198479364943873", "996198479364943873")</f>
        <v/>
      </c>
      <c r="B786" s="2" t="n">
        <v>43235.05555555555</v>
      </c>
      <c r="C786" t="n">
        <v>0</v>
      </c>
      <c r="D786" t="n">
        <v>14</v>
      </c>
      <c r="E786" t="s">
        <v>797</v>
      </c>
      <c r="F786" t="s"/>
      <c r="G786" t="s"/>
      <c r="H786" t="s"/>
      <c r="I786" t="s"/>
      <c r="J786" t="n">
        <v>0.0516</v>
      </c>
      <c r="K786" t="n">
        <v>0.113</v>
      </c>
      <c r="L786" t="n">
        <v>0.73</v>
      </c>
      <c r="M786" t="n">
        <v>0.157</v>
      </c>
    </row>
    <row r="787" spans="1:13">
      <c r="A787" s="1">
        <f>HYPERLINK("http://www.twitter.com/NathanBLawrence/status/996198054221922304", "996198054221922304")</f>
        <v/>
      </c>
      <c r="B787" s="2" t="n">
        <v>43235.05438657408</v>
      </c>
      <c r="C787" t="n">
        <v>13</v>
      </c>
      <c r="D787" t="n">
        <v>8</v>
      </c>
      <c r="E787" t="s">
        <v>798</v>
      </c>
      <c r="F787" t="s"/>
      <c r="G787" t="s"/>
      <c r="H787" t="s"/>
      <c r="I787" t="s"/>
      <c r="J787" t="n">
        <v>0.8781</v>
      </c>
      <c r="K787" t="n">
        <v>0.07099999999999999</v>
      </c>
      <c r="L787" t="n">
        <v>0.59</v>
      </c>
      <c r="M787" t="n">
        <v>0.339</v>
      </c>
    </row>
    <row r="788" spans="1:13">
      <c r="A788" s="1">
        <f>HYPERLINK("http://www.twitter.com/NathanBLawrence/status/996197664847900673", "996197664847900673")</f>
        <v/>
      </c>
      <c r="B788" s="2" t="n">
        <v>43235.05331018518</v>
      </c>
      <c r="C788" t="n">
        <v>17</v>
      </c>
      <c r="D788" t="n">
        <v>8</v>
      </c>
      <c r="E788" t="s">
        <v>799</v>
      </c>
      <c r="F788" t="s"/>
      <c r="G788" t="s"/>
      <c r="H788" t="s"/>
      <c r="I788" t="s"/>
      <c r="J788" t="n">
        <v>-0.9626</v>
      </c>
      <c r="K788" t="n">
        <v>0.497</v>
      </c>
      <c r="L788" t="n">
        <v>0.503</v>
      </c>
      <c r="M788" t="n">
        <v>0</v>
      </c>
    </row>
    <row r="789" spans="1:13">
      <c r="A789" s="1">
        <f>HYPERLINK("http://www.twitter.com/NathanBLawrence/status/996194544445079557", "996194544445079557")</f>
        <v/>
      </c>
      <c r="B789" s="2" t="n">
        <v>43235.04469907407</v>
      </c>
      <c r="C789" t="n">
        <v>5</v>
      </c>
      <c r="D789" t="n">
        <v>2</v>
      </c>
      <c r="E789" t="s">
        <v>800</v>
      </c>
      <c r="F789" t="s"/>
      <c r="G789" t="s"/>
      <c r="H789" t="s"/>
      <c r="I789" t="s"/>
      <c r="J789" t="n">
        <v>-0.3612</v>
      </c>
      <c r="K789" t="n">
        <v>0.143</v>
      </c>
      <c r="L789" t="n">
        <v>0.857</v>
      </c>
      <c r="M789" t="n">
        <v>0</v>
      </c>
    </row>
    <row r="790" spans="1:13">
      <c r="A790" s="1">
        <f>HYPERLINK("http://www.twitter.com/NathanBLawrence/status/996194044505088000", "996194044505088000")</f>
        <v/>
      </c>
      <c r="B790" s="2" t="n">
        <v>43235.04332175926</v>
      </c>
      <c r="C790" t="n">
        <v>3</v>
      </c>
      <c r="D790" t="n">
        <v>1</v>
      </c>
      <c r="E790" t="s">
        <v>801</v>
      </c>
      <c r="F790" t="s"/>
      <c r="G790" t="s"/>
      <c r="H790" t="s"/>
      <c r="I790" t="s"/>
      <c r="J790" t="n">
        <v>0</v>
      </c>
      <c r="K790" t="n">
        <v>0.222</v>
      </c>
      <c r="L790" t="n">
        <v>0.556</v>
      </c>
      <c r="M790" t="n">
        <v>0.222</v>
      </c>
    </row>
    <row r="791" spans="1:13">
      <c r="A791" s="1">
        <f>HYPERLINK("http://www.twitter.com/NathanBLawrence/status/996193690010894336", "996193690010894336")</f>
        <v/>
      </c>
      <c r="B791" s="2" t="n">
        <v>43235.04233796296</v>
      </c>
      <c r="C791" t="n">
        <v>6</v>
      </c>
      <c r="D791" t="n">
        <v>1</v>
      </c>
      <c r="E791" t="s">
        <v>802</v>
      </c>
      <c r="F791" t="s"/>
      <c r="G791" t="s"/>
      <c r="H791" t="s"/>
      <c r="I791" t="s"/>
      <c r="J791" t="n">
        <v>0.7234</v>
      </c>
      <c r="K791" t="n">
        <v>0</v>
      </c>
      <c r="L791" t="n">
        <v>0.623</v>
      </c>
      <c r="M791" t="n">
        <v>0.377</v>
      </c>
    </row>
    <row r="792" spans="1:13">
      <c r="A792" s="1">
        <f>HYPERLINK("http://www.twitter.com/NathanBLawrence/status/996193160404520960", "996193160404520960")</f>
        <v/>
      </c>
      <c r="B792" s="2" t="n">
        <v>43235.04087962963</v>
      </c>
      <c r="C792" t="n">
        <v>14</v>
      </c>
      <c r="D792" t="n">
        <v>10</v>
      </c>
      <c r="E792" t="s">
        <v>803</v>
      </c>
      <c r="F792" t="s"/>
      <c r="G792" t="s"/>
      <c r="H792" t="s"/>
      <c r="I792" t="s"/>
      <c r="J792" t="n">
        <v>-0.508</v>
      </c>
      <c r="K792" t="n">
        <v>0.123</v>
      </c>
      <c r="L792" t="n">
        <v>0.821</v>
      </c>
      <c r="M792" t="n">
        <v>0.056</v>
      </c>
    </row>
    <row r="793" spans="1:13">
      <c r="A793" s="1">
        <f>HYPERLINK("http://www.twitter.com/NathanBLawrence/status/996192559721426944", "996192559721426944")</f>
        <v/>
      </c>
      <c r="B793" s="2" t="n">
        <v>43235.03922453704</v>
      </c>
      <c r="C793" t="n">
        <v>0</v>
      </c>
      <c r="D793" t="n">
        <v>1</v>
      </c>
      <c r="E793" t="s">
        <v>804</v>
      </c>
      <c r="F793" t="s"/>
      <c r="G793" t="s"/>
      <c r="H793" t="s"/>
      <c r="I793" t="s"/>
      <c r="J793" t="n">
        <v>0.4404</v>
      </c>
      <c r="K793" t="n">
        <v>0</v>
      </c>
      <c r="L793" t="n">
        <v>0.854</v>
      </c>
      <c r="M793" t="n">
        <v>0.146</v>
      </c>
    </row>
    <row r="794" spans="1:13">
      <c r="A794" s="1">
        <f>HYPERLINK("http://www.twitter.com/NathanBLawrence/status/996192521914011648", "996192521914011648")</f>
        <v/>
      </c>
      <c r="B794" s="2" t="n">
        <v>43235.03912037037</v>
      </c>
      <c r="C794" t="n">
        <v>0</v>
      </c>
      <c r="D794" t="n">
        <v>6</v>
      </c>
      <c r="E794" t="s">
        <v>805</v>
      </c>
      <c r="F794" t="s"/>
      <c r="G794" t="s"/>
      <c r="H794" t="s"/>
      <c r="I794" t="s"/>
      <c r="J794" t="n">
        <v>-0.8343</v>
      </c>
      <c r="K794" t="n">
        <v>0.356</v>
      </c>
      <c r="L794" t="n">
        <v>0.644</v>
      </c>
      <c r="M794" t="n">
        <v>0</v>
      </c>
    </row>
    <row r="795" spans="1:13">
      <c r="A795" s="1">
        <f>HYPERLINK("http://www.twitter.com/NathanBLawrence/status/996192480662978560", "996192480662978560")</f>
        <v/>
      </c>
      <c r="B795" s="2" t="n">
        <v>43235.03900462963</v>
      </c>
      <c r="C795" t="n">
        <v>0</v>
      </c>
      <c r="D795" t="n">
        <v>0</v>
      </c>
      <c r="E795" t="s">
        <v>806</v>
      </c>
      <c r="F795" t="s"/>
      <c r="G795" t="s"/>
      <c r="H795" t="s"/>
      <c r="I795" t="s"/>
      <c r="J795" t="n">
        <v>0</v>
      </c>
      <c r="K795" t="n">
        <v>0</v>
      </c>
      <c r="L795" t="n">
        <v>1</v>
      </c>
      <c r="M795" t="n">
        <v>0</v>
      </c>
    </row>
    <row r="796" spans="1:13">
      <c r="A796" s="1">
        <f>HYPERLINK("http://www.twitter.com/NathanBLawrence/status/996192225217277952", "996192225217277952")</f>
        <v/>
      </c>
      <c r="B796" s="2" t="n">
        <v>43235.03829861111</v>
      </c>
      <c r="C796" t="n">
        <v>0</v>
      </c>
      <c r="D796" t="n">
        <v>295</v>
      </c>
      <c r="E796" t="s">
        <v>807</v>
      </c>
      <c r="F796">
        <f>HYPERLINK("http://pbs.twimg.com/media/DdK8ghdWsAEaCOd.jpg", "http://pbs.twimg.com/media/DdK8ghdWsAEaCOd.jpg")</f>
        <v/>
      </c>
      <c r="G796" t="s"/>
      <c r="H796" t="s"/>
      <c r="I796" t="s"/>
      <c r="J796" t="n">
        <v>0</v>
      </c>
      <c r="K796" t="n">
        <v>0</v>
      </c>
      <c r="L796" t="n">
        <v>1</v>
      </c>
      <c r="M796" t="n">
        <v>0</v>
      </c>
    </row>
    <row r="797" spans="1:13">
      <c r="A797" s="1">
        <f>HYPERLINK("http://www.twitter.com/NathanBLawrence/status/996191131275685888", "996191131275685888")</f>
        <v/>
      </c>
      <c r="B797" s="2" t="n">
        <v>43235.03527777778</v>
      </c>
      <c r="C797" t="n">
        <v>20</v>
      </c>
      <c r="D797" t="n">
        <v>9</v>
      </c>
      <c r="E797" t="s">
        <v>808</v>
      </c>
      <c r="F797" t="s"/>
      <c r="G797" t="s"/>
      <c r="H797" t="s"/>
      <c r="I797" t="s"/>
      <c r="J797" t="n">
        <v>0.8977000000000001</v>
      </c>
      <c r="K797" t="n">
        <v>0.036</v>
      </c>
      <c r="L797" t="n">
        <v>0.677</v>
      </c>
      <c r="M797" t="n">
        <v>0.287</v>
      </c>
    </row>
    <row r="798" spans="1:13">
      <c r="A798" s="1">
        <f>HYPERLINK("http://www.twitter.com/NathanBLawrence/status/996190499353509889", "996190499353509889")</f>
        <v/>
      </c>
      <c r="B798" s="2" t="n">
        <v>43235.03354166666</v>
      </c>
      <c r="C798" t="n">
        <v>9</v>
      </c>
      <c r="D798" t="n">
        <v>6</v>
      </c>
      <c r="E798" t="s">
        <v>809</v>
      </c>
      <c r="F798" t="s"/>
      <c r="G798" t="s"/>
      <c r="H798" t="s"/>
      <c r="I798" t="s"/>
      <c r="J798" t="n">
        <v>0.3182</v>
      </c>
      <c r="K798" t="n">
        <v>0</v>
      </c>
      <c r="L798" t="n">
        <v>0.827</v>
      </c>
      <c r="M798" t="n">
        <v>0.173</v>
      </c>
    </row>
    <row r="799" spans="1:13">
      <c r="A799" s="1">
        <f>HYPERLINK("http://www.twitter.com/NathanBLawrence/status/996190317610090497", "996190317610090497")</f>
        <v/>
      </c>
      <c r="B799" s="2" t="n">
        <v>43235.03303240741</v>
      </c>
      <c r="C799" t="n">
        <v>12</v>
      </c>
      <c r="D799" t="n">
        <v>6</v>
      </c>
      <c r="E799" t="s">
        <v>810</v>
      </c>
      <c r="F799" t="s"/>
      <c r="G799" t="s"/>
      <c r="H799" t="s"/>
      <c r="I799" t="s"/>
      <c r="J799" t="n">
        <v>0</v>
      </c>
      <c r="K799" t="n">
        <v>0</v>
      </c>
      <c r="L799" t="n">
        <v>1</v>
      </c>
      <c r="M799" t="n">
        <v>0</v>
      </c>
    </row>
    <row r="800" spans="1:13">
      <c r="A800" s="1">
        <f>HYPERLINK("http://www.twitter.com/NathanBLawrence/status/996189184325894144", "996189184325894144")</f>
        <v/>
      </c>
      <c r="B800" s="2" t="n">
        <v>43235.02990740741</v>
      </c>
      <c r="C800" t="n">
        <v>0</v>
      </c>
      <c r="D800" t="n">
        <v>2629</v>
      </c>
      <c r="E800" t="s">
        <v>811</v>
      </c>
      <c r="F800">
        <f>HYPERLINK("https://video.twimg.com/ext_tw_video/996126347499134976/pu/vid/1280x720/ojVJ6SG-R-8e_eaK.mp4?tag=3", "https://video.twimg.com/ext_tw_video/996126347499134976/pu/vid/1280x720/ojVJ6SG-R-8e_eaK.mp4?tag=3")</f>
        <v/>
      </c>
      <c r="G800" t="s"/>
      <c r="H800" t="s"/>
      <c r="I800" t="s"/>
      <c r="J800" t="n">
        <v>-0.3818</v>
      </c>
      <c r="K800" t="n">
        <v>0.102</v>
      </c>
      <c r="L800" t="n">
        <v>0.898</v>
      </c>
      <c r="M800" t="n">
        <v>0</v>
      </c>
    </row>
    <row r="801" spans="1:13">
      <c r="A801" s="1">
        <f>HYPERLINK("http://www.twitter.com/NathanBLawrence/status/996188922756583425", "996188922756583425")</f>
        <v/>
      </c>
      <c r="B801" s="2" t="n">
        <v>43235.02918981481</v>
      </c>
      <c r="C801" t="n">
        <v>8</v>
      </c>
      <c r="D801" t="n">
        <v>4</v>
      </c>
      <c r="E801" t="s">
        <v>812</v>
      </c>
      <c r="F801" t="s"/>
      <c r="G801" t="s"/>
      <c r="H801" t="s"/>
      <c r="I801" t="s"/>
      <c r="J801" t="n">
        <v>-0.1027</v>
      </c>
      <c r="K801" t="n">
        <v>0.08500000000000001</v>
      </c>
      <c r="L801" t="n">
        <v>0.915</v>
      </c>
      <c r="M801" t="n">
        <v>0</v>
      </c>
    </row>
    <row r="802" spans="1:13">
      <c r="A802" s="1">
        <f>HYPERLINK("http://www.twitter.com/NathanBLawrence/status/996188637971730432", "996188637971730432")</f>
        <v/>
      </c>
      <c r="B802" s="2" t="n">
        <v>43235.02840277777</v>
      </c>
      <c r="C802" t="n">
        <v>14</v>
      </c>
      <c r="D802" t="n">
        <v>5</v>
      </c>
      <c r="E802" t="s">
        <v>813</v>
      </c>
      <c r="F802" t="s"/>
      <c r="G802" t="s"/>
      <c r="H802" t="s"/>
      <c r="I802" t="s"/>
      <c r="J802" t="n">
        <v>-0.8398</v>
      </c>
      <c r="K802" t="n">
        <v>0.242</v>
      </c>
      <c r="L802" t="n">
        <v>0.758</v>
      </c>
      <c r="M802" t="n">
        <v>0</v>
      </c>
    </row>
    <row r="803" spans="1:13">
      <c r="A803" s="1">
        <f>HYPERLINK("http://www.twitter.com/NathanBLawrence/status/996187581485232129", "996187581485232129")</f>
        <v/>
      </c>
      <c r="B803" s="2" t="n">
        <v>43235.02548611111</v>
      </c>
      <c r="C803" t="n">
        <v>0</v>
      </c>
      <c r="D803" t="n">
        <v>3</v>
      </c>
      <c r="E803" t="s">
        <v>814</v>
      </c>
      <c r="F803" t="s"/>
      <c r="G803" t="s"/>
      <c r="H803" t="s"/>
      <c r="I803" t="s"/>
      <c r="J803" t="n">
        <v>-0.5719</v>
      </c>
      <c r="K803" t="n">
        <v>0.227</v>
      </c>
      <c r="L803" t="n">
        <v>0.773</v>
      </c>
      <c r="M803" t="n">
        <v>0</v>
      </c>
    </row>
    <row r="804" spans="1:13">
      <c r="A804" s="1">
        <f>HYPERLINK("http://www.twitter.com/NathanBLawrence/status/996187412731609088", "996187412731609088")</f>
        <v/>
      </c>
      <c r="B804" s="2" t="n">
        <v>43235.02502314815</v>
      </c>
      <c r="C804" t="n">
        <v>5</v>
      </c>
      <c r="D804" t="n">
        <v>2</v>
      </c>
      <c r="E804" t="s">
        <v>815</v>
      </c>
      <c r="F804" t="s"/>
      <c r="G804" t="s"/>
      <c r="H804" t="s"/>
      <c r="I804" t="s"/>
      <c r="J804" t="n">
        <v>0</v>
      </c>
      <c r="K804" t="n">
        <v>0.064</v>
      </c>
      <c r="L804" t="n">
        <v>0.872</v>
      </c>
      <c r="M804" t="n">
        <v>0.064</v>
      </c>
    </row>
    <row r="805" spans="1:13">
      <c r="A805" s="1">
        <f>HYPERLINK("http://www.twitter.com/NathanBLawrence/status/996184726216982528", "996184726216982528")</f>
        <v/>
      </c>
      <c r="B805" s="2" t="n">
        <v>43235.01760416666</v>
      </c>
      <c r="C805" t="n">
        <v>9</v>
      </c>
      <c r="D805" t="n">
        <v>6</v>
      </c>
      <c r="E805" t="s">
        <v>816</v>
      </c>
      <c r="F805" t="s"/>
      <c r="G805" t="s"/>
      <c r="H805" t="s"/>
      <c r="I805" t="s"/>
      <c r="J805" t="n">
        <v>-0.6888</v>
      </c>
      <c r="K805" t="n">
        <v>0.191</v>
      </c>
      <c r="L805" t="n">
        <v>0.8090000000000001</v>
      </c>
      <c r="M805" t="n">
        <v>0</v>
      </c>
    </row>
    <row r="806" spans="1:13">
      <c r="A806" s="1">
        <f>HYPERLINK("http://www.twitter.com/NathanBLawrence/status/996174730318118912", "996174730318118912")</f>
        <v/>
      </c>
      <c r="B806" s="2" t="n">
        <v>43234.99002314815</v>
      </c>
      <c r="C806" t="n">
        <v>1</v>
      </c>
      <c r="D806" t="n">
        <v>0</v>
      </c>
      <c r="E806" t="s">
        <v>817</v>
      </c>
      <c r="F806" t="s"/>
      <c r="G806" t="s"/>
      <c r="H806" t="s"/>
      <c r="I806" t="s"/>
      <c r="J806" t="n">
        <v>0</v>
      </c>
      <c r="K806" t="n">
        <v>0</v>
      </c>
      <c r="L806" t="n">
        <v>1</v>
      </c>
      <c r="M806" t="n">
        <v>0</v>
      </c>
    </row>
    <row r="807" spans="1:13">
      <c r="A807" s="1">
        <f>HYPERLINK("http://www.twitter.com/NathanBLawrence/status/996174305699377152", "996174305699377152")</f>
        <v/>
      </c>
      <c r="B807" s="2" t="n">
        <v>43234.98885416667</v>
      </c>
      <c r="C807" t="n">
        <v>1</v>
      </c>
      <c r="D807" t="n">
        <v>0</v>
      </c>
      <c r="E807" t="s">
        <v>818</v>
      </c>
      <c r="F807" t="s"/>
      <c r="G807" t="s"/>
      <c r="H807" t="s"/>
      <c r="I807" t="s"/>
      <c r="J807" t="n">
        <v>-0.5994</v>
      </c>
      <c r="K807" t="n">
        <v>0.353</v>
      </c>
      <c r="L807" t="n">
        <v>0.647</v>
      </c>
      <c r="M807" t="n">
        <v>0</v>
      </c>
    </row>
    <row r="808" spans="1:13">
      <c r="A808" s="1">
        <f>HYPERLINK("http://www.twitter.com/NathanBLawrence/status/996174197742125056", "996174197742125056")</f>
        <v/>
      </c>
      <c r="B808" s="2" t="n">
        <v>43234.98855324074</v>
      </c>
      <c r="C808" t="n">
        <v>19</v>
      </c>
      <c r="D808" t="n">
        <v>23</v>
      </c>
      <c r="E808" t="s">
        <v>819</v>
      </c>
      <c r="F808">
        <f>HYPERLINK("http://pbs.twimg.com/media/Db4hr8IVQAAV7YA.jpg", "http://pbs.twimg.com/media/Db4hr8IVQAAV7YA.jpg")</f>
        <v/>
      </c>
      <c r="G808" t="s"/>
      <c r="H808" t="s"/>
      <c r="I808" t="s"/>
      <c r="J808" t="n">
        <v>-0.6239</v>
      </c>
      <c r="K808" t="n">
        <v>0.204</v>
      </c>
      <c r="L808" t="n">
        <v>0.796</v>
      </c>
      <c r="M808" t="n">
        <v>0</v>
      </c>
    </row>
    <row r="809" spans="1:13">
      <c r="A809" s="1">
        <f>HYPERLINK("http://www.twitter.com/NathanBLawrence/status/996173882192150528", "996173882192150528")</f>
        <v/>
      </c>
      <c r="B809" s="2" t="n">
        <v>43234.98768518519</v>
      </c>
      <c r="C809" t="n">
        <v>30</v>
      </c>
      <c r="D809" t="n">
        <v>23</v>
      </c>
      <c r="E809" t="s">
        <v>820</v>
      </c>
      <c r="F809" t="s"/>
      <c r="G809" t="s"/>
      <c r="H809" t="s"/>
      <c r="I809" t="s"/>
      <c r="J809" t="n">
        <v>-0.9127999999999999</v>
      </c>
      <c r="K809" t="n">
        <v>0.38</v>
      </c>
      <c r="L809" t="n">
        <v>0.62</v>
      </c>
      <c r="M809" t="n">
        <v>0</v>
      </c>
    </row>
    <row r="810" spans="1:13">
      <c r="A810" s="1">
        <f>HYPERLINK("http://www.twitter.com/NathanBLawrence/status/996173617174990848", "996173617174990848")</f>
        <v/>
      </c>
      <c r="B810" s="2" t="n">
        <v>43234.98695601852</v>
      </c>
      <c r="C810" t="n">
        <v>5</v>
      </c>
      <c r="D810" t="n">
        <v>5</v>
      </c>
      <c r="E810" t="s">
        <v>821</v>
      </c>
      <c r="F810" t="s"/>
      <c r="G810" t="s"/>
      <c r="H810" t="s"/>
      <c r="I810" t="s"/>
      <c r="J810" t="n">
        <v>-0.7783</v>
      </c>
      <c r="K810" t="n">
        <v>0.179</v>
      </c>
      <c r="L810" t="n">
        <v>0.752</v>
      </c>
      <c r="M810" t="n">
        <v>0.07000000000000001</v>
      </c>
    </row>
    <row r="811" spans="1:13">
      <c r="A811" s="1">
        <f>HYPERLINK("http://www.twitter.com/NathanBLawrence/status/996173122326839296", "996173122326839296")</f>
        <v/>
      </c>
      <c r="B811" s="2" t="n">
        <v>43234.98559027778</v>
      </c>
      <c r="C811" t="n">
        <v>6</v>
      </c>
      <c r="D811" t="n">
        <v>0</v>
      </c>
      <c r="E811" t="s">
        <v>822</v>
      </c>
      <c r="F811" t="s"/>
      <c r="G811" t="s"/>
      <c r="H811" t="s"/>
      <c r="I811" t="s"/>
      <c r="J811" t="n">
        <v>0.6006</v>
      </c>
      <c r="K811" t="n">
        <v>0.096</v>
      </c>
      <c r="L811" t="n">
        <v>0.747</v>
      </c>
      <c r="M811" t="n">
        <v>0.157</v>
      </c>
    </row>
    <row r="812" spans="1:13">
      <c r="A812" s="1">
        <f>HYPERLINK("http://www.twitter.com/NathanBLawrence/status/996172586752004096", "996172586752004096")</f>
        <v/>
      </c>
      <c r="B812" s="2" t="n">
        <v>43234.9841087963</v>
      </c>
      <c r="C812" t="n">
        <v>3</v>
      </c>
      <c r="D812" t="n">
        <v>0</v>
      </c>
      <c r="E812" t="s">
        <v>823</v>
      </c>
      <c r="F812" t="s"/>
      <c r="G812" t="s"/>
      <c r="H812" t="s"/>
      <c r="I812" t="s"/>
      <c r="J812" t="n">
        <v>-0.7783</v>
      </c>
      <c r="K812" t="n">
        <v>0.232</v>
      </c>
      <c r="L812" t="n">
        <v>0.662</v>
      </c>
      <c r="M812" t="n">
        <v>0.107</v>
      </c>
    </row>
    <row r="813" spans="1:13">
      <c r="A813" s="1">
        <f>HYPERLINK("http://www.twitter.com/NathanBLawrence/status/996171656258248704", "996171656258248704")</f>
        <v/>
      </c>
      <c r="B813" s="2" t="n">
        <v>43234.98153935185</v>
      </c>
      <c r="C813" t="n">
        <v>2</v>
      </c>
      <c r="D813" t="n">
        <v>1</v>
      </c>
      <c r="E813" t="s">
        <v>824</v>
      </c>
      <c r="F813" t="s"/>
      <c r="G813" t="s"/>
      <c r="H813" t="s"/>
      <c r="I813" t="s"/>
      <c r="J813" t="n">
        <v>-0.765</v>
      </c>
      <c r="K813" t="n">
        <v>0.202</v>
      </c>
      <c r="L813" t="n">
        <v>0.798</v>
      </c>
      <c r="M813" t="n">
        <v>0</v>
      </c>
    </row>
    <row r="814" spans="1:13">
      <c r="A814" s="1">
        <f>HYPERLINK("http://www.twitter.com/NathanBLawrence/status/996170893851181057", "996170893851181057")</f>
        <v/>
      </c>
      <c r="B814" s="2" t="n">
        <v>43234.97943287037</v>
      </c>
      <c r="C814" t="n">
        <v>1</v>
      </c>
      <c r="D814" t="n">
        <v>3</v>
      </c>
      <c r="E814" t="s">
        <v>825</v>
      </c>
      <c r="F814" t="s"/>
      <c r="G814" t="s"/>
      <c r="H814" t="s"/>
      <c r="I814" t="s"/>
      <c r="J814" t="n">
        <v>-0.7506</v>
      </c>
      <c r="K814" t="n">
        <v>0.348</v>
      </c>
      <c r="L814" t="n">
        <v>0.652</v>
      </c>
      <c r="M814" t="n">
        <v>0</v>
      </c>
    </row>
    <row r="815" spans="1:13">
      <c r="A815" s="1">
        <f>HYPERLINK("http://www.twitter.com/NathanBLawrence/status/996170676712103936", "996170676712103936")</f>
        <v/>
      </c>
      <c r="B815" s="2" t="n">
        <v>43234.97883101852</v>
      </c>
      <c r="C815" t="n">
        <v>10</v>
      </c>
      <c r="D815" t="n">
        <v>2</v>
      </c>
      <c r="E815" t="s">
        <v>826</v>
      </c>
      <c r="F815" t="s"/>
      <c r="G815" t="s"/>
      <c r="H815" t="s"/>
      <c r="I815" t="s"/>
      <c r="J815" t="n">
        <v>-0.8139</v>
      </c>
      <c r="K815" t="n">
        <v>0.338</v>
      </c>
      <c r="L815" t="n">
        <v>0.605</v>
      </c>
      <c r="M815" t="n">
        <v>0.057</v>
      </c>
    </row>
    <row r="816" spans="1:13">
      <c r="A816" s="1">
        <f>HYPERLINK("http://www.twitter.com/NathanBLawrence/status/996170505395716096", "996170505395716096")</f>
        <v/>
      </c>
      <c r="B816" s="2" t="n">
        <v>43234.97836805556</v>
      </c>
      <c r="C816" t="n">
        <v>0</v>
      </c>
      <c r="D816" t="n">
        <v>506</v>
      </c>
      <c r="E816" t="s">
        <v>827</v>
      </c>
      <c r="F816" t="s"/>
      <c r="G816" t="s"/>
      <c r="H816" t="s"/>
      <c r="I816" t="s"/>
      <c r="J816" t="n">
        <v>0.3257</v>
      </c>
      <c r="K816" t="n">
        <v>0.121</v>
      </c>
      <c r="L816" t="n">
        <v>0.717</v>
      </c>
      <c r="M816" t="n">
        <v>0.162</v>
      </c>
    </row>
    <row r="817" spans="1:13">
      <c r="A817" s="1">
        <f>HYPERLINK("http://www.twitter.com/NathanBLawrence/status/996170458167894016", "996170458167894016")</f>
        <v/>
      </c>
      <c r="B817" s="2" t="n">
        <v>43234.97822916666</v>
      </c>
      <c r="C817" t="n">
        <v>6</v>
      </c>
      <c r="D817" t="n">
        <v>2</v>
      </c>
      <c r="E817" t="s">
        <v>828</v>
      </c>
      <c r="F817" t="s"/>
      <c r="G817" t="s"/>
      <c r="H817" t="s"/>
      <c r="I817" t="s"/>
      <c r="J817" t="n">
        <v>-0.6289</v>
      </c>
      <c r="K817" t="n">
        <v>0.805</v>
      </c>
      <c r="L817" t="n">
        <v>0.195</v>
      </c>
      <c r="M817" t="n">
        <v>0</v>
      </c>
    </row>
    <row r="818" spans="1:13">
      <c r="A818" s="1">
        <f>HYPERLINK("http://www.twitter.com/NathanBLawrence/status/996170401221758976", "996170401221758976")</f>
        <v/>
      </c>
      <c r="B818" s="2" t="n">
        <v>43234.9780787037</v>
      </c>
      <c r="C818" t="n">
        <v>0</v>
      </c>
      <c r="D818" t="n">
        <v>91</v>
      </c>
      <c r="E818" t="s">
        <v>829</v>
      </c>
      <c r="F818" t="s"/>
      <c r="G818" t="s"/>
      <c r="H818" t="s"/>
      <c r="I818" t="s"/>
      <c r="J818" t="n">
        <v>0</v>
      </c>
      <c r="K818" t="n">
        <v>0</v>
      </c>
      <c r="L818" t="n">
        <v>1</v>
      </c>
      <c r="M818" t="n">
        <v>0</v>
      </c>
    </row>
    <row r="819" spans="1:13">
      <c r="A819" s="1">
        <f>HYPERLINK("http://www.twitter.com/NathanBLawrence/status/996170329465671680", "996170329465671680")</f>
        <v/>
      </c>
      <c r="B819" s="2" t="n">
        <v>43234.97788194445</v>
      </c>
      <c r="C819" t="n">
        <v>0</v>
      </c>
      <c r="D819" t="n">
        <v>878</v>
      </c>
      <c r="E819" t="s">
        <v>830</v>
      </c>
      <c r="F819" t="s"/>
      <c r="G819" t="s"/>
      <c r="H819" t="s"/>
      <c r="I819" t="s"/>
      <c r="J819" t="n">
        <v>0.85</v>
      </c>
      <c r="K819" t="n">
        <v>0</v>
      </c>
      <c r="L819" t="n">
        <v>0.634</v>
      </c>
      <c r="M819" t="n">
        <v>0.366</v>
      </c>
    </row>
    <row r="820" spans="1:13">
      <c r="A820" s="1">
        <f>HYPERLINK("http://www.twitter.com/NathanBLawrence/status/996170190403526656", "996170190403526656")</f>
        <v/>
      </c>
      <c r="B820" s="2" t="n">
        <v>43234.97748842592</v>
      </c>
      <c r="C820" t="n">
        <v>2</v>
      </c>
      <c r="D820" t="n">
        <v>2</v>
      </c>
      <c r="E820" t="s">
        <v>831</v>
      </c>
      <c r="F820" t="s"/>
      <c r="G820" t="s"/>
      <c r="H820" t="s"/>
      <c r="I820" t="s"/>
      <c r="J820" t="n">
        <v>0</v>
      </c>
      <c r="K820" t="n">
        <v>0</v>
      </c>
      <c r="L820" t="n">
        <v>1</v>
      </c>
      <c r="M820" t="n">
        <v>0</v>
      </c>
    </row>
    <row r="821" spans="1:13">
      <c r="A821" s="1">
        <f>HYPERLINK("http://www.twitter.com/NathanBLawrence/status/996167874375860225", "996167874375860225")</f>
        <v/>
      </c>
      <c r="B821" s="2" t="n">
        <v>43234.97109953704</v>
      </c>
      <c r="C821" t="n">
        <v>4</v>
      </c>
      <c r="D821" t="n">
        <v>1</v>
      </c>
      <c r="E821" t="s">
        <v>832</v>
      </c>
      <c r="F821" t="s"/>
      <c r="G821" t="s"/>
      <c r="H821" t="s"/>
      <c r="I821" t="s"/>
      <c r="J821" t="n">
        <v>0.666</v>
      </c>
      <c r="K821" t="n">
        <v>0</v>
      </c>
      <c r="L821" t="n">
        <v>0.594</v>
      </c>
      <c r="M821" t="n">
        <v>0.406</v>
      </c>
    </row>
    <row r="822" spans="1:13">
      <c r="A822" s="1">
        <f>HYPERLINK("http://www.twitter.com/NathanBLawrence/status/996167650207195136", "996167650207195136")</f>
        <v/>
      </c>
      <c r="B822" s="2" t="n">
        <v>43234.97048611111</v>
      </c>
      <c r="C822" t="n">
        <v>0</v>
      </c>
      <c r="D822" t="n">
        <v>207</v>
      </c>
      <c r="E822" t="s">
        <v>833</v>
      </c>
      <c r="F822" t="s"/>
      <c r="G822" t="s"/>
      <c r="H822" t="s"/>
      <c r="I822" t="s"/>
      <c r="J822" t="n">
        <v>0.8356</v>
      </c>
      <c r="K822" t="n">
        <v>0</v>
      </c>
      <c r="L822" t="n">
        <v>0.612</v>
      </c>
      <c r="M822" t="n">
        <v>0.388</v>
      </c>
    </row>
    <row r="823" spans="1:13">
      <c r="A823" s="1">
        <f>HYPERLINK("http://www.twitter.com/NathanBLawrence/status/996167583547060224", "996167583547060224")</f>
        <v/>
      </c>
      <c r="B823" s="2" t="n">
        <v>43234.97030092592</v>
      </c>
      <c r="C823" t="n">
        <v>0</v>
      </c>
      <c r="D823" t="n">
        <v>268</v>
      </c>
      <c r="E823" t="s">
        <v>834</v>
      </c>
      <c r="F823" t="s"/>
      <c r="G823" t="s"/>
      <c r="H823" t="s"/>
      <c r="I823" t="s"/>
      <c r="J823" t="n">
        <v>0.4939</v>
      </c>
      <c r="K823" t="n">
        <v>0</v>
      </c>
      <c r="L823" t="n">
        <v>0.873</v>
      </c>
      <c r="M823" t="n">
        <v>0.127</v>
      </c>
    </row>
    <row r="824" spans="1:13">
      <c r="A824" s="1">
        <f>HYPERLINK("http://www.twitter.com/NathanBLawrence/status/996167497685483520", "996167497685483520")</f>
        <v/>
      </c>
      <c r="B824" s="2" t="n">
        <v>43234.97006944445</v>
      </c>
      <c r="C824" t="n">
        <v>0</v>
      </c>
      <c r="D824" t="n">
        <v>458</v>
      </c>
      <c r="E824" t="s">
        <v>835</v>
      </c>
      <c r="F824" t="s"/>
      <c r="G824" t="s"/>
      <c r="H824" t="s"/>
      <c r="I824" t="s"/>
      <c r="J824" t="n">
        <v>0.6705</v>
      </c>
      <c r="K824" t="n">
        <v>0.08500000000000001</v>
      </c>
      <c r="L824" t="n">
        <v>0.618</v>
      </c>
      <c r="M824" t="n">
        <v>0.297</v>
      </c>
    </row>
    <row r="825" spans="1:13">
      <c r="A825" s="1">
        <f>HYPERLINK("http://www.twitter.com/NathanBLawrence/status/996167450587676672", "996167450587676672")</f>
        <v/>
      </c>
      <c r="B825" s="2" t="n">
        <v>43234.96993055556</v>
      </c>
      <c r="C825" t="n">
        <v>8</v>
      </c>
      <c r="D825" t="n">
        <v>12</v>
      </c>
      <c r="E825" t="s">
        <v>836</v>
      </c>
      <c r="F825" t="s"/>
      <c r="G825" t="s"/>
      <c r="H825" t="s"/>
      <c r="I825" t="s"/>
      <c r="J825" t="n">
        <v>-0.34</v>
      </c>
      <c r="K825" t="n">
        <v>0.129</v>
      </c>
      <c r="L825" t="n">
        <v>0.801</v>
      </c>
      <c r="M825" t="n">
        <v>0.07000000000000001</v>
      </c>
    </row>
    <row r="826" spans="1:13">
      <c r="A826" s="1">
        <f>HYPERLINK("http://www.twitter.com/NathanBLawrence/status/996167351782395904", "996167351782395904")</f>
        <v/>
      </c>
      <c r="B826" s="2" t="n">
        <v>43234.96966435185</v>
      </c>
      <c r="C826" t="n">
        <v>0</v>
      </c>
      <c r="D826" t="n">
        <v>3477</v>
      </c>
      <c r="E826" t="s">
        <v>837</v>
      </c>
      <c r="F826" t="s"/>
      <c r="G826" t="s"/>
      <c r="H826" t="s"/>
      <c r="I826" t="s"/>
      <c r="J826" t="n">
        <v>0</v>
      </c>
      <c r="K826" t="n">
        <v>0</v>
      </c>
      <c r="L826" t="n">
        <v>1</v>
      </c>
      <c r="M826" t="n">
        <v>0</v>
      </c>
    </row>
    <row r="827" spans="1:13">
      <c r="A827" s="1">
        <f>HYPERLINK("http://www.twitter.com/NathanBLawrence/status/996166796167200768", "996166796167200768")</f>
        <v/>
      </c>
      <c r="B827" s="2" t="n">
        <v>43234.968125</v>
      </c>
      <c r="C827" t="n">
        <v>0</v>
      </c>
      <c r="D827" t="n">
        <v>5</v>
      </c>
      <c r="E827" t="s">
        <v>838</v>
      </c>
      <c r="F827" t="s"/>
      <c r="G827" t="s"/>
      <c r="H827" t="s"/>
      <c r="I827" t="s"/>
      <c r="J827" t="n">
        <v>0</v>
      </c>
      <c r="K827" t="n">
        <v>0</v>
      </c>
      <c r="L827" t="n">
        <v>1</v>
      </c>
      <c r="M827" t="n">
        <v>0</v>
      </c>
    </row>
    <row r="828" spans="1:13">
      <c r="A828" s="1">
        <f>HYPERLINK("http://www.twitter.com/NathanBLawrence/status/996166320214364160", "996166320214364160")</f>
        <v/>
      </c>
      <c r="B828" s="2" t="n">
        <v>43234.96681712963</v>
      </c>
      <c r="C828" t="n">
        <v>4</v>
      </c>
      <c r="D828" t="n">
        <v>3</v>
      </c>
      <c r="E828" t="s">
        <v>839</v>
      </c>
      <c r="F828" t="s"/>
      <c r="G828" t="s"/>
      <c r="H828" t="s"/>
      <c r="I828" t="s"/>
      <c r="J828" t="n">
        <v>-0.7027</v>
      </c>
      <c r="K828" t="n">
        <v>0.221</v>
      </c>
      <c r="L828" t="n">
        <v>0.779</v>
      </c>
      <c r="M828" t="n">
        <v>0</v>
      </c>
    </row>
    <row r="829" spans="1:13">
      <c r="A829" s="1">
        <f>HYPERLINK("http://www.twitter.com/NathanBLawrence/status/996166143252414464", "996166143252414464")</f>
        <v/>
      </c>
      <c r="B829" s="2" t="n">
        <v>43234.96633101852</v>
      </c>
      <c r="C829" t="n">
        <v>5</v>
      </c>
      <c r="D829" t="n">
        <v>2</v>
      </c>
      <c r="E829" t="s">
        <v>840</v>
      </c>
      <c r="F829" t="s"/>
      <c r="G829" t="s"/>
      <c r="H829" t="s"/>
      <c r="I829" t="s"/>
      <c r="J829" t="n">
        <v>-0.6486</v>
      </c>
      <c r="K829" t="n">
        <v>0.35</v>
      </c>
      <c r="L829" t="n">
        <v>0.65</v>
      </c>
      <c r="M829" t="n">
        <v>0</v>
      </c>
    </row>
    <row r="830" spans="1:13">
      <c r="A830" s="1">
        <f>HYPERLINK("http://www.twitter.com/NathanBLawrence/status/996165577889665024", "996165577889665024")</f>
        <v/>
      </c>
      <c r="B830" s="2" t="n">
        <v>43234.96476851852</v>
      </c>
      <c r="C830" t="n">
        <v>2</v>
      </c>
      <c r="D830" t="n">
        <v>0</v>
      </c>
      <c r="E830" t="s">
        <v>841</v>
      </c>
      <c r="F830" t="s"/>
      <c r="G830" t="s"/>
      <c r="H830" t="s"/>
      <c r="I830" t="s"/>
      <c r="J830" t="n">
        <v>-0.6705</v>
      </c>
      <c r="K830" t="n">
        <v>0.333</v>
      </c>
      <c r="L830" t="n">
        <v>0.667</v>
      </c>
      <c r="M830" t="n">
        <v>0</v>
      </c>
    </row>
    <row r="831" spans="1:13">
      <c r="A831" s="1">
        <f>HYPERLINK("http://www.twitter.com/NathanBLawrence/status/996165486390857728", "996165486390857728")</f>
        <v/>
      </c>
      <c r="B831" s="2" t="n">
        <v>43234.96451388889</v>
      </c>
      <c r="C831" t="n">
        <v>8</v>
      </c>
      <c r="D831" t="n">
        <v>5</v>
      </c>
      <c r="E831" t="s">
        <v>842</v>
      </c>
      <c r="F831" t="s"/>
      <c r="G831" t="s"/>
      <c r="H831" t="s"/>
      <c r="I831" t="s"/>
      <c r="J831" t="n">
        <v>0.3786</v>
      </c>
      <c r="K831" t="n">
        <v>0.105</v>
      </c>
      <c r="L831" t="n">
        <v>0.726</v>
      </c>
      <c r="M831" t="n">
        <v>0.169</v>
      </c>
    </row>
    <row r="832" spans="1:13">
      <c r="A832" s="1">
        <f>HYPERLINK("http://www.twitter.com/NathanBLawrence/status/996165220312563712", "996165220312563712")</f>
        <v/>
      </c>
      <c r="B832" s="2" t="n">
        <v>43234.96378472223</v>
      </c>
      <c r="C832" t="n">
        <v>3</v>
      </c>
      <c r="D832" t="n">
        <v>2</v>
      </c>
      <c r="E832" t="s">
        <v>843</v>
      </c>
      <c r="F832" t="s"/>
      <c r="G832" t="s"/>
      <c r="H832" t="s"/>
      <c r="I832" t="s"/>
      <c r="J832" t="n">
        <v>0</v>
      </c>
      <c r="K832" t="n">
        <v>0</v>
      </c>
      <c r="L832" t="n">
        <v>1</v>
      </c>
      <c r="M832" t="n">
        <v>0</v>
      </c>
    </row>
    <row r="833" spans="1:13">
      <c r="A833" s="1">
        <f>HYPERLINK("http://www.twitter.com/NathanBLawrence/status/996165092398911488", "996165092398911488")</f>
        <v/>
      </c>
      <c r="B833" s="2" t="n">
        <v>43234.96342592593</v>
      </c>
      <c r="C833" t="n">
        <v>5</v>
      </c>
      <c r="D833" t="n">
        <v>2</v>
      </c>
      <c r="E833" t="s">
        <v>844</v>
      </c>
      <c r="F833" t="s"/>
      <c r="G833" t="s"/>
      <c r="H833" t="s"/>
      <c r="I833" t="s"/>
      <c r="J833" t="n">
        <v>-0.296</v>
      </c>
      <c r="K833" t="n">
        <v>0.155</v>
      </c>
      <c r="L833" t="n">
        <v>0.845</v>
      </c>
      <c r="M833" t="n">
        <v>0</v>
      </c>
    </row>
    <row r="834" spans="1:13">
      <c r="A834" s="1">
        <f>HYPERLINK("http://www.twitter.com/NathanBLawrence/status/996165004213633024", "996165004213633024")</f>
        <v/>
      </c>
      <c r="B834" s="2" t="n">
        <v>43234.96318287037</v>
      </c>
      <c r="C834" t="n">
        <v>0</v>
      </c>
      <c r="D834" t="n">
        <v>329</v>
      </c>
      <c r="E834" t="s">
        <v>845</v>
      </c>
      <c r="F834" t="s"/>
      <c r="G834" t="s"/>
      <c r="H834" t="s"/>
      <c r="I834" t="s"/>
      <c r="J834" t="n">
        <v>0.5574</v>
      </c>
      <c r="K834" t="n">
        <v>0</v>
      </c>
      <c r="L834" t="n">
        <v>0.796</v>
      </c>
      <c r="M834" t="n">
        <v>0.204</v>
      </c>
    </row>
    <row r="835" spans="1:13">
      <c r="A835" s="1">
        <f>HYPERLINK("http://www.twitter.com/NathanBLawrence/status/996164927403376641", "996164927403376641")</f>
        <v/>
      </c>
      <c r="B835" s="2" t="n">
        <v>43234.96297453704</v>
      </c>
      <c r="C835" t="n">
        <v>0</v>
      </c>
      <c r="D835" t="n">
        <v>15</v>
      </c>
      <c r="E835" t="s">
        <v>846</v>
      </c>
      <c r="F835" t="s"/>
      <c r="G835" t="s"/>
      <c r="H835" t="s"/>
      <c r="I835" t="s"/>
      <c r="J835" t="n">
        <v>0.5106000000000001</v>
      </c>
      <c r="K835" t="n">
        <v>0</v>
      </c>
      <c r="L835" t="n">
        <v>0.852</v>
      </c>
      <c r="M835" t="n">
        <v>0.148</v>
      </c>
    </row>
    <row r="836" spans="1:13">
      <c r="A836" s="1">
        <f>HYPERLINK("http://www.twitter.com/NathanBLawrence/status/996164528638316544", "996164528638316544")</f>
        <v/>
      </c>
      <c r="B836" s="2" t="n">
        <v>43234.961875</v>
      </c>
      <c r="C836" t="n">
        <v>0</v>
      </c>
      <c r="D836" t="n">
        <v>14</v>
      </c>
      <c r="E836" t="s">
        <v>847</v>
      </c>
      <c r="F836">
        <f>HYPERLINK("http://pbs.twimg.com/media/DdMB8w2V4AAJOvA.jpg", "http://pbs.twimg.com/media/DdMB8w2V4AAJOvA.jpg")</f>
        <v/>
      </c>
      <c r="G836" t="s"/>
      <c r="H836" t="s"/>
      <c r="I836" t="s"/>
      <c r="J836" t="n">
        <v>0</v>
      </c>
      <c r="K836" t="n">
        <v>0</v>
      </c>
      <c r="L836" t="n">
        <v>1</v>
      </c>
      <c r="M836" t="n">
        <v>0</v>
      </c>
    </row>
    <row r="837" spans="1:13">
      <c r="A837" s="1">
        <f>HYPERLINK("http://www.twitter.com/NathanBLawrence/status/996164064790265856", "996164064790265856")</f>
        <v/>
      </c>
      <c r="B837" s="2" t="n">
        <v>43234.96059027778</v>
      </c>
      <c r="C837" t="n">
        <v>0</v>
      </c>
      <c r="D837" t="n">
        <v>593</v>
      </c>
      <c r="E837" t="s">
        <v>848</v>
      </c>
      <c r="F837" t="s"/>
      <c r="G837" t="s"/>
      <c r="H837" t="s"/>
      <c r="I837" t="s"/>
      <c r="J837" t="n">
        <v>0</v>
      </c>
      <c r="K837" t="n">
        <v>0</v>
      </c>
      <c r="L837" t="n">
        <v>1</v>
      </c>
      <c r="M837" t="n">
        <v>0</v>
      </c>
    </row>
    <row r="838" spans="1:13">
      <c r="A838" s="1">
        <f>HYPERLINK("http://www.twitter.com/NathanBLawrence/status/996163978161090560", "996163978161090560")</f>
        <v/>
      </c>
      <c r="B838" s="2" t="n">
        <v>43234.96034722222</v>
      </c>
      <c r="C838" t="n">
        <v>22</v>
      </c>
      <c r="D838" t="n">
        <v>14</v>
      </c>
      <c r="E838" t="s">
        <v>849</v>
      </c>
      <c r="F838" t="s"/>
      <c r="G838" t="s"/>
      <c r="H838" t="s"/>
      <c r="I838" t="s"/>
      <c r="J838" t="n">
        <v>0.5719</v>
      </c>
      <c r="K838" t="n">
        <v>0</v>
      </c>
      <c r="L838" t="n">
        <v>0.895</v>
      </c>
      <c r="M838" t="n">
        <v>0.105</v>
      </c>
    </row>
    <row r="839" spans="1:13">
      <c r="A839" s="1">
        <f>HYPERLINK("http://www.twitter.com/NathanBLawrence/status/996163495367331841", "996163495367331841")</f>
        <v/>
      </c>
      <c r="B839" s="2" t="n">
        <v>43234.95901620371</v>
      </c>
      <c r="C839" t="n">
        <v>0</v>
      </c>
      <c r="D839" t="n">
        <v>18</v>
      </c>
      <c r="E839" t="s">
        <v>850</v>
      </c>
      <c r="F839">
        <f>HYPERLINK("http://pbs.twimg.com/media/DdKgQCJV4AM_--M.jpg", "http://pbs.twimg.com/media/DdKgQCJV4AM_--M.jpg")</f>
        <v/>
      </c>
      <c r="G839" t="s"/>
      <c r="H839" t="s"/>
      <c r="I839" t="s"/>
      <c r="J839" t="n">
        <v>0</v>
      </c>
      <c r="K839" t="n">
        <v>0</v>
      </c>
      <c r="L839" t="n">
        <v>1</v>
      </c>
      <c r="M839" t="n">
        <v>0</v>
      </c>
    </row>
    <row r="840" spans="1:13">
      <c r="A840" s="1">
        <f>HYPERLINK("http://www.twitter.com/NathanBLawrence/status/996163416040484864", "996163416040484864")</f>
        <v/>
      </c>
      <c r="B840" s="2" t="n">
        <v>43234.9587962963</v>
      </c>
      <c r="C840" t="n">
        <v>0</v>
      </c>
      <c r="D840" t="n">
        <v>3</v>
      </c>
      <c r="E840" t="s">
        <v>851</v>
      </c>
      <c r="F840" t="s"/>
      <c r="G840" t="s"/>
      <c r="H840" t="s"/>
      <c r="I840" t="s"/>
      <c r="J840" t="n">
        <v>0.5669999999999999</v>
      </c>
      <c r="K840" t="n">
        <v>0</v>
      </c>
      <c r="L840" t="n">
        <v>0.825</v>
      </c>
      <c r="M840" t="n">
        <v>0.175</v>
      </c>
    </row>
    <row r="841" spans="1:13">
      <c r="A841" s="1">
        <f>HYPERLINK("http://www.twitter.com/NathanBLawrence/status/996163221319905280", "996163221319905280")</f>
        <v/>
      </c>
      <c r="B841" s="2" t="n">
        <v>43234.95826388889</v>
      </c>
      <c r="C841" t="n">
        <v>5</v>
      </c>
      <c r="D841" t="n">
        <v>5</v>
      </c>
      <c r="E841" t="s">
        <v>852</v>
      </c>
      <c r="F841" t="s"/>
      <c r="G841" t="s"/>
      <c r="H841" t="s"/>
      <c r="I841" t="s"/>
      <c r="J841" t="n">
        <v>0.4389</v>
      </c>
      <c r="K841" t="n">
        <v>0.134</v>
      </c>
      <c r="L841" t="n">
        <v>0.656</v>
      </c>
      <c r="M841" t="n">
        <v>0.21</v>
      </c>
    </row>
    <row r="842" spans="1:13">
      <c r="A842" s="1">
        <f>HYPERLINK("http://www.twitter.com/NathanBLawrence/status/996162762249195520", "996162762249195520")</f>
        <v/>
      </c>
      <c r="B842" s="2" t="n">
        <v>43234.95699074074</v>
      </c>
      <c r="C842" t="n">
        <v>0</v>
      </c>
      <c r="D842" t="n">
        <v>11</v>
      </c>
      <c r="E842" t="s">
        <v>853</v>
      </c>
      <c r="F842">
        <f>HYPERLINK("http://pbs.twimg.com/media/DdLJn6fXUAAaA4X.jpg", "http://pbs.twimg.com/media/DdLJn6fXUAAaA4X.jpg")</f>
        <v/>
      </c>
      <c r="G842" t="s"/>
      <c r="H842" t="s"/>
      <c r="I842" t="s"/>
      <c r="J842" t="n">
        <v>0</v>
      </c>
      <c r="K842" t="n">
        <v>0</v>
      </c>
      <c r="L842" t="n">
        <v>1</v>
      </c>
      <c r="M842" t="n">
        <v>0</v>
      </c>
    </row>
    <row r="843" spans="1:13">
      <c r="A843" s="1">
        <f>HYPERLINK("http://www.twitter.com/NathanBLawrence/status/996162484854652928", "996162484854652928")</f>
        <v/>
      </c>
      <c r="B843" s="2" t="n">
        <v>43234.95622685185</v>
      </c>
      <c r="C843" t="n">
        <v>15</v>
      </c>
      <c r="D843" t="n">
        <v>10</v>
      </c>
      <c r="E843" t="s">
        <v>854</v>
      </c>
      <c r="F843" t="s"/>
      <c r="G843" t="s"/>
      <c r="H843" t="s"/>
      <c r="I843" t="s"/>
      <c r="J843" t="n">
        <v>0</v>
      </c>
      <c r="K843" t="n">
        <v>0</v>
      </c>
      <c r="L843" t="n">
        <v>1</v>
      </c>
      <c r="M843" t="n">
        <v>0</v>
      </c>
    </row>
    <row r="844" spans="1:13">
      <c r="A844" s="1">
        <f>HYPERLINK("http://www.twitter.com/NathanBLawrence/status/996162082801205248", "996162082801205248")</f>
        <v/>
      </c>
      <c r="B844" s="2" t="n">
        <v>43234.95511574074</v>
      </c>
      <c r="C844" t="n">
        <v>3</v>
      </c>
      <c r="D844" t="n">
        <v>3</v>
      </c>
      <c r="E844" t="s">
        <v>855</v>
      </c>
      <c r="F844" t="s"/>
      <c r="G844" t="s"/>
      <c r="H844" t="s"/>
      <c r="I844" t="s"/>
      <c r="J844" t="n">
        <v>0.4389</v>
      </c>
      <c r="K844" t="n">
        <v>0.124</v>
      </c>
      <c r="L844" t="n">
        <v>0.681</v>
      </c>
      <c r="M844" t="n">
        <v>0.194</v>
      </c>
    </row>
    <row r="845" spans="1:13">
      <c r="A845" s="1">
        <f>HYPERLINK("http://www.twitter.com/NathanBLawrence/status/996161510647914496", "996161510647914496")</f>
        <v/>
      </c>
      <c r="B845" s="2" t="n">
        <v>43234.95354166667</v>
      </c>
      <c r="C845" t="n">
        <v>6</v>
      </c>
      <c r="D845" t="n">
        <v>8</v>
      </c>
      <c r="E845" t="s">
        <v>856</v>
      </c>
      <c r="F845" t="s"/>
      <c r="G845" t="s"/>
      <c r="H845" t="s"/>
      <c r="I845" t="s"/>
      <c r="J845" t="n">
        <v>-0.9371</v>
      </c>
      <c r="K845" t="n">
        <v>0.407</v>
      </c>
      <c r="L845" t="n">
        <v>0.593</v>
      </c>
      <c r="M845" t="n">
        <v>0</v>
      </c>
    </row>
    <row r="846" spans="1:13">
      <c r="A846" s="1">
        <f>HYPERLINK("http://www.twitter.com/NathanBLawrence/status/996160943124959233", "996160943124959233")</f>
        <v/>
      </c>
      <c r="B846" s="2" t="n">
        <v>43234.95197916667</v>
      </c>
      <c r="C846" t="n">
        <v>6</v>
      </c>
      <c r="D846" t="n">
        <v>1</v>
      </c>
      <c r="E846" t="s">
        <v>857</v>
      </c>
      <c r="F846" t="s"/>
      <c r="G846" t="s"/>
      <c r="H846" t="s"/>
      <c r="I846" t="s"/>
      <c r="J846" t="n">
        <v>-0.4053</v>
      </c>
      <c r="K846" t="n">
        <v>0.199</v>
      </c>
      <c r="L846" t="n">
        <v>0.695</v>
      </c>
      <c r="M846" t="n">
        <v>0.107</v>
      </c>
    </row>
    <row r="847" spans="1:13">
      <c r="A847" s="1">
        <f>HYPERLINK("http://www.twitter.com/NathanBLawrence/status/996160725616738304", "996160725616738304")</f>
        <v/>
      </c>
      <c r="B847" s="2" t="n">
        <v>43234.95137731481</v>
      </c>
      <c r="C847" t="n">
        <v>0</v>
      </c>
      <c r="D847" t="n">
        <v>2846</v>
      </c>
      <c r="E847" t="s">
        <v>858</v>
      </c>
      <c r="F847" t="s"/>
      <c r="G847" t="s"/>
      <c r="H847" t="s"/>
      <c r="I847" t="s"/>
      <c r="J847" t="n">
        <v>-0.4753</v>
      </c>
      <c r="K847" t="n">
        <v>0.194</v>
      </c>
      <c r="L847" t="n">
        <v>0.705</v>
      </c>
      <c r="M847" t="n">
        <v>0.101</v>
      </c>
    </row>
    <row r="848" spans="1:13">
      <c r="A848" s="1">
        <f>HYPERLINK("http://www.twitter.com/NathanBLawrence/status/996160650727469056", "996160650727469056")</f>
        <v/>
      </c>
      <c r="B848" s="2" t="n">
        <v>43234.95116898148</v>
      </c>
      <c r="C848" t="n">
        <v>0</v>
      </c>
      <c r="D848" t="n">
        <v>26555</v>
      </c>
      <c r="E848" t="s">
        <v>859</v>
      </c>
      <c r="F848" t="s"/>
      <c r="G848" t="s"/>
      <c r="H848" t="s"/>
      <c r="I848" t="s"/>
      <c r="J848" t="n">
        <v>-0.4767</v>
      </c>
      <c r="K848" t="n">
        <v>0.119</v>
      </c>
      <c r="L848" t="n">
        <v>0.881</v>
      </c>
      <c r="M848" t="n">
        <v>0</v>
      </c>
    </row>
    <row r="849" spans="1:13">
      <c r="A849" s="1">
        <f>HYPERLINK("http://www.twitter.com/NathanBLawrence/status/996144513159593984", "996144513159593984")</f>
        <v/>
      </c>
      <c r="B849" s="2" t="n">
        <v>43234.90664351852</v>
      </c>
      <c r="C849" t="n">
        <v>6</v>
      </c>
      <c r="D849" t="n">
        <v>3</v>
      </c>
      <c r="E849" t="s">
        <v>860</v>
      </c>
      <c r="F849" t="s"/>
      <c r="G849" t="s"/>
      <c r="H849" t="s"/>
      <c r="I849" t="s"/>
      <c r="J849" t="n">
        <v>0</v>
      </c>
      <c r="K849" t="n">
        <v>0</v>
      </c>
      <c r="L849" t="n">
        <v>1</v>
      </c>
      <c r="M849" t="n">
        <v>0</v>
      </c>
    </row>
    <row r="850" spans="1:13">
      <c r="A850" s="1">
        <f>HYPERLINK("http://www.twitter.com/NathanBLawrence/status/996144051366723584", "996144051366723584")</f>
        <v/>
      </c>
      <c r="B850" s="2" t="n">
        <v>43234.9053587963</v>
      </c>
      <c r="C850" t="n">
        <v>5</v>
      </c>
      <c r="D850" t="n">
        <v>2</v>
      </c>
      <c r="E850" t="s">
        <v>861</v>
      </c>
      <c r="F850" t="s"/>
      <c r="G850" t="s"/>
      <c r="H850" t="s"/>
      <c r="I850" t="s"/>
      <c r="J850" t="n">
        <v>-0.4374</v>
      </c>
      <c r="K850" t="n">
        <v>0.171</v>
      </c>
      <c r="L850" t="n">
        <v>0.829</v>
      </c>
      <c r="M850" t="n">
        <v>0</v>
      </c>
    </row>
    <row r="851" spans="1:13">
      <c r="A851" s="1">
        <f>HYPERLINK("http://www.twitter.com/NathanBLawrence/status/996086465791602688", "996086465791602688")</f>
        <v/>
      </c>
      <c r="B851" s="2" t="n">
        <v>43234.74645833333</v>
      </c>
      <c r="C851" t="n">
        <v>4</v>
      </c>
      <c r="D851" t="n">
        <v>7</v>
      </c>
      <c r="E851" t="s">
        <v>862</v>
      </c>
      <c r="F851" t="s"/>
      <c r="G851" t="s"/>
      <c r="H851" t="s"/>
      <c r="I851" t="s"/>
      <c r="J851" t="n">
        <v>0.4879</v>
      </c>
      <c r="K851" t="n">
        <v>0</v>
      </c>
      <c r="L851" t="n">
        <v>0.6889999999999999</v>
      </c>
      <c r="M851" t="n">
        <v>0.311</v>
      </c>
    </row>
    <row r="852" spans="1:13">
      <c r="A852" s="1">
        <f>HYPERLINK("http://www.twitter.com/NathanBLawrence/status/996086112912207872", "996086112912207872")</f>
        <v/>
      </c>
      <c r="B852" s="2" t="n">
        <v>43234.74548611111</v>
      </c>
      <c r="C852" t="n">
        <v>6</v>
      </c>
      <c r="D852" t="n">
        <v>6</v>
      </c>
      <c r="E852" t="s">
        <v>863</v>
      </c>
      <c r="F852" t="s"/>
      <c r="G852" t="s"/>
      <c r="H852" t="s"/>
      <c r="I852" t="s"/>
      <c r="J852" t="n">
        <v>-0.6739000000000001</v>
      </c>
      <c r="K852" t="n">
        <v>0.316</v>
      </c>
      <c r="L852" t="n">
        <v>0.6840000000000001</v>
      </c>
      <c r="M852" t="n">
        <v>0</v>
      </c>
    </row>
    <row r="853" spans="1:13">
      <c r="A853" s="1">
        <f>HYPERLINK("http://www.twitter.com/NathanBLawrence/status/996085899271159809", "996085899271159809")</f>
        <v/>
      </c>
      <c r="B853" s="2" t="n">
        <v>43234.74489583333</v>
      </c>
      <c r="C853" t="n">
        <v>14</v>
      </c>
      <c r="D853" t="n">
        <v>9</v>
      </c>
      <c r="E853" t="s">
        <v>864</v>
      </c>
      <c r="F853" t="s"/>
      <c r="G853" t="s"/>
      <c r="H853" t="s"/>
      <c r="I853" t="s"/>
      <c r="J853" t="n">
        <v>0.4753</v>
      </c>
      <c r="K853" t="n">
        <v>0</v>
      </c>
      <c r="L853" t="n">
        <v>0.829</v>
      </c>
      <c r="M853" t="n">
        <v>0.171</v>
      </c>
    </row>
    <row r="854" spans="1:13">
      <c r="A854" s="1">
        <f>HYPERLINK("http://www.twitter.com/NathanBLawrence/status/996057734997983233", "996057734997983233")</f>
        <v/>
      </c>
      <c r="B854" s="2" t="n">
        <v>43234.66717592593</v>
      </c>
      <c r="C854" t="n">
        <v>5</v>
      </c>
      <c r="D854" t="n">
        <v>0</v>
      </c>
      <c r="E854" t="s">
        <v>865</v>
      </c>
      <c r="F854" t="s"/>
      <c r="G854" t="s"/>
      <c r="H854" t="s"/>
      <c r="I854" t="s"/>
      <c r="J854" t="n">
        <v>-0.2942</v>
      </c>
      <c r="K854" t="n">
        <v>0.224</v>
      </c>
      <c r="L854" t="n">
        <v>0.612</v>
      </c>
      <c r="M854" t="n">
        <v>0.163</v>
      </c>
    </row>
    <row r="855" spans="1:13">
      <c r="A855" s="1">
        <f>HYPERLINK("http://www.twitter.com/NathanBLawrence/status/996057183165939712", "996057183165939712")</f>
        <v/>
      </c>
      <c r="B855" s="2" t="n">
        <v>43234.66564814815</v>
      </c>
      <c r="C855" t="n">
        <v>5</v>
      </c>
      <c r="D855" t="n">
        <v>5</v>
      </c>
      <c r="E855" t="s">
        <v>866</v>
      </c>
      <c r="F855" t="s"/>
      <c r="G855" t="s"/>
      <c r="H855" t="s"/>
      <c r="I855" t="s"/>
      <c r="J855" t="n">
        <v>0.4003</v>
      </c>
      <c r="K855" t="n">
        <v>0</v>
      </c>
      <c r="L855" t="n">
        <v>0.788</v>
      </c>
      <c r="M855" t="n">
        <v>0.212</v>
      </c>
    </row>
    <row r="856" spans="1:13">
      <c r="A856" s="1">
        <f>HYPERLINK("http://www.twitter.com/NathanBLawrence/status/996056924863938561", "996056924863938561")</f>
        <v/>
      </c>
      <c r="B856" s="2" t="n">
        <v>43234.66494212963</v>
      </c>
      <c r="C856" t="n">
        <v>36</v>
      </c>
      <c r="D856" t="n">
        <v>18</v>
      </c>
      <c r="E856" t="s">
        <v>867</v>
      </c>
      <c r="F856" t="s"/>
      <c r="G856" t="s"/>
      <c r="H856" t="s"/>
      <c r="I856" t="s"/>
      <c r="J856" t="n">
        <v>0.9316</v>
      </c>
      <c r="K856" t="n">
        <v>0</v>
      </c>
      <c r="L856" t="n">
        <v>0.773</v>
      </c>
      <c r="M856" t="n">
        <v>0.227</v>
      </c>
    </row>
    <row r="857" spans="1:13">
      <c r="A857" s="1">
        <f>HYPERLINK("http://www.twitter.com/NathanBLawrence/status/996056488165523457", "996056488165523457")</f>
        <v/>
      </c>
      <c r="B857" s="2" t="n">
        <v>43234.66373842592</v>
      </c>
      <c r="C857" t="n">
        <v>17</v>
      </c>
      <c r="D857" t="n">
        <v>5</v>
      </c>
      <c r="E857" t="s">
        <v>868</v>
      </c>
      <c r="F857" t="s"/>
      <c r="G857" t="s"/>
      <c r="H857" t="s"/>
      <c r="I857" t="s"/>
      <c r="J857" t="n">
        <v>0.7184</v>
      </c>
      <c r="K857" t="n">
        <v>0</v>
      </c>
      <c r="L857" t="n">
        <v>0.878</v>
      </c>
      <c r="M857" t="n">
        <v>0.122</v>
      </c>
    </row>
    <row r="858" spans="1:13">
      <c r="A858" s="1">
        <f>HYPERLINK("http://www.twitter.com/NathanBLawrence/status/995798762801971200", "995798762801971200")</f>
        <v/>
      </c>
      <c r="B858" s="2" t="n">
        <v>43233.9525462963</v>
      </c>
      <c r="C858" t="n">
        <v>10</v>
      </c>
      <c r="D858" t="n">
        <v>1</v>
      </c>
      <c r="E858" t="s">
        <v>869</v>
      </c>
      <c r="F858" t="s"/>
      <c r="G858" t="s"/>
      <c r="H858" t="s"/>
      <c r="I858" t="s"/>
      <c r="J858" t="n">
        <v>0.2732</v>
      </c>
      <c r="K858" t="n">
        <v>0</v>
      </c>
      <c r="L858" t="n">
        <v>0.769</v>
      </c>
      <c r="M858" t="n">
        <v>0.231</v>
      </c>
    </row>
    <row r="859" spans="1:13">
      <c r="A859" s="1">
        <f>HYPERLINK("http://www.twitter.com/NathanBLawrence/status/995797560886362112", "995797560886362112")</f>
        <v/>
      </c>
      <c r="B859" s="2" t="n">
        <v>43233.94923611111</v>
      </c>
      <c r="C859" t="n">
        <v>8</v>
      </c>
      <c r="D859" t="n">
        <v>4</v>
      </c>
      <c r="E859" t="s">
        <v>870</v>
      </c>
      <c r="F859" t="s"/>
      <c r="G859" t="s"/>
      <c r="H859" t="s"/>
      <c r="I859" t="s"/>
      <c r="J859" t="n">
        <v>0</v>
      </c>
      <c r="K859" t="n">
        <v>0</v>
      </c>
      <c r="L859" t="n">
        <v>1</v>
      </c>
      <c r="M859" t="n">
        <v>0</v>
      </c>
    </row>
    <row r="860" spans="1:13">
      <c r="A860" s="1">
        <f>HYPERLINK("http://www.twitter.com/NathanBLawrence/status/995797365360488448", "995797365360488448")</f>
        <v/>
      </c>
      <c r="B860" s="2" t="n">
        <v>43233.94869212963</v>
      </c>
      <c r="C860" t="n">
        <v>0</v>
      </c>
      <c r="D860" t="n">
        <v>142</v>
      </c>
      <c r="E860" t="s">
        <v>871</v>
      </c>
      <c r="F860">
        <f>HYPERLINK("https://video.twimg.com/amplify_video/995661187336503296/vid/1280x720/y9jNl8ZUoleRwv0w.mp4?tag=2", "https://video.twimg.com/amplify_video/995661187336503296/vid/1280x720/y9jNl8ZUoleRwv0w.mp4?tag=2")</f>
        <v/>
      </c>
      <c r="G860" t="s"/>
      <c r="H860" t="s"/>
      <c r="I860" t="s"/>
      <c r="J860" t="n">
        <v>0.6597</v>
      </c>
      <c r="K860" t="n">
        <v>0</v>
      </c>
      <c r="L860" t="n">
        <v>0.795</v>
      </c>
      <c r="M860" t="n">
        <v>0.205</v>
      </c>
    </row>
    <row r="861" spans="1:13">
      <c r="A861" s="1">
        <f>HYPERLINK("http://www.twitter.com/NathanBLawrence/status/995796564550414336", "995796564550414336")</f>
        <v/>
      </c>
      <c r="B861" s="2" t="n">
        <v>43233.94648148148</v>
      </c>
      <c r="C861" t="n">
        <v>3</v>
      </c>
      <c r="D861" t="n">
        <v>1</v>
      </c>
      <c r="E861" t="s">
        <v>872</v>
      </c>
      <c r="F861" t="s"/>
      <c r="G861" t="s"/>
      <c r="H861" t="s"/>
      <c r="I861" t="s"/>
      <c r="J861" t="n">
        <v>-0.8038</v>
      </c>
      <c r="K861" t="n">
        <v>0.298</v>
      </c>
      <c r="L861" t="n">
        <v>0.702</v>
      </c>
      <c r="M861" t="n">
        <v>0</v>
      </c>
    </row>
    <row r="862" spans="1:13">
      <c r="A862" s="1">
        <f>HYPERLINK("http://www.twitter.com/NathanBLawrence/status/995796024030511104", "995796024030511104")</f>
        <v/>
      </c>
      <c r="B862" s="2" t="n">
        <v>43233.94498842592</v>
      </c>
      <c r="C862" t="n">
        <v>19</v>
      </c>
      <c r="D862" t="n">
        <v>7</v>
      </c>
      <c r="E862" t="s">
        <v>873</v>
      </c>
      <c r="F862" t="s"/>
      <c r="G862" t="s"/>
      <c r="H862" t="s"/>
      <c r="I862" t="s"/>
      <c r="J862" t="n">
        <v>0.6369</v>
      </c>
      <c r="K862" t="n">
        <v>0.115</v>
      </c>
      <c r="L862" t="n">
        <v>0.6899999999999999</v>
      </c>
      <c r="M862" t="n">
        <v>0.195</v>
      </c>
    </row>
    <row r="863" spans="1:13">
      <c r="A863" s="1">
        <f>HYPERLINK("http://www.twitter.com/NathanBLawrence/status/995794660357373952", "995794660357373952")</f>
        <v/>
      </c>
      <c r="B863" s="2" t="n">
        <v>43233.94122685185</v>
      </c>
      <c r="C863" t="n">
        <v>45</v>
      </c>
      <c r="D863" t="n">
        <v>13</v>
      </c>
      <c r="E863" t="s">
        <v>874</v>
      </c>
      <c r="F863" t="s"/>
      <c r="G863" t="s"/>
      <c r="H863" t="s"/>
      <c r="I863" t="s"/>
      <c r="J863" t="n">
        <v>-0.5106000000000001</v>
      </c>
      <c r="K863" t="n">
        <v>0.15</v>
      </c>
      <c r="L863" t="n">
        <v>0.795</v>
      </c>
      <c r="M863" t="n">
        <v>0.055</v>
      </c>
    </row>
    <row r="864" spans="1:13">
      <c r="A864" s="1">
        <f>HYPERLINK("http://www.twitter.com/NathanBLawrence/status/995794308102959106", "995794308102959106")</f>
        <v/>
      </c>
      <c r="B864" s="2" t="n">
        <v>43233.94025462963</v>
      </c>
      <c r="C864" t="n">
        <v>12</v>
      </c>
      <c r="D864" t="n">
        <v>9</v>
      </c>
      <c r="E864" t="s">
        <v>875</v>
      </c>
      <c r="F864" t="s"/>
      <c r="G864" t="s"/>
      <c r="H864" t="s"/>
      <c r="I864" t="s"/>
      <c r="J864" t="n">
        <v>-0.34</v>
      </c>
      <c r="K864" t="n">
        <v>0.126</v>
      </c>
      <c r="L864" t="n">
        <v>0.806</v>
      </c>
      <c r="M864" t="n">
        <v>0.06900000000000001</v>
      </c>
    </row>
    <row r="865" spans="1:13">
      <c r="A865" s="1">
        <f>HYPERLINK("http://www.twitter.com/NathanBLawrence/status/995794105039929344", "995794105039929344")</f>
        <v/>
      </c>
      <c r="B865" s="2" t="n">
        <v>43233.93969907407</v>
      </c>
      <c r="C865" t="n">
        <v>21</v>
      </c>
      <c r="D865" t="n">
        <v>8</v>
      </c>
      <c r="E865" t="s">
        <v>876</v>
      </c>
      <c r="F865" t="s"/>
      <c r="G865" t="s"/>
      <c r="H865" t="s"/>
      <c r="I865" t="s"/>
      <c r="J865" t="n">
        <v>0</v>
      </c>
      <c r="K865" t="n">
        <v>0</v>
      </c>
      <c r="L865" t="n">
        <v>1</v>
      </c>
      <c r="M865" t="n">
        <v>0</v>
      </c>
    </row>
    <row r="866" spans="1:13">
      <c r="A866" s="1">
        <f>HYPERLINK("http://www.twitter.com/NathanBLawrence/status/995793924991074304", "995793924991074304")</f>
        <v/>
      </c>
      <c r="B866" s="2" t="n">
        <v>43233.93920138889</v>
      </c>
      <c r="C866" t="n">
        <v>11</v>
      </c>
      <c r="D866" t="n">
        <v>3</v>
      </c>
      <c r="E866" t="s">
        <v>877</v>
      </c>
      <c r="F866" t="s"/>
      <c r="G866" t="s"/>
      <c r="H866" t="s"/>
      <c r="I866" t="s"/>
      <c r="J866" t="n">
        <v>-0.1901</v>
      </c>
      <c r="K866" t="n">
        <v>0.115</v>
      </c>
      <c r="L866" t="n">
        <v>0.82</v>
      </c>
      <c r="M866" t="n">
        <v>0.065</v>
      </c>
    </row>
    <row r="867" spans="1:13">
      <c r="A867" s="1">
        <f>HYPERLINK("http://www.twitter.com/NathanBLawrence/status/995793577073508352", "995793577073508352")</f>
        <v/>
      </c>
      <c r="B867" s="2" t="n">
        <v>43233.93824074074</v>
      </c>
      <c r="C867" t="n">
        <v>6</v>
      </c>
      <c r="D867" t="n">
        <v>2</v>
      </c>
      <c r="E867" t="s">
        <v>878</v>
      </c>
      <c r="F867" t="s"/>
      <c r="G867" t="s"/>
      <c r="H867" t="s"/>
      <c r="I867" t="s"/>
      <c r="J867" t="n">
        <v>-0.1779</v>
      </c>
      <c r="K867" t="n">
        <v>0.296</v>
      </c>
      <c r="L867" t="n">
        <v>0.503</v>
      </c>
      <c r="M867" t="n">
        <v>0.201</v>
      </c>
    </row>
    <row r="868" spans="1:13">
      <c r="A868" s="1">
        <f>HYPERLINK("http://www.twitter.com/NathanBLawrence/status/995793457728831488", "995793457728831488")</f>
        <v/>
      </c>
      <c r="B868" s="2" t="n">
        <v>43233.93790509259</v>
      </c>
      <c r="C868" t="n">
        <v>5</v>
      </c>
      <c r="D868" t="n">
        <v>1</v>
      </c>
      <c r="E868" t="s">
        <v>879</v>
      </c>
      <c r="F868" t="s"/>
      <c r="G868" t="s"/>
      <c r="H868" t="s"/>
      <c r="I868" t="s"/>
      <c r="J868" t="n">
        <v>-0.5106000000000001</v>
      </c>
      <c r="K868" t="n">
        <v>0.216</v>
      </c>
      <c r="L868" t="n">
        <v>0.784</v>
      </c>
      <c r="M868" t="n">
        <v>0</v>
      </c>
    </row>
    <row r="869" spans="1:13">
      <c r="A869" s="1">
        <f>HYPERLINK("http://www.twitter.com/NathanBLawrence/status/995793420432982016", "995793420432982016")</f>
        <v/>
      </c>
      <c r="B869" s="2" t="n">
        <v>43233.9378125</v>
      </c>
      <c r="C869" t="n">
        <v>12</v>
      </c>
      <c r="D869" t="n">
        <v>6</v>
      </c>
      <c r="E869" t="s">
        <v>880</v>
      </c>
      <c r="F869" t="s"/>
      <c r="G869" t="s"/>
      <c r="H869" t="s"/>
      <c r="I869" t="s"/>
      <c r="J869" t="n">
        <v>-0.3254</v>
      </c>
      <c r="K869" t="n">
        <v>0.101</v>
      </c>
      <c r="L869" t="n">
        <v>0.845</v>
      </c>
      <c r="M869" t="n">
        <v>0.054</v>
      </c>
    </row>
    <row r="870" spans="1:13">
      <c r="A870" s="1">
        <f>HYPERLINK("http://www.twitter.com/NathanBLawrence/status/995792069401632768", "995792069401632768")</f>
        <v/>
      </c>
      <c r="B870" s="2" t="n">
        <v>43233.93407407407</v>
      </c>
      <c r="C870" t="n">
        <v>7</v>
      </c>
      <c r="D870" t="n">
        <v>4</v>
      </c>
      <c r="E870" t="s">
        <v>881</v>
      </c>
      <c r="F870" t="s"/>
      <c r="G870" t="s"/>
      <c r="H870" t="s"/>
      <c r="I870" t="s"/>
      <c r="J870" t="n">
        <v>-0.6996</v>
      </c>
      <c r="K870" t="n">
        <v>0.293</v>
      </c>
      <c r="L870" t="n">
        <v>0.707</v>
      </c>
      <c r="M870" t="n">
        <v>0</v>
      </c>
    </row>
    <row r="871" spans="1:13">
      <c r="A871" s="1">
        <f>HYPERLINK("http://www.twitter.com/NathanBLawrence/status/995791606186893312", "995791606186893312")</f>
        <v/>
      </c>
      <c r="B871" s="2" t="n">
        <v>43233.93280092593</v>
      </c>
      <c r="C871" t="n">
        <v>5</v>
      </c>
      <c r="D871" t="n">
        <v>5</v>
      </c>
      <c r="E871" t="s">
        <v>882</v>
      </c>
      <c r="F871" t="s"/>
      <c r="G871" t="s"/>
      <c r="H871" t="s"/>
      <c r="I871" t="s"/>
      <c r="J871" t="n">
        <v>-0.8038</v>
      </c>
      <c r="K871" t="n">
        <v>0.276</v>
      </c>
      <c r="L871" t="n">
        <v>0.724</v>
      </c>
      <c r="M871" t="n">
        <v>0</v>
      </c>
    </row>
    <row r="872" spans="1:13">
      <c r="A872" s="1">
        <f>HYPERLINK("http://www.twitter.com/NathanBLawrence/status/995791153474633729", "995791153474633729")</f>
        <v/>
      </c>
      <c r="B872" s="2" t="n">
        <v>43233.93155092592</v>
      </c>
      <c r="C872" t="n">
        <v>6</v>
      </c>
      <c r="D872" t="n">
        <v>2</v>
      </c>
      <c r="E872" t="s">
        <v>883</v>
      </c>
      <c r="F872" t="s"/>
      <c r="G872" t="s"/>
      <c r="H872" t="s"/>
      <c r="I872" t="s"/>
      <c r="J872" t="n">
        <v>0</v>
      </c>
      <c r="K872" t="n">
        <v>0</v>
      </c>
      <c r="L872" t="n">
        <v>1</v>
      </c>
      <c r="M872" t="n">
        <v>0</v>
      </c>
    </row>
    <row r="873" spans="1:13">
      <c r="A873" s="1">
        <f>HYPERLINK("http://www.twitter.com/NathanBLawrence/status/995790267239227392", "995790267239227392")</f>
        <v/>
      </c>
      <c r="B873" s="2" t="n">
        <v>43233.9291087963</v>
      </c>
      <c r="C873" t="n">
        <v>1</v>
      </c>
      <c r="D873" t="n">
        <v>2</v>
      </c>
      <c r="E873" t="s">
        <v>884</v>
      </c>
      <c r="F873" t="s"/>
      <c r="G873" t="s"/>
      <c r="H873" t="s"/>
      <c r="I873" t="s"/>
      <c r="J873" t="n">
        <v>-0.7351</v>
      </c>
      <c r="K873" t="n">
        <v>0.341</v>
      </c>
      <c r="L873" t="n">
        <v>0.659</v>
      </c>
      <c r="M873" t="n">
        <v>0</v>
      </c>
    </row>
    <row r="874" spans="1:13">
      <c r="A874" s="1">
        <f>HYPERLINK("http://www.twitter.com/NathanBLawrence/status/995790033666826241", "995790033666826241")</f>
        <v/>
      </c>
      <c r="B874" s="2" t="n">
        <v>43233.92846064815</v>
      </c>
      <c r="C874" t="n">
        <v>2</v>
      </c>
      <c r="D874" t="n">
        <v>3</v>
      </c>
      <c r="E874" t="s">
        <v>885</v>
      </c>
      <c r="F874" t="s"/>
      <c r="G874" t="s"/>
      <c r="H874" t="s"/>
      <c r="I874" t="s"/>
      <c r="J874" t="n">
        <v>0</v>
      </c>
      <c r="K874" t="n">
        <v>0</v>
      </c>
      <c r="L874" t="n">
        <v>1</v>
      </c>
      <c r="M874" t="n">
        <v>0</v>
      </c>
    </row>
    <row r="875" spans="1:13">
      <c r="A875" s="1">
        <f>HYPERLINK("http://www.twitter.com/NathanBLawrence/status/995789877290483712", "995789877290483712")</f>
        <v/>
      </c>
      <c r="B875" s="2" t="n">
        <v>43233.92803240741</v>
      </c>
      <c r="C875" t="n">
        <v>0</v>
      </c>
      <c r="D875" t="n">
        <v>6</v>
      </c>
      <c r="E875" t="s">
        <v>886</v>
      </c>
      <c r="F875" t="s"/>
      <c r="G875" t="s"/>
      <c r="H875" t="s"/>
      <c r="I875" t="s"/>
      <c r="J875" t="n">
        <v>0</v>
      </c>
      <c r="K875" t="n">
        <v>0</v>
      </c>
      <c r="L875" t="n">
        <v>1</v>
      </c>
      <c r="M875" t="n">
        <v>0</v>
      </c>
    </row>
    <row r="876" spans="1:13">
      <c r="A876" s="1">
        <f>HYPERLINK("http://www.twitter.com/NathanBLawrence/status/995789605633847296", "995789605633847296")</f>
        <v/>
      </c>
      <c r="B876" s="2" t="n">
        <v>43233.92728009259</v>
      </c>
      <c r="C876" t="n">
        <v>0</v>
      </c>
      <c r="D876" t="n">
        <v>64</v>
      </c>
      <c r="E876" t="s">
        <v>887</v>
      </c>
      <c r="F876" t="s"/>
      <c r="G876" t="s"/>
      <c r="H876" t="s"/>
      <c r="I876" t="s"/>
      <c r="J876" t="n">
        <v>0.4019</v>
      </c>
      <c r="K876" t="n">
        <v>0</v>
      </c>
      <c r="L876" t="n">
        <v>0.856</v>
      </c>
      <c r="M876" t="n">
        <v>0.144</v>
      </c>
    </row>
    <row r="877" spans="1:13">
      <c r="A877" s="1">
        <f>HYPERLINK("http://www.twitter.com/NathanBLawrence/status/995789426033704961", "995789426033704961")</f>
        <v/>
      </c>
      <c r="B877" s="2" t="n">
        <v>43233.9267824074</v>
      </c>
      <c r="C877" t="n">
        <v>3</v>
      </c>
      <c r="D877" t="n">
        <v>3</v>
      </c>
      <c r="E877" t="s">
        <v>888</v>
      </c>
      <c r="F877" t="s"/>
      <c r="G877" t="s"/>
      <c r="H877" t="s"/>
      <c r="I877" t="s"/>
      <c r="J877" t="n">
        <v>0</v>
      </c>
      <c r="K877" t="n">
        <v>0</v>
      </c>
      <c r="L877" t="n">
        <v>1</v>
      </c>
      <c r="M877" t="n">
        <v>0</v>
      </c>
    </row>
    <row r="878" spans="1:13">
      <c r="A878" s="1">
        <f>HYPERLINK("http://www.twitter.com/NathanBLawrence/status/995789290138316800", "995789290138316800")</f>
        <v/>
      </c>
      <c r="B878" s="2" t="n">
        <v>43233.92641203704</v>
      </c>
      <c r="C878" t="n">
        <v>0</v>
      </c>
      <c r="D878" t="n">
        <v>9</v>
      </c>
      <c r="E878" t="s">
        <v>889</v>
      </c>
      <c r="F878" t="s"/>
      <c r="G878" t="s"/>
      <c r="H878" t="s"/>
      <c r="I878" t="s"/>
      <c r="J878" t="n">
        <v>0</v>
      </c>
      <c r="K878" t="n">
        <v>0</v>
      </c>
      <c r="L878" t="n">
        <v>1</v>
      </c>
      <c r="M878" t="n">
        <v>0</v>
      </c>
    </row>
    <row r="879" spans="1:13">
      <c r="A879" s="1">
        <f>HYPERLINK("http://www.twitter.com/NathanBLawrence/status/995789080255320064", "995789080255320064")</f>
        <v/>
      </c>
      <c r="B879" s="2" t="n">
        <v>43233.92583333333</v>
      </c>
      <c r="C879" t="n">
        <v>0</v>
      </c>
      <c r="D879" t="n">
        <v>0</v>
      </c>
      <c r="E879" t="s">
        <v>890</v>
      </c>
      <c r="F879" t="s"/>
      <c r="G879" t="s"/>
      <c r="H879" t="s"/>
      <c r="I879" t="s"/>
      <c r="J879" t="n">
        <v>-0.1189</v>
      </c>
      <c r="K879" t="n">
        <v>0.193</v>
      </c>
      <c r="L879" t="n">
        <v>0.627</v>
      </c>
      <c r="M879" t="n">
        <v>0.18</v>
      </c>
    </row>
    <row r="880" spans="1:13">
      <c r="A880" s="1">
        <f>HYPERLINK("http://www.twitter.com/NathanBLawrence/status/995788781448871936", "995788781448871936")</f>
        <v/>
      </c>
      <c r="B880" s="2" t="n">
        <v>43233.92501157407</v>
      </c>
      <c r="C880" t="n">
        <v>5</v>
      </c>
      <c r="D880" t="n">
        <v>5</v>
      </c>
      <c r="E880" t="s">
        <v>891</v>
      </c>
      <c r="F880" t="s"/>
      <c r="G880" t="s"/>
      <c r="H880" t="s"/>
      <c r="I880" t="s"/>
      <c r="J880" t="n">
        <v>0.4404</v>
      </c>
      <c r="K880" t="n">
        <v>0</v>
      </c>
      <c r="L880" t="n">
        <v>0.791</v>
      </c>
      <c r="M880" t="n">
        <v>0.209</v>
      </c>
    </row>
    <row r="881" spans="1:13">
      <c r="A881" s="1">
        <f>HYPERLINK("http://www.twitter.com/NathanBLawrence/status/995788621234896896", "995788621234896896")</f>
        <v/>
      </c>
      <c r="B881" s="2" t="n">
        <v>43233.92456018519</v>
      </c>
      <c r="C881" t="n">
        <v>3</v>
      </c>
      <c r="D881" t="n">
        <v>4</v>
      </c>
      <c r="E881" t="s">
        <v>892</v>
      </c>
      <c r="F881" t="s"/>
      <c r="G881" t="s"/>
      <c r="H881" t="s"/>
      <c r="I881" t="s"/>
      <c r="J881" t="n">
        <v>0</v>
      </c>
      <c r="K881" t="n">
        <v>0</v>
      </c>
      <c r="L881" t="n">
        <v>1</v>
      </c>
      <c r="M881" t="n">
        <v>0</v>
      </c>
    </row>
    <row r="882" spans="1:13">
      <c r="A882" s="1">
        <f>HYPERLINK("http://www.twitter.com/NathanBLawrence/status/995780522063245312", "995780522063245312")</f>
        <v/>
      </c>
      <c r="B882" s="2" t="n">
        <v>43233.90221064815</v>
      </c>
      <c r="C882" t="n">
        <v>0</v>
      </c>
      <c r="D882" t="n">
        <v>12243</v>
      </c>
      <c r="E882" t="s">
        <v>893</v>
      </c>
      <c r="F882" t="s"/>
      <c r="G882" t="s"/>
      <c r="H882" t="s"/>
      <c r="I882" t="s"/>
      <c r="J882" t="n">
        <v>0.7351</v>
      </c>
      <c r="K882" t="n">
        <v>0</v>
      </c>
      <c r="L882" t="n">
        <v>0.735</v>
      </c>
      <c r="M882" t="n">
        <v>0.265</v>
      </c>
    </row>
    <row r="883" spans="1:13">
      <c r="A883" s="1">
        <f>HYPERLINK("http://www.twitter.com/NathanBLawrence/status/995747157230604288", "995747157230604288")</f>
        <v/>
      </c>
      <c r="B883" s="2" t="n">
        <v>43233.81015046296</v>
      </c>
      <c r="C883" t="n">
        <v>8</v>
      </c>
      <c r="D883" t="n">
        <v>5</v>
      </c>
      <c r="E883" t="s">
        <v>894</v>
      </c>
      <c r="F883" t="s"/>
      <c r="G883" t="s"/>
      <c r="H883" t="s"/>
      <c r="I883" t="s"/>
      <c r="J883" t="n">
        <v>-0.1531</v>
      </c>
      <c r="K883" t="n">
        <v>0.194</v>
      </c>
      <c r="L883" t="n">
        <v>0.647</v>
      </c>
      <c r="M883" t="n">
        <v>0.159</v>
      </c>
    </row>
    <row r="884" spans="1:13">
      <c r="A884" s="1">
        <f>HYPERLINK("http://www.twitter.com/NathanBLawrence/status/995746365031395328", "995746365031395328")</f>
        <v/>
      </c>
      <c r="B884" s="2" t="n">
        <v>43233.80796296296</v>
      </c>
      <c r="C884" t="n">
        <v>12</v>
      </c>
      <c r="D884" t="n">
        <v>6</v>
      </c>
      <c r="E884" t="s">
        <v>895</v>
      </c>
      <c r="F884" t="s"/>
      <c r="G884" t="s"/>
      <c r="H884" t="s"/>
      <c r="I884" t="s"/>
      <c r="J884" t="n">
        <v>0</v>
      </c>
      <c r="K884" t="n">
        <v>0</v>
      </c>
      <c r="L884" t="n">
        <v>1</v>
      </c>
      <c r="M884" t="n">
        <v>0</v>
      </c>
    </row>
    <row r="885" spans="1:13">
      <c r="A885" s="1">
        <f>HYPERLINK("http://www.twitter.com/NathanBLawrence/status/995746069274247168", "995746069274247168")</f>
        <v/>
      </c>
      <c r="B885" s="2" t="n">
        <v>43233.8071412037</v>
      </c>
      <c r="C885" t="n">
        <v>10</v>
      </c>
      <c r="D885" t="n">
        <v>7</v>
      </c>
      <c r="E885" t="s">
        <v>896</v>
      </c>
      <c r="F885" t="s"/>
      <c r="G885" t="s"/>
      <c r="H885" t="s"/>
      <c r="I885" t="s"/>
      <c r="J885" t="n">
        <v>-0.891</v>
      </c>
      <c r="K885" t="n">
        <v>0.346</v>
      </c>
      <c r="L885" t="n">
        <v>0.654</v>
      </c>
      <c r="M885" t="n">
        <v>0</v>
      </c>
    </row>
    <row r="886" spans="1:13">
      <c r="A886" s="1">
        <f>HYPERLINK("http://www.twitter.com/NathanBLawrence/status/995745541890834432", "995745541890834432")</f>
        <v/>
      </c>
      <c r="B886" s="2" t="n">
        <v>43233.80568287037</v>
      </c>
      <c r="C886" t="n">
        <v>7</v>
      </c>
      <c r="D886" t="n">
        <v>13</v>
      </c>
      <c r="E886" t="s">
        <v>897</v>
      </c>
      <c r="F886" t="s"/>
      <c r="G886" t="s"/>
      <c r="H886" t="s"/>
      <c r="I886" t="s"/>
      <c r="J886" t="n">
        <v>-0.34</v>
      </c>
      <c r="K886" t="n">
        <v>0.255</v>
      </c>
      <c r="L886" t="n">
        <v>0.745</v>
      </c>
      <c r="M886" t="n">
        <v>0</v>
      </c>
    </row>
    <row r="887" spans="1:13">
      <c r="A887" s="1">
        <f>HYPERLINK("http://www.twitter.com/NathanBLawrence/status/995745450702524416", "995745450702524416")</f>
        <v/>
      </c>
      <c r="B887" s="2" t="n">
        <v>43233.80543981482</v>
      </c>
      <c r="C887" t="n">
        <v>0</v>
      </c>
      <c r="D887" t="n">
        <v>17</v>
      </c>
      <c r="E887" t="s">
        <v>898</v>
      </c>
      <c r="F887" t="s"/>
      <c r="G887" t="s"/>
      <c r="H887" t="s"/>
      <c r="I887" t="s"/>
      <c r="J887" t="n">
        <v>-0.6908</v>
      </c>
      <c r="K887" t="n">
        <v>0.402</v>
      </c>
      <c r="L887" t="n">
        <v>0.598</v>
      </c>
      <c r="M887" t="n">
        <v>0</v>
      </c>
    </row>
    <row r="888" spans="1:13">
      <c r="A888" s="1">
        <f>HYPERLINK("http://www.twitter.com/NathanBLawrence/status/995745408847507456", "995745408847507456")</f>
        <v/>
      </c>
      <c r="B888" s="2" t="n">
        <v>43233.80532407408</v>
      </c>
      <c r="C888" t="n">
        <v>2</v>
      </c>
      <c r="D888" t="n">
        <v>1</v>
      </c>
      <c r="E888" t="s">
        <v>899</v>
      </c>
      <c r="F888" t="s"/>
      <c r="G888" t="s"/>
      <c r="H888" t="s"/>
      <c r="I888" t="s"/>
      <c r="J888" t="n">
        <v>-0.6808</v>
      </c>
      <c r="K888" t="n">
        <v>0.183</v>
      </c>
      <c r="L888" t="n">
        <v>0.759</v>
      </c>
      <c r="M888" t="n">
        <v>0.058</v>
      </c>
    </row>
    <row r="889" spans="1:13">
      <c r="A889" s="1">
        <f>HYPERLINK("http://www.twitter.com/NathanBLawrence/status/995745179339390976", "995745179339390976")</f>
        <v/>
      </c>
      <c r="B889" s="2" t="n">
        <v>43233.8046875</v>
      </c>
      <c r="C889" t="n">
        <v>10</v>
      </c>
      <c r="D889" t="n">
        <v>5</v>
      </c>
      <c r="E889" t="s">
        <v>900</v>
      </c>
      <c r="F889" t="s"/>
      <c r="G889" t="s"/>
      <c r="H889" t="s"/>
      <c r="I889" t="s"/>
      <c r="J889" t="n">
        <v>-0.7003</v>
      </c>
      <c r="K889" t="n">
        <v>0.188</v>
      </c>
      <c r="L889" t="n">
        <v>0.8120000000000001</v>
      </c>
      <c r="M889" t="n">
        <v>0</v>
      </c>
    </row>
    <row r="890" spans="1:13">
      <c r="A890" s="1">
        <f>HYPERLINK("http://www.twitter.com/NathanBLawrence/status/995744891568250880", "995744891568250880")</f>
        <v/>
      </c>
      <c r="B890" s="2" t="n">
        <v>43233.80388888889</v>
      </c>
      <c r="C890" t="n">
        <v>4</v>
      </c>
      <c r="D890" t="n">
        <v>0</v>
      </c>
      <c r="E890" t="s">
        <v>901</v>
      </c>
      <c r="F890" t="s"/>
      <c r="G890" t="s"/>
      <c r="H890" t="s"/>
      <c r="I890" t="s"/>
      <c r="J890" t="n">
        <v>-0.9808</v>
      </c>
      <c r="K890" t="n">
        <v>0.478</v>
      </c>
      <c r="L890" t="n">
        <v>0.503</v>
      </c>
      <c r="M890" t="n">
        <v>0.019</v>
      </c>
    </row>
    <row r="891" spans="1:13">
      <c r="A891" s="1">
        <f>HYPERLINK("http://www.twitter.com/NathanBLawrence/status/995744292072181761", "995744292072181761")</f>
        <v/>
      </c>
      <c r="B891" s="2" t="n">
        <v>43233.8022337963</v>
      </c>
      <c r="C891" t="n">
        <v>4</v>
      </c>
      <c r="D891" t="n">
        <v>2</v>
      </c>
      <c r="E891" t="s">
        <v>902</v>
      </c>
      <c r="F891" t="s"/>
      <c r="G891" t="s"/>
      <c r="H891" t="s"/>
      <c r="I891" t="s"/>
      <c r="J891" t="n">
        <v>-0.8270999999999999</v>
      </c>
      <c r="K891" t="n">
        <v>0.355</v>
      </c>
      <c r="L891" t="n">
        <v>0.645</v>
      </c>
      <c r="M891" t="n">
        <v>0</v>
      </c>
    </row>
    <row r="892" spans="1:13">
      <c r="A892" s="1">
        <f>HYPERLINK("http://www.twitter.com/NathanBLawrence/status/995734814857691136", "995734814857691136")</f>
        <v/>
      </c>
      <c r="B892" s="2" t="n">
        <v>43233.77608796296</v>
      </c>
      <c r="C892" t="n">
        <v>2</v>
      </c>
      <c r="D892" t="n">
        <v>4</v>
      </c>
      <c r="E892" t="s">
        <v>903</v>
      </c>
      <c r="F892" t="s"/>
      <c r="G892" t="s"/>
      <c r="H892" t="s"/>
      <c r="I892" t="s"/>
      <c r="J892" t="n">
        <v>0.4019</v>
      </c>
      <c r="K892" t="n">
        <v>0</v>
      </c>
      <c r="L892" t="n">
        <v>0.8159999999999999</v>
      </c>
      <c r="M892" t="n">
        <v>0.184</v>
      </c>
    </row>
    <row r="893" spans="1:13">
      <c r="A893" s="1">
        <f>HYPERLINK("http://www.twitter.com/NathanBLawrence/status/995730526043455490", "995730526043455490")</f>
        <v/>
      </c>
      <c r="B893" s="2" t="n">
        <v>43233.76424768518</v>
      </c>
      <c r="C893" t="n">
        <v>6</v>
      </c>
      <c r="D893" t="n">
        <v>1</v>
      </c>
      <c r="E893" t="s">
        <v>904</v>
      </c>
      <c r="F893" t="s"/>
      <c r="G893" t="s"/>
      <c r="H893" t="s"/>
      <c r="I893" t="s"/>
      <c r="J893" t="n">
        <v>0.498</v>
      </c>
      <c r="K893" t="n">
        <v>0</v>
      </c>
      <c r="L893" t="n">
        <v>0.88</v>
      </c>
      <c r="M893" t="n">
        <v>0.12</v>
      </c>
    </row>
    <row r="894" spans="1:13">
      <c r="A894" s="1">
        <f>HYPERLINK("http://www.twitter.com/NathanBLawrence/status/995728305914396672", "995728305914396672")</f>
        <v/>
      </c>
      <c r="B894" s="2" t="n">
        <v>43233.758125</v>
      </c>
      <c r="C894" t="n">
        <v>0</v>
      </c>
      <c r="D894" t="n">
        <v>3</v>
      </c>
      <c r="E894" t="s">
        <v>905</v>
      </c>
      <c r="F894" t="s"/>
      <c r="G894" t="s"/>
      <c r="H894" t="s"/>
      <c r="I894" t="s"/>
      <c r="J894" t="n">
        <v>-0.7269</v>
      </c>
      <c r="K894" t="n">
        <v>0.319</v>
      </c>
      <c r="L894" t="n">
        <v>0.681</v>
      </c>
      <c r="M894" t="n">
        <v>0</v>
      </c>
    </row>
    <row r="895" spans="1:13">
      <c r="A895" s="1">
        <f>HYPERLINK("http://www.twitter.com/NathanBLawrence/status/995727666400538624", "995727666400538624")</f>
        <v/>
      </c>
      <c r="B895" s="2" t="n">
        <v>43233.75636574074</v>
      </c>
      <c r="C895" t="n">
        <v>3</v>
      </c>
      <c r="D895" t="n">
        <v>1</v>
      </c>
      <c r="E895" t="s">
        <v>906</v>
      </c>
      <c r="F895" t="s"/>
      <c r="G895" t="s"/>
      <c r="H895" t="s"/>
      <c r="I895" t="s"/>
      <c r="J895" t="n">
        <v>0</v>
      </c>
      <c r="K895" t="n">
        <v>0</v>
      </c>
      <c r="L895" t="n">
        <v>1</v>
      </c>
      <c r="M895" t="n">
        <v>0</v>
      </c>
    </row>
    <row r="896" spans="1:13">
      <c r="A896" s="1">
        <f>HYPERLINK("http://www.twitter.com/NathanBLawrence/status/995725976796459008", "995725976796459008")</f>
        <v/>
      </c>
      <c r="B896" s="2" t="n">
        <v>43233.75170138889</v>
      </c>
      <c r="C896" t="n">
        <v>6</v>
      </c>
      <c r="D896" t="n">
        <v>5</v>
      </c>
      <c r="E896" t="s">
        <v>907</v>
      </c>
      <c r="F896" t="s"/>
      <c r="G896" t="s"/>
      <c r="H896" t="s"/>
      <c r="I896" t="s"/>
      <c r="J896" t="n">
        <v>-0.8083</v>
      </c>
      <c r="K896" t="n">
        <v>0.256</v>
      </c>
      <c r="L896" t="n">
        <v>0.674</v>
      </c>
      <c r="M896" t="n">
        <v>0.07000000000000001</v>
      </c>
    </row>
    <row r="897" spans="1:13">
      <c r="A897" s="1">
        <f>HYPERLINK("http://www.twitter.com/NathanBLawrence/status/995725868168232960", "995725868168232960")</f>
        <v/>
      </c>
      <c r="B897" s="2" t="n">
        <v>43233.75140046296</v>
      </c>
      <c r="C897" t="n">
        <v>7</v>
      </c>
      <c r="D897" t="n">
        <v>3</v>
      </c>
      <c r="E897" t="s">
        <v>908</v>
      </c>
      <c r="F897" t="s"/>
      <c r="G897" t="s"/>
      <c r="H897" t="s"/>
      <c r="I897" t="s"/>
      <c r="J897" t="n">
        <v>-0.4968</v>
      </c>
      <c r="K897" t="n">
        <v>0.192</v>
      </c>
      <c r="L897" t="n">
        <v>0.708</v>
      </c>
      <c r="M897" t="n">
        <v>0.1</v>
      </c>
    </row>
    <row r="898" spans="1:13">
      <c r="A898" s="1">
        <f>HYPERLINK("http://www.twitter.com/NathanBLawrence/status/995725816565649408", "995725816565649408")</f>
        <v/>
      </c>
      <c r="B898" s="2" t="n">
        <v>43233.75126157407</v>
      </c>
      <c r="C898" t="n">
        <v>15</v>
      </c>
      <c r="D898" t="n">
        <v>7</v>
      </c>
      <c r="E898" t="s">
        <v>909</v>
      </c>
      <c r="F898" t="s"/>
      <c r="G898" t="s"/>
      <c r="H898" t="s"/>
      <c r="I898" t="s"/>
      <c r="J898" t="n">
        <v>-0.3818</v>
      </c>
      <c r="K898" t="n">
        <v>0.099</v>
      </c>
      <c r="L898" t="n">
        <v>0.855</v>
      </c>
      <c r="M898" t="n">
        <v>0.046</v>
      </c>
    </row>
    <row r="899" spans="1:13">
      <c r="A899" s="1">
        <f>HYPERLINK("http://www.twitter.com/NathanBLawrence/status/995725186182754306", "995725186182754306")</f>
        <v/>
      </c>
      <c r="B899" s="2" t="n">
        <v>43233.74951388889</v>
      </c>
      <c r="C899" t="n">
        <v>12</v>
      </c>
      <c r="D899" t="n">
        <v>5</v>
      </c>
      <c r="E899" t="s">
        <v>910</v>
      </c>
      <c r="F899" t="s"/>
      <c r="G899" t="s"/>
      <c r="H899" t="s"/>
      <c r="I899" t="s"/>
      <c r="J899" t="n">
        <v>0</v>
      </c>
      <c r="K899" t="n">
        <v>0</v>
      </c>
      <c r="L899" t="n">
        <v>1</v>
      </c>
      <c r="M899" t="n">
        <v>0</v>
      </c>
    </row>
    <row r="900" spans="1:13">
      <c r="A900" s="1">
        <f>HYPERLINK("http://www.twitter.com/NathanBLawrence/status/995715216372518912", "995715216372518912")</f>
        <v/>
      </c>
      <c r="B900" s="2" t="n">
        <v>43233.72200231482</v>
      </c>
      <c r="C900" t="n">
        <v>7</v>
      </c>
      <c r="D900" t="n">
        <v>5</v>
      </c>
      <c r="E900" t="s">
        <v>911</v>
      </c>
      <c r="F900" t="s"/>
      <c r="G900" t="s"/>
      <c r="H900" t="s"/>
      <c r="I900" t="s"/>
      <c r="J900" t="n">
        <v>-0.5599</v>
      </c>
      <c r="K900" t="n">
        <v>0.263</v>
      </c>
      <c r="L900" t="n">
        <v>0.625</v>
      </c>
      <c r="M900" t="n">
        <v>0.112</v>
      </c>
    </row>
    <row r="901" spans="1:13">
      <c r="A901" s="1">
        <f>HYPERLINK("http://www.twitter.com/NathanBLawrence/status/995715088118988800", "995715088118988800")</f>
        <v/>
      </c>
      <c r="B901" s="2" t="n">
        <v>43233.7216550926</v>
      </c>
      <c r="C901" t="n">
        <v>6</v>
      </c>
      <c r="D901" t="n">
        <v>1</v>
      </c>
      <c r="E901" t="s">
        <v>912</v>
      </c>
      <c r="F901" t="s"/>
      <c r="G901" t="s"/>
      <c r="H901" t="s"/>
      <c r="I901" t="s"/>
      <c r="J901" t="n">
        <v>0.4767</v>
      </c>
      <c r="K901" t="n">
        <v>0</v>
      </c>
      <c r="L901" t="n">
        <v>0.795</v>
      </c>
      <c r="M901" t="n">
        <v>0.205</v>
      </c>
    </row>
    <row r="902" spans="1:13">
      <c r="A902" s="1">
        <f>HYPERLINK("http://www.twitter.com/NathanBLawrence/status/995715048881324032", "995715048881324032")</f>
        <v/>
      </c>
      <c r="B902" s="2" t="n">
        <v>43233.72153935185</v>
      </c>
      <c r="C902" t="n">
        <v>7</v>
      </c>
      <c r="D902" t="n">
        <v>2</v>
      </c>
      <c r="E902" t="s">
        <v>913</v>
      </c>
      <c r="F902" t="s"/>
      <c r="G902" t="s"/>
      <c r="H902" t="s"/>
      <c r="I902" t="s"/>
      <c r="J902" t="n">
        <v>0</v>
      </c>
      <c r="K902" t="n">
        <v>0</v>
      </c>
      <c r="L902" t="n">
        <v>1</v>
      </c>
      <c r="M902" t="n">
        <v>0</v>
      </c>
    </row>
    <row r="903" spans="1:13">
      <c r="A903" s="1">
        <f>HYPERLINK("http://www.twitter.com/NathanBLawrence/status/995714972960223233", "995714972960223233")</f>
        <v/>
      </c>
      <c r="B903" s="2" t="n">
        <v>43233.72133101852</v>
      </c>
      <c r="C903" t="n">
        <v>2</v>
      </c>
      <c r="D903" t="n">
        <v>1</v>
      </c>
      <c r="E903" t="s">
        <v>914</v>
      </c>
      <c r="F903" t="s"/>
      <c r="G903" t="s"/>
      <c r="H903" t="s"/>
      <c r="I903" t="s"/>
      <c r="J903" t="n">
        <v>-0.8316</v>
      </c>
      <c r="K903" t="n">
        <v>0.328</v>
      </c>
      <c r="L903" t="n">
        <v>0.672</v>
      </c>
      <c r="M903" t="n">
        <v>0</v>
      </c>
    </row>
    <row r="904" spans="1:13">
      <c r="A904" s="1">
        <f>HYPERLINK("http://www.twitter.com/NathanBLawrence/status/995714913489244161", "995714913489244161")</f>
        <v/>
      </c>
      <c r="B904" s="2" t="n">
        <v>43233.72116898148</v>
      </c>
      <c r="C904" t="n">
        <v>5</v>
      </c>
      <c r="D904" t="n">
        <v>5</v>
      </c>
      <c r="E904" t="s">
        <v>915</v>
      </c>
      <c r="F904" t="s"/>
      <c r="G904" t="s"/>
      <c r="H904" t="s"/>
      <c r="I904" t="s"/>
      <c r="J904" t="n">
        <v>0.1759</v>
      </c>
      <c r="K904" t="n">
        <v>0</v>
      </c>
      <c r="L904" t="n">
        <v>0.904</v>
      </c>
      <c r="M904" t="n">
        <v>0.096</v>
      </c>
    </row>
    <row r="905" spans="1:13">
      <c r="A905" s="1">
        <f>HYPERLINK("http://www.twitter.com/NathanBLawrence/status/995714848716566528", "995714848716566528")</f>
        <v/>
      </c>
      <c r="B905" s="2" t="n">
        <v>43233.72099537037</v>
      </c>
      <c r="C905" t="n">
        <v>10</v>
      </c>
      <c r="D905" t="n">
        <v>8</v>
      </c>
      <c r="E905" t="s">
        <v>916</v>
      </c>
      <c r="F905" t="s"/>
      <c r="G905" t="s"/>
      <c r="H905" t="s"/>
      <c r="I905" t="s"/>
      <c r="J905" t="n">
        <v>0</v>
      </c>
      <c r="K905" t="n">
        <v>0</v>
      </c>
      <c r="L905" t="n">
        <v>1</v>
      </c>
      <c r="M905" t="n">
        <v>0</v>
      </c>
    </row>
    <row r="906" spans="1:13">
      <c r="A906" s="1">
        <f>HYPERLINK("http://www.twitter.com/NathanBLawrence/status/995714730785366016", "995714730785366016")</f>
        <v/>
      </c>
      <c r="B906" s="2" t="n">
        <v>43233.72065972222</v>
      </c>
      <c r="C906" t="n">
        <v>8</v>
      </c>
      <c r="D906" t="n">
        <v>5</v>
      </c>
      <c r="E906" t="s">
        <v>917</v>
      </c>
      <c r="F906" t="s"/>
      <c r="G906" t="s"/>
      <c r="H906" t="s"/>
      <c r="I906" t="s"/>
      <c r="J906" t="n">
        <v>-0.6705</v>
      </c>
      <c r="K906" t="n">
        <v>0.256</v>
      </c>
      <c r="L906" t="n">
        <v>0.744</v>
      </c>
      <c r="M906" t="n">
        <v>0</v>
      </c>
    </row>
    <row r="907" spans="1:13">
      <c r="A907" s="1">
        <f>HYPERLINK("http://www.twitter.com/NathanBLawrence/status/995714694802325504", "995714694802325504")</f>
        <v/>
      </c>
      <c r="B907" s="2" t="n">
        <v>43233.72056712963</v>
      </c>
      <c r="C907" t="n">
        <v>2</v>
      </c>
      <c r="D907" t="n">
        <v>2</v>
      </c>
      <c r="E907" t="s">
        <v>918</v>
      </c>
      <c r="F907" t="s"/>
      <c r="G907" t="s"/>
      <c r="H907" t="s"/>
      <c r="I907" t="s"/>
      <c r="J907" t="n">
        <v>-0.5255</v>
      </c>
      <c r="K907" t="n">
        <v>0.22</v>
      </c>
      <c r="L907" t="n">
        <v>0.78</v>
      </c>
      <c r="M907" t="n">
        <v>0</v>
      </c>
    </row>
    <row r="908" spans="1:13">
      <c r="A908" s="1">
        <f>HYPERLINK("http://www.twitter.com/NathanBLawrence/status/995714652725116928", "995714652725116928")</f>
        <v/>
      </c>
      <c r="B908" s="2" t="n">
        <v>43233.72045138889</v>
      </c>
      <c r="C908" t="n">
        <v>10</v>
      </c>
      <c r="D908" t="n">
        <v>13</v>
      </c>
      <c r="E908" t="s">
        <v>919</v>
      </c>
      <c r="F908" t="s"/>
      <c r="G908" t="s"/>
      <c r="H908" t="s"/>
      <c r="I908" t="s"/>
      <c r="J908" t="n">
        <v>-0.6597</v>
      </c>
      <c r="K908" t="n">
        <v>0.259</v>
      </c>
      <c r="L908" t="n">
        <v>0.6820000000000001</v>
      </c>
      <c r="M908" t="n">
        <v>0.059</v>
      </c>
    </row>
    <row r="909" spans="1:13">
      <c r="A909" s="1">
        <f>HYPERLINK("http://www.twitter.com/NathanBLawrence/status/995714618336030720", "995714618336030720")</f>
        <v/>
      </c>
      <c r="B909" s="2" t="n">
        <v>43233.72035879629</v>
      </c>
      <c r="C909" t="n">
        <v>4</v>
      </c>
      <c r="D909" t="n">
        <v>3</v>
      </c>
      <c r="E909" t="s">
        <v>920</v>
      </c>
      <c r="F909" t="s"/>
      <c r="G909" t="s"/>
      <c r="H909" t="s"/>
      <c r="I909" t="s"/>
      <c r="J909" t="n">
        <v>0</v>
      </c>
      <c r="K909" t="n">
        <v>0</v>
      </c>
      <c r="L909" t="n">
        <v>1</v>
      </c>
      <c r="M909" t="n">
        <v>0</v>
      </c>
    </row>
    <row r="910" spans="1:13">
      <c r="A910" s="1">
        <f>HYPERLINK("http://www.twitter.com/NathanBLawrence/status/995714583489753088", "995714583489753088")</f>
        <v/>
      </c>
      <c r="B910" s="2" t="n">
        <v>43233.72025462963</v>
      </c>
      <c r="C910" t="n">
        <v>3</v>
      </c>
      <c r="D910" t="n">
        <v>1</v>
      </c>
      <c r="E910" t="s">
        <v>921</v>
      </c>
      <c r="F910" t="s"/>
      <c r="G910" t="s"/>
      <c r="H910" t="s"/>
      <c r="I910" t="s"/>
      <c r="J910" t="n">
        <v>0.4588</v>
      </c>
      <c r="K910" t="n">
        <v>0</v>
      </c>
      <c r="L910" t="n">
        <v>0.864</v>
      </c>
      <c r="M910" t="n">
        <v>0.136</v>
      </c>
    </row>
    <row r="911" spans="1:13">
      <c r="A911" s="1">
        <f>HYPERLINK("http://www.twitter.com/NathanBLawrence/status/995714518251585536", "995714518251585536")</f>
        <v/>
      </c>
      <c r="B911" s="2" t="n">
        <v>43233.72008101852</v>
      </c>
      <c r="C911" t="n">
        <v>4</v>
      </c>
      <c r="D911" t="n">
        <v>3</v>
      </c>
      <c r="E911" t="s">
        <v>922</v>
      </c>
      <c r="F911" t="s"/>
      <c r="G911" t="s"/>
      <c r="H911" t="s"/>
      <c r="I911" t="s"/>
      <c r="J911" t="n">
        <v>0</v>
      </c>
      <c r="K911" t="n">
        <v>0</v>
      </c>
      <c r="L911" t="n">
        <v>1</v>
      </c>
      <c r="M911" t="n">
        <v>0</v>
      </c>
    </row>
    <row r="912" spans="1:13">
      <c r="A912" s="1">
        <f>HYPERLINK("http://www.twitter.com/NathanBLawrence/status/995714468893020160", "995714468893020160")</f>
        <v/>
      </c>
      <c r="B912" s="2" t="n">
        <v>43233.71994212963</v>
      </c>
      <c r="C912" t="n">
        <v>2</v>
      </c>
      <c r="D912" t="n">
        <v>1</v>
      </c>
      <c r="E912" t="s">
        <v>923</v>
      </c>
      <c r="F912" t="s"/>
      <c r="G912" t="s"/>
      <c r="H912" t="s"/>
      <c r="I912" t="s"/>
      <c r="J912" t="n">
        <v>0.5719</v>
      </c>
      <c r="K912" t="n">
        <v>0</v>
      </c>
      <c r="L912" t="n">
        <v>0.619</v>
      </c>
      <c r="M912" t="n">
        <v>0.381</v>
      </c>
    </row>
    <row r="913" spans="1:13">
      <c r="A913" s="1">
        <f>HYPERLINK("http://www.twitter.com/NathanBLawrence/status/995714433476276224", "995714433476276224")</f>
        <v/>
      </c>
      <c r="B913" s="2" t="n">
        <v>43233.71984953704</v>
      </c>
      <c r="C913" t="n">
        <v>3</v>
      </c>
      <c r="D913" t="n">
        <v>2</v>
      </c>
      <c r="E913" t="s">
        <v>924</v>
      </c>
      <c r="F913" t="s"/>
      <c r="G913" t="s"/>
      <c r="H913" t="s"/>
      <c r="I913" t="s"/>
      <c r="J913" t="n">
        <v>-0.7184</v>
      </c>
      <c r="K913" t="n">
        <v>0.222</v>
      </c>
      <c r="L913" t="n">
        <v>0.778</v>
      </c>
      <c r="M913" t="n">
        <v>0</v>
      </c>
    </row>
    <row r="914" spans="1:13">
      <c r="A914" s="1">
        <f>HYPERLINK("http://www.twitter.com/NathanBLawrence/status/995714396776120320", "995714396776120320")</f>
        <v/>
      </c>
      <c r="B914" s="2" t="n">
        <v>43233.71974537037</v>
      </c>
      <c r="C914" t="n">
        <v>8</v>
      </c>
      <c r="D914" t="n">
        <v>4</v>
      </c>
      <c r="E914" t="s">
        <v>925</v>
      </c>
      <c r="F914" t="s"/>
      <c r="G914" t="s"/>
      <c r="H914" t="s"/>
      <c r="I914" t="s"/>
      <c r="J914" t="n">
        <v>-0.4389</v>
      </c>
      <c r="K914" t="n">
        <v>0.126</v>
      </c>
      <c r="L914" t="n">
        <v>0.874</v>
      </c>
      <c r="M914" t="n">
        <v>0</v>
      </c>
    </row>
    <row r="915" spans="1:13">
      <c r="A915" s="1">
        <f>HYPERLINK("http://www.twitter.com/NathanBLawrence/status/995714308557361152", "995714308557361152")</f>
        <v/>
      </c>
      <c r="B915" s="2" t="n">
        <v>43233.71950231482</v>
      </c>
      <c r="C915" t="n">
        <v>2</v>
      </c>
      <c r="D915" t="n">
        <v>3</v>
      </c>
      <c r="E915" t="s">
        <v>926</v>
      </c>
      <c r="F915" t="s"/>
      <c r="G915" t="s"/>
      <c r="H915" t="s"/>
      <c r="I915" t="s"/>
      <c r="J915" t="n">
        <v>0</v>
      </c>
      <c r="K915" t="n">
        <v>0</v>
      </c>
      <c r="L915" t="n">
        <v>1</v>
      </c>
      <c r="M915" t="n">
        <v>0</v>
      </c>
    </row>
    <row r="916" spans="1:13">
      <c r="A916" s="1">
        <f>HYPERLINK("http://www.twitter.com/NathanBLawrence/status/995714234636894209", "995714234636894209")</f>
        <v/>
      </c>
      <c r="B916" s="2" t="n">
        <v>43233.71929398148</v>
      </c>
      <c r="C916" t="n">
        <v>0</v>
      </c>
      <c r="D916" t="n">
        <v>512</v>
      </c>
      <c r="E916" t="s">
        <v>927</v>
      </c>
      <c r="F916" t="s"/>
      <c r="G916" t="s"/>
      <c r="H916" t="s"/>
      <c r="I916" t="s"/>
      <c r="J916" t="n">
        <v>0</v>
      </c>
      <c r="K916" t="n">
        <v>0</v>
      </c>
      <c r="L916" t="n">
        <v>1</v>
      </c>
      <c r="M916" t="n">
        <v>0</v>
      </c>
    </row>
    <row r="917" spans="1:13">
      <c r="A917" s="1">
        <f>HYPERLINK("http://www.twitter.com/NathanBLawrence/status/995714164625637376", "995714164625637376")</f>
        <v/>
      </c>
      <c r="B917" s="2" t="n">
        <v>43233.71909722222</v>
      </c>
      <c r="C917" t="n">
        <v>3</v>
      </c>
      <c r="D917" t="n">
        <v>3</v>
      </c>
      <c r="E917" t="s">
        <v>928</v>
      </c>
      <c r="F917" t="s"/>
      <c r="G917" t="s"/>
      <c r="H917" t="s"/>
      <c r="I917" t="s"/>
      <c r="J917" t="n">
        <v>0.1531</v>
      </c>
      <c r="K917" t="n">
        <v>0.28</v>
      </c>
      <c r="L917" t="n">
        <v>0.382</v>
      </c>
      <c r="M917" t="n">
        <v>0.338</v>
      </c>
    </row>
    <row r="918" spans="1:13">
      <c r="A918" s="1">
        <f>HYPERLINK("http://www.twitter.com/NathanBLawrence/status/995713997868449792", "995713997868449792")</f>
        <v/>
      </c>
      <c r="B918" s="2" t="n">
        <v>43233.71864583333</v>
      </c>
      <c r="C918" t="n">
        <v>4</v>
      </c>
      <c r="D918" t="n">
        <v>4</v>
      </c>
      <c r="E918" t="s">
        <v>929</v>
      </c>
      <c r="F918" t="s"/>
      <c r="G918" t="s"/>
      <c r="H918" t="s"/>
      <c r="I918" t="s"/>
      <c r="J918" t="n">
        <v>0.1779</v>
      </c>
      <c r="K918" t="n">
        <v>0.074</v>
      </c>
      <c r="L918" t="n">
        <v>0.8129999999999999</v>
      </c>
      <c r="M918" t="n">
        <v>0.113</v>
      </c>
    </row>
    <row r="919" spans="1:13">
      <c r="A919" s="1">
        <f>HYPERLINK("http://www.twitter.com/NathanBLawrence/status/995713600667844608", "995713600667844608")</f>
        <v/>
      </c>
      <c r="B919" s="2" t="n">
        <v>43233.7175462963</v>
      </c>
      <c r="C919" t="n">
        <v>11</v>
      </c>
      <c r="D919" t="n">
        <v>6</v>
      </c>
      <c r="E919" t="s">
        <v>930</v>
      </c>
      <c r="F919" t="s"/>
      <c r="G919" t="s"/>
      <c r="H919" t="s"/>
      <c r="I919" t="s"/>
      <c r="J919" t="n">
        <v>-0.5754</v>
      </c>
      <c r="K919" t="n">
        <v>0.239</v>
      </c>
      <c r="L919" t="n">
        <v>0.634</v>
      </c>
      <c r="M919" t="n">
        <v>0.127</v>
      </c>
    </row>
    <row r="920" spans="1:13">
      <c r="A920" s="1">
        <f>HYPERLINK("http://www.twitter.com/NathanBLawrence/status/995713391606956033", "995713391606956033")</f>
        <v/>
      </c>
      <c r="B920" s="2" t="n">
        <v>43233.71696759259</v>
      </c>
      <c r="C920" t="n">
        <v>0</v>
      </c>
      <c r="D920" t="n">
        <v>5</v>
      </c>
      <c r="E920" t="s">
        <v>931</v>
      </c>
      <c r="F920" t="s"/>
      <c r="G920" t="s"/>
      <c r="H920" t="s"/>
      <c r="I920" t="s"/>
      <c r="J920" t="n">
        <v>0.4588</v>
      </c>
      <c r="K920" t="n">
        <v>0</v>
      </c>
      <c r="L920" t="n">
        <v>0.864</v>
      </c>
      <c r="M920" t="n">
        <v>0.136</v>
      </c>
    </row>
    <row r="921" spans="1:13">
      <c r="A921" s="1">
        <f>HYPERLINK("http://www.twitter.com/NathanBLawrence/status/995713301001551872", "995713301001551872")</f>
        <v/>
      </c>
      <c r="B921" s="2" t="n">
        <v>43233.71672453704</v>
      </c>
      <c r="C921" t="n">
        <v>0</v>
      </c>
      <c r="D921" t="n">
        <v>79</v>
      </c>
      <c r="E921" t="s">
        <v>932</v>
      </c>
      <c r="F921">
        <f>HYPERLINK("https://video.twimg.com/amplify_video/995676794878652417/vid/1280x720/foFK-BU7NGc96oXH.mp4?tag=2", "https://video.twimg.com/amplify_video/995676794878652417/vid/1280x720/foFK-BU7NGc96oXH.mp4?tag=2")</f>
        <v/>
      </c>
      <c r="G921" t="s"/>
      <c r="H921" t="s"/>
      <c r="I921" t="s"/>
      <c r="J921" t="n">
        <v>0</v>
      </c>
      <c r="K921" t="n">
        <v>0</v>
      </c>
      <c r="L921" t="n">
        <v>1</v>
      </c>
      <c r="M921" t="n">
        <v>0</v>
      </c>
    </row>
    <row r="922" spans="1:13">
      <c r="A922" s="1">
        <f>HYPERLINK("http://www.twitter.com/NathanBLawrence/status/995713184592871424", "995713184592871424")</f>
        <v/>
      </c>
      <c r="B922" s="2" t="n">
        <v>43233.71640046296</v>
      </c>
      <c r="C922" t="n">
        <v>16</v>
      </c>
      <c r="D922" t="n">
        <v>13</v>
      </c>
      <c r="E922" t="s">
        <v>933</v>
      </c>
      <c r="F922" t="s"/>
      <c r="G922" t="s"/>
      <c r="H922" t="s"/>
      <c r="I922" t="s"/>
      <c r="J922" t="n">
        <v>0.4215</v>
      </c>
      <c r="K922" t="n">
        <v>0</v>
      </c>
      <c r="L922" t="n">
        <v>0.891</v>
      </c>
      <c r="M922" t="n">
        <v>0.109</v>
      </c>
    </row>
    <row r="923" spans="1:13">
      <c r="A923" s="1">
        <f>HYPERLINK("http://www.twitter.com/NathanBLawrence/status/995712955009265664", "995712955009265664")</f>
        <v/>
      </c>
      <c r="B923" s="2" t="n">
        <v>43233.71576388889</v>
      </c>
      <c r="C923" t="n">
        <v>13</v>
      </c>
      <c r="D923" t="n">
        <v>7</v>
      </c>
      <c r="E923" t="s">
        <v>934</v>
      </c>
      <c r="F923" t="s"/>
      <c r="G923" t="s"/>
      <c r="H923" t="s"/>
      <c r="I923" t="s"/>
      <c r="J923" t="n">
        <v>-0.1531</v>
      </c>
      <c r="K923" t="n">
        <v>0.08500000000000001</v>
      </c>
      <c r="L923" t="n">
        <v>0.847</v>
      </c>
      <c r="M923" t="n">
        <v>0.06900000000000001</v>
      </c>
    </row>
    <row r="924" spans="1:13">
      <c r="A924" s="1">
        <f>HYPERLINK("http://www.twitter.com/NathanBLawrence/status/995712650926440448", "995712650926440448")</f>
        <v/>
      </c>
      <c r="B924" s="2" t="n">
        <v>43233.71493055556</v>
      </c>
      <c r="C924" t="n">
        <v>8</v>
      </c>
      <c r="D924" t="n">
        <v>5</v>
      </c>
      <c r="E924" t="s">
        <v>935</v>
      </c>
      <c r="F924" t="s"/>
      <c r="G924" t="s"/>
      <c r="H924" t="s"/>
      <c r="I924" t="s"/>
      <c r="J924" t="n">
        <v>0</v>
      </c>
      <c r="K924" t="n">
        <v>0</v>
      </c>
      <c r="L924" t="n">
        <v>1</v>
      </c>
      <c r="M924" t="n">
        <v>0</v>
      </c>
    </row>
    <row r="925" spans="1:13">
      <c r="A925" s="1">
        <f>HYPERLINK("http://www.twitter.com/NathanBLawrence/status/995712169315483648", "995712169315483648")</f>
        <v/>
      </c>
      <c r="B925" s="2" t="n">
        <v>43233.71359953703</v>
      </c>
      <c r="C925" t="n">
        <v>16</v>
      </c>
      <c r="D925" t="n">
        <v>16</v>
      </c>
      <c r="E925" t="s">
        <v>936</v>
      </c>
      <c r="F925" t="s"/>
      <c r="G925" t="s"/>
      <c r="H925" t="s"/>
      <c r="I925" t="s"/>
      <c r="J925" t="n">
        <v>0.8225</v>
      </c>
      <c r="K925" t="n">
        <v>0.09</v>
      </c>
      <c r="L925" t="n">
        <v>0.556</v>
      </c>
      <c r="M925" t="n">
        <v>0.355</v>
      </c>
    </row>
    <row r="926" spans="1:13">
      <c r="A926" s="1">
        <f>HYPERLINK("http://www.twitter.com/NathanBLawrence/status/995711358158057472", "995711358158057472")</f>
        <v/>
      </c>
      <c r="B926" s="2" t="n">
        <v>43233.71135416667</v>
      </c>
      <c r="C926" t="n">
        <v>2</v>
      </c>
      <c r="D926" t="n">
        <v>3</v>
      </c>
      <c r="E926" t="s">
        <v>937</v>
      </c>
      <c r="F926" t="s"/>
      <c r="G926" t="s"/>
      <c r="H926" t="s"/>
      <c r="I926" t="s"/>
      <c r="J926" t="n">
        <v>0</v>
      </c>
      <c r="K926" t="n">
        <v>0</v>
      </c>
      <c r="L926" t="n">
        <v>1</v>
      </c>
      <c r="M926" t="n">
        <v>0</v>
      </c>
    </row>
    <row r="927" spans="1:13">
      <c r="A927" s="1">
        <f>HYPERLINK("http://www.twitter.com/NathanBLawrence/status/995711043685920768", "995711043685920768")</f>
        <v/>
      </c>
      <c r="B927" s="2" t="n">
        <v>43233.71048611111</v>
      </c>
      <c r="C927" t="n">
        <v>5</v>
      </c>
      <c r="D927" t="n">
        <v>4</v>
      </c>
      <c r="E927" t="s">
        <v>938</v>
      </c>
      <c r="F927" t="s"/>
      <c r="G927" t="s"/>
      <c r="H927" t="s"/>
      <c r="I927" t="s"/>
      <c r="J927" t="n">
        <v>0.2732</v>
      </c>
      <c r="K927" t="n">
        <v>0.097</v>
      </c>
      <c r="L927" t="n">
        <v>0.782</v>
      </c>
      <c r="M927" t="n">
        <v>0.121</v>
      </c>
    </row>
    <row r="928" spans="1:13">
      <c r="A928" s="1">
        <f>HYPERLINK("http://www.twitter.com/NathanBLawrence/status/995710656056774656", "995710656056774656")</f>
        <v/>
      </c>
      <c r="B928" s="2" t="n">
        <v>43233.7094212963</v>
      </c>
      <c r="C928" t="n">
        <v>0</v>
      </c>
      <c r="D928" t="n">
        <v>1459</v>
      </c>
      <c r="E928" t="s">
        <v>939</v>
      </c>
      <c r="F928">
        <f>HYPERLINK("http://pbs.twimg.com/media/DdFg_UiVwAAeXZN.jpg", "http://pbs.twimg.com/media/DdFg_UiVwAAeXZN.jpg")</f>
        <v/>
      </c>
      <c r="G928" t="s"/>
      <c r="H928" t="s"/>
      <c r="I928" t="s"/>
      <c r="J928" t="n">
        <v>0.624</v>
      </c>
      <c r="K928" t="n">
        <v>0.099</v>
      </c>
      <c r="L928" t="n">
        <v>0.665</v>
      </c>
      <c r="M928" t="n">
        <v>0.236</v>
      </c>
    </row>
    <row r="929" spans="1:13">
      <c r="A929" s="1">
        <f>HYPERLINK("http://www.twitter.com/NathanBLawrence/status/995710352598827008", "995710352598827008")</f>
        <v/>
      </c>
      <c r="B929" s="2" t="n">
        <v>43233.70858796296</v>
      </c>
      <c r="C929" t="n">
        <v>3</v>
      </c>
      <c r="D929" t="n">
        <v>2</v>
      </c>
      <c r="E929" t="s">
        <v>940</v>
      </c>
      <c r="F929" t="s"/>
      <c r="G929" t="s"/>
      <c r="H929" t="s"/>
      <c r="I929" t="s"/>
      <c r="J929" t="n">
        <v>-0.9025</v>
      </c>
      <c r="K929" t="n">
        <v>0.398</v>
      </c>
      <c r="L929" t="n">
        <v>0.519</v>
      </c>
      <c r="M929" t="n">
        <v>0.083</v>
      </c>
    </row>
    <row r="930" spans="1:13">
      <c r="A930" s="1">
        <f>HYPERLINK("http://www.twitter.com/NathanBLawrence/status/995698149908930560", "995698149908930560")</f>
        <v/>
      </c>
      <c r="B930" s="2" t="n">
        <v>43233.67490740741</v>
      </c>
      <c r="C930" t="n">
        <v>7</v>
      </c>
      <c r="D930" t="n">
        <v>7</v>
      </c>
      <c r="E930" t="s">
        <v>941</v>
      </c>
      <c r="F930" t="s"/>
      <c r="G930" t="s"/>
      <c r="H930" t="s"/>
      <c r="I930" t="s"/>
      <c r="J930" t="n">
        <v>0</v>
      </c>
      <c r="K930" t="n">
        <v>0</v>
      </c>
      <c r="L930" t="n">
        <v>1</v>
      </c>
      <c r="M930" t="n">
        <v>0</v>
      </c>
    </row>
    <row r="931" spans="1:13">
      <c r="A931" s="1">
        <f>HYPERLINK("http://www.twitter.com/NathanBLawrence/status/995694886979387392", "995694886979387392")</f>
        <v/>
      </c>
      <c r="B931" s="2" t="n">
        <v>43233.66590277778</v>
      </c>
      <c r="C931" t="n">
        <v>4</v>
      </c>
      <c r="D931" t="n">
        <v>0</v>
      </c>
      <c r="E931" t="s">
        <v>942</v>
      </c>
      <c r="F931" t="s"/>
      <c r="G931" t="s"/>
      <c r="H931" t="s"/>
      <c r="I931" t="s"/>
      <c r="J931" t="n">
        <v>0.8126</v>
      </c>
      <c r="K931" t="n">
        <v>0.068</v>
      </c>
      <c r="L931" t="n">
        <v>0.625</v>
      </c>
      <c r="M931" t="n">
        <v>0.307</v>
      </c>
    </row>
    <row r="932" spans="1:13">
      <c r="A932" s="1">
        <f>HYPERLINK("http://www.twitter.com/NathanBLawrence/status/995694443679240192", "995694443679240192")</f>
        <v/>
      </c>
      <c r="B932" s="2" t="n">
        <v>43233.6646875</v>
      </c>
      <c r="C932" t="n">
        <v>5</v>
      </c>
      <c r="D932" t="n">
        <v>2</v>
      </c>
      <c r="E932" t="s">
        <v>943</v>
      </c>
      <c r="F932" t="s"/>
      <c r="G932" t="s"/>
      <c r="H932" t="s"/>
      <c r="I932" t="s"/>
      <c r="J932" t="n">
        <v>0.7003</v>
      </c>
      <c r="K932" t="n">
        <v>0</v>
      </c>
      <c r="L932" t="n">
        <v>0.772</v>
      </c>
      <c r="M932" t="n">
        <v>0.228</v>
      </c>
    </row>
    <row r="933" spans="1:13">
      <c r="A933" s="1">
        <f>HYPERLINK("http://www.twitter.com/NathanBLawrence/status/995688198629044224", "995688198629044224")</f>
        <v/>
      </c>
      <c r="B933" s="2" t="n">
        <v>43233.64745370371</v>
      </c>
      <c r="C933" t="n">
        <v>6</v>
      </c>
      <c r="D933" t="n">
        <v>3</v>
      </c>
      <c r="E933" t="s">
        <v>944</v>
      </c>
      <c r="F933" t="s"/>
      <c r="G933" t="s"/>
      <c r="H933" t="s"/>
      <c r="I933" t="s"/>
      <c r="J933" t="n">
        <v>0.4572</v>
      </c>
      <c r="K933" t="n">
        <v>0.14</v>
      </c>
      <c r="L933" t="n">
        <v>0.617</v>
      </c>
      <c r="M933" t="n">
        <v>0.243</v>
      </c>
    </row>
    <row r="934" spans="1:13">
      <c r="A934" s="1">
        <f>HYPERLINK("http://www.twitter.com/NathanBLawrence/status/995687694922477568", "995687694922477568")</f>
        <v/>
      </c>
      <c r="B934" s="2" t="n">
        <v>43233.64606481481</v>
      </c>
      <c r="C934" t="n">
        <v>15</v>
      </c>
      <c r="D934" t="n">
        <v>3</v>
      </c>
      <c r="E934" t="s">
        <v>945</v>
      </c>
      <c r="F934" t="s"/>
      <c r="G934" t="s"/>
      <c r="H934" t="s"/>
      <c r="I934" t="s"/>
      <c r="J934" t="n">
        <v>-0.7467</v>
      </c>
      <c r="K934" t="n">
        <v>0.232</v>
      </c>
      <c r="L934" t="n">
        <v>0.659</v>
      </c>
      <c r="M934" t="n">
        <v>0.108</v>
      </c>
    </row>
    <row r="935" spans="1:13">
      <c r="A935" s="1">
        <f>HYPERLINK("http://www.twitter.com/NathanBLawrence/status/995687331284832257", "995687331284832257")</f>
        <v/>
      </c>
      <c r="B935" s="2" t="n">
        <v>43233.64505787037</v>
      </c>
      <c r="C935" t="n">
        <v>53</v>
      </c>
      <c r="D935" t="n">
        <v>19</v>
      </c>
      <c r="E935" t="s">
        <v>946</v>
      </c>
      <c r="F935" t="s"/>
      <c r="G935" t="s"/>
      <c r="H935" t="s"/>
      <c r="I935" t="s"/>
      <c r="J935" t="n">
        <v>-0.7076</v>
      </c>
      <c r="K935" t="n">
        <v>0.109</v>
      </c>
      <c r="L935" t="n">
        <v>0.891</v>
      </c>
      <c r="M935" t="n">
        <v>0</v>
      </c>
    </row>
    <row r="936" spans="1:13">
      <c r="A936" s="1">
        <f>HYPERLINK("http://www.twitter.com/NathanBLawrence/status/995686894447968256", "995686894447968256")</f>
        <v/>
      </c>
      <c r="B936" s="2" t="n">
        <v>43233.64385416666</v>
      </c>
      <c r="C936" t="n">
        <v>0</v>
      </c>
      <c r="D936" t="n">
        <v>295</v>
      </c>
      <c r="E936" t="s">
        <v>947</v>
      </c>
      <c r="F936" t="s"/>
      <c r="G936" t="s"/>
      <c r="H936" t="s"/>
      <c r="I936" t="s"/>
      <c r="J936" t="n">
        <v>0.6369</v>
      </c>
      <c r="K936" t="n">
        <v>0</v>
      </c>
      <c r="L936" t="n">
        <v>0.792</v>
      </c>
      <c r="M936" t="n">
        <v>0.208</v>
      </c>
    </row>
    <row r="937" spans="1:13">
      <c r="A937" s="1">
        <f>HYPERLINK("http://www.twitter.com/NathanBLawrence/status/995686700012617730", "995686700012617730")</f>
        <v/>
      </c>
      <c r="B937" s="2" t="n">
        <v>43233.64331018519</v>
      </c>
      <c r="C937" t="n">
        <v>0</v>
      </c>
      <c r="D937" t="n">
        <v>9</v>
      </c>
      <c r="E937" t="s">
        <v>948</v>
      </c>
      <c r="F937">
        <f>HYPERLINK("http://pbs.twimg.com/media/Dc_v26rW4AEfLEb.jpg", "http://pbs.twimg.com/media/Dc_v26rW4AEfLEb.jpg")</f>
        <v/>
      </c>
      <c r="G937" t="s"/>
      <c r="H937" t="s"/>
      <c r="I937" t="s"/>
      <c r="J937" t="n">
        <v>0.3182</v>
      </c>
      <c r="K937" t="n">
        <v>0</v>
      </c>
      <c r="L937" t="n">
        <v>0.859</v>
      </c>
      <c r="M937" t="n">
        <v>0.141</v>
      </c>
    </row>
    <row r="938" spans="1:13">
      <c r="A938" s="1">
        <f>HYPERLINK("http://www.twitter.com/NathanBLawrence/status/995686576595206145", "995686576595206145")</f>
        <v/>
      </c>
      <c r="B938" s="2" t="n">
        <v>43233.64297453704</v>
      </c>
      <c r="C938" t="n">
        <v>15</v>
      </c>
      <c r="D938" t="n">
        <v>5</v>
      </c>
      <c r="E938" t="s">
        <v>949</v>
      </c>
      <c r="F938" t="s"/>
      <c r="G938" t="s"/>
      <c r="H938" t="s"/>
      <c r="I938" t="s"/>
      <c r="J938" t="n">
        <v>-0.8519</v>
      </c>
      <c r="K938" t="n">
        <v>0.205</v>
      </c>
      <c r="L938" t="n">
        <v>0.795</v>
      </c>
      <c r="M938" t="n">
        <v>0</v>
      </c>
    </row>
    <row r="939" spans="1:13">
      <c r="A939" s="1">
        <f>HYPERLINK("http://www.twitter.com/NathanBLawrence/status/995686229923409921", "995686229923409921")</f>
        <v/>
      </c>
      <c r="B939" s="2" t="n">
        <v>43233.64201388889</v>
      </c>
      <c r="C939" t="n">
        <v>0</v>
      </c>
      <c r="D939" t="n">
        <v>3259</v>
      </c>
      <c r="E939" t="s">
        <v>950</v>
      </c>
      <c r="F939" t="s"/>
      <c r="G939" t="s"/>
      <c r="H939" t="s"/>
      <c r="I939" t="s"/>
      <c r="J939" t="n">
        <v>-0.4939</v>
      </c>
      <c r="K939" t="n">
        <v>0.132</v>
      </c>
      <c r="L939" t="n">
        <v>0.868</v>
      </c>
      <c r="M939" t="n">
        <v>0</v>
      </c>
    </row>
    <row r="940" spans="1:13">
      <c r="A940" s="1">
        <f>HYPERLINK("http://www.twitter.com/NathanBLawrence/status/995685681195245568", "995685681195245568")</f>
        <v/>
      </c>
      <c r="B940" s="2" t="n">
        <v>43233.64049768518</v>
      </c>
      <c r="C940" t="n">
        <v>0</v>
      </c>
      <c r="D940" t="n">
        <v>8042</v>
      </c>
      <c r="E940" t="s">
        <v>951</v>
      </c>
      <c r="F940" t="s"/>
      <c r="G940" t="s"/>
      <c r="H940" t="s"/>
      <c r="I940" t="s"/>
      <c r="J940" t="n">
        <v>0.2023</v>
      </c>
      <c r="K940" t="n">
        <v>0.118</v>
      </c>
      <c r="L940" t="n">
        <v>0.6909999999999999</v>
      </c>
      <c r="M940" t="n">
        <v>0.191</v>
      </c>
    </row>
    <row r="941" spans="1:13">
      <c r="A941" s="1">
        <f>HYPERLINK("http://www.twitter.com/NathanBLawrence/status/995685577839202304", "995685577839202304")</f>
        <v/>
      </c>
      <c r="B941" s="2" t="n">
        <v>43233.64021990741</v>
      </c>
      <c r="C941" t="n">
        <v>0</v>
      </c>
      <c r="D941" t="n">
        <v>48323</v>
      </c>
      <c r="E941" t="s">
        <v>952</v>
      </c>
      <c r="F941">
        <f>HYPERLINK("http://pbs.twimg.com/media/DdEbttyV0AAlm1m.jpg", "http://pbs.twimg.com/media/DdEbttyV0AAlm1m.jpg")</f>
        <v/>
      </c>
      <c r="G941" t="s"/>
      <c r="H941" t="s"/>
      <c r="I941" t="s"/>
      <c r="J941" t="n">
        <v>0.3612</v>
      </c>
      <c r="K941" t="n">
        <v>0</v>
      </c>
      <c r="L941" t="n">
        <v>0.884</v>
      </c>
      <c r="M941" t="n">
        <v>0.116</v>
      </c>
    </row>
    <row r="942" spans="1:13">
      <c r="A942" s="1">
        <f>HYPERLINK("http://www.twitter.com/NathanBLawrence/status/995685361274638337", "995685361274638337")</f>
        <v/>
      </c>
      <c r="B942" s="2" t="n">
        <v>43233.63961805555</v>
      </c>
      <c r="C942" t="n">
        <v>13</v>
      </c>
      <c r="D942" t="n">
        <v>7</v>
      </c>
      <c r="E942" t="s">
        <v>953</v>
      </c>
      <c r="F942" t="s"/>
      <c r="G942" t="s"/>
      <c r="H942" t="s"/>
      <c r="I942" t="s"/>
      <c r="J942" t="n">
        <v>0.7783</v>
      </c>
      <c r="K942" t="n">
        <v>0</v>
      </c>
      <c r="L942" t="n">
        <v>0.755</v>
      </c>
      <c r="M942" t="n">
        <v>0.245</v>
      </c>
    </row>
    <row r="943" spans="1:13">
      <c r="A943" s="1">
        <f>HYPERLINK("http://www.twitter.com/NathanBLawrence/status/995685042050420736", "995685042050420736")</f>
        <v/>
      </c>
      <c r="B943" s="2" t="n">
        <v>43233.63873842593</v>
      </c>
      <c r="C943" t="n">
        <v>9</v>
      </c>
      <c r="D943" t="n">
        <v>3</v>
      </c>
      <c r="E943" t="s">
        <v>954</v>
      </c>
      <c r="F943" t="s"/>
      <c r="G943" t="s"/>
      <c r="H943" t="s"/>
      <c r="I943" t="s"/>
      <c r="J943" t="n">
        <v>0</v>
      </c>
      <c r="K943" t="n">
        <v>0</v>
      </c>
      <c r="L943" t="n">
        <v>1</v>
      </c>
      <c r="M943" t="n">
        <v>0</v>
      </c>
    </row>
    <row r="944" spans="1:13">
      <c r="A944" s="1">
        <f>HYPERLINK("http://www.twitter.com/NathanBLawrence/status/995684933858353152", "995684933858353152")</f>
        <v/>
      </c>
      <c r="B944" s="2" t="n">
        <v>43233.6384375</v>
      </c>
      <c r="C944" t="n">
        <v>5</v>
      </c>
      <c r="D944" t="n">
        <v>2</v>
      </c>
      <c r="E944" t="s">
        <v>955</v>
      </c>
      <c r="F944" t="s"/>
      <c r="G944" t="s"/>
      <c r="H944" t="s"/>
      <c r="I944" t="s"/>
      <c r="J944" t="n">
        <v>0</v>
      </c>
      <c r="K944" t="n">
        <v>0</v>
      </c>
      <c r="L944" t="n">
        <v>1</v>
      </c>
      <c r="M944" t="n">
        <v>0</v>
      </c>
    </row>
    <row r="945" spans="1:13">
      <c r="A945" s="1">
        <f>HYPERLINK("http://www.twitter.com/NathanBLawrence/status/995684850945277952", "995684850945277952")</f>
        <v/>
      </c>
      <c r="B945" s="2" t="n">
        <v>43233.63821759259</v>
      </c>
      <c r="C945" t="n">
        <v>3</v>
      </c>
      <c r="D945" t="n">
        <v>1</v>
      </c>
      <c r="E945" t="s">
        <v>956</v>
      </c>
      <c r="F945" t="s"/>
      <c r="G945" t="s"/>
      <c r="H945" t="s"/>
      <c r="I945" t="s"/>
      <c r="J945" t="n">
        <v>0</v>
      </c>
      <c r="K945" t="n">
        <v>0</v>
      </c>
      <c r="L945" t="n">
        <v>1</v>
      </c>
      <c r="M945" t="n">
        <v>0</v>
      </c>
    </row>
    <row r="946" spans="1:13">
      <c r="A946" s="1">
        <f>HYPERLINK("http://www.twitter.com/NathanBLawrence/status/995684387973775360", "995684387973775360")</f>
        <v/>
      </c>
      <c r="B946" s="2" t="n">
        <v>43233.63693287037</v>
      </c>
      <c r="C946" t="n">
        <v>3</v>
      </c>
      <c r="D946" t="n">
        <v>4</v>
      </c>
      <c r="E946" t="s">
        <v>957</v>
      </c>
      <c r="F946" t="s"/>
      <c r="G946" t="s"/>
      <c r="H946" t="s"/>
      <c r="I946" t="s"/>
      <c r="J946" t="n">
        <v>0.5859</v>
      </c>
      <c r="K946" t="n">
        <v>0</v>
      </c>
      <c r="L946" t="n">
        <v>0.703</v>
      </c>
      <c r="M946" t="n">
        <v>0.297</v>
      </c>
    </row>
    <row r="947" spans="1:13">
      <c r="A947" s="1">
        <f>HYPERLINK("http://www.twitter.com/NathanBLawrence/status/995684073388425216", "995684073388425216")</f>
        <v/>
      </c>
      <c r="B947" s="2" t="n">
        <v>43233.63606481482</v>
      </c>
      <c r="C947" t="n">
        <v>11</v>
      </c>
      <c r="D947" t="n">
        <v>5</v>
      </c>
      <c r="E947" t="s">
        <v>958</v>
      </c>
      <c r="F947" t="s"/>
      <c r="G947" t="s"/>
      <c r="H947" t="s"/>
      <c r="I947" t="s"/>
      <c r="J947" t="n">
        <v>-0.6486</v>
      </c>
      <c r="K947" t="n">
        <v>0.281</v>
      </c>
      <c r="L947" t="n">
        <v>0.719</v>
      </c>
      <c r="M947" t="n">
        <v>0</v>
      </c>
    </row>
    <row r="948" spans="1:13">
      <c r="A948" s="1">
        <f>HYPERLINK("http://www.twitter.com/NathanBLawrence/status/995683906253869057", "995683906253869057")</f>
        <v/>
      </c>
      <c r="B948" s="2" t="n">
        <v>43233.63560185185</v>
      </c>
      <c r="C948" t="n">
        <v>6</v>
      </c>
      <c r="D948" t="n">
        <v>5</v>
      </c>
      <c r="E948" t="s">
        <v>959</v>
      </c>
      <c r="F948" t="s"/>
      <c r="G948" t="s"/>
      <c r="H948" t="s"/>
      <c r="I948" t="s"/>
      <c r="J948" t="n">
        <v>0.5719</v>
      </c>
      <c r="K948" t="n">
        <v>0</v>
      </c>
      <c r="L948" t="n">
        <v>0.701</v>
      </c>
      <c r="M948" t="n">
        <v>0.299</v>
      </c>
    </row>
    <row r="949" spans="1:13">
      <c r="A949" s="1">
        <f>HYPERLINK("http://www.twitter.com/NathanBLawrence/status/995683834518691840", "995683834518691840")</f>
        <v/>
      </c>
      <c r="B949" s="2" t="n">
        <v>43233.63540509259</v>
      </c>
      <c r="C949" t="n">
        <v>2</v>
      </c>
      <c r="D949" t="n">
        <v>0</v>
      </c>
      <c r="E949" t="s">
        <v>960</v>
      </c>
      <c r="F949" t="s"/>
      <c r="G949" t="s"/>
      <c r="H949" t="s"/>
      <c r="I949" t="s"/>
      <c r="J949" t="n">
        <v>0.5719</v>
      </c>
      <c r="K949" t="n">
        <v>0.097</v>
      </c>
      <c r="L949" t="n">
        <v>0.552</v>
      </c>
      <c r="M949" t="n">
        <v>0.352</v>
      </c>
    </row>
    <row r="950" spans="1:13">
      <c r="A950" s="1">
        <f>HYPERLINK("http://www.twitter.com/NathanBLawrence/status/995682266041892867", "995682266041892867")</f>
        <v/>
      </c>
      <c r="B950" s="2" t="n">
        <v>43233.63107638889</v>
      </c>
      <c r="C950" t="n">
        <v>11</v>
      </c>
      <c r="D950" t="n">
        <v>6</v>
      </c>
      <c r="E950" t="s">
        <v>961</v>
      </c>
      <c r="F950" t="s"/>
      <c r="G950" t="s"/>
      <c r="H950" t="s"/>
      <c r="I950" t="s"/>
      <c r="J950" t="n">
        <v>-0.5423</v>
      </c>
      <c r="K950" t="n">
        <v>0.156</v>
      </c>
      <c r="L950" t="n">
        <v>0.844</v>
      </c>
      <c r="M950" t="n">
        <v>0</v>
      </c>
    </row>
    <row r="951" spans="1:13">
      <c r="A951" s="1">
        <f>HYPERLINK("http://www.twitter.com/NathanBLawrence/status/995681953536925696", "995681953536925696")</f>
        <v/>
      </c>
      <c r="B951" s="2" t="n">
        <v>43233.63021990741</v>
      </c>
      <c r="C951" t="n">
        <v>16</v>
      </c>
      <c r="D951" t="n">
        <v>6</v>
      </c>
      <c r="E951" t="s">
        <v>962</v>
      </c>
      <c r="F951" t="s"/>
      <c r="G951" t="s"/>
      <c r="H951" t="s"/>
      <c r="I951" t="s"/>
      <c r="J951" t="n">
        <v>0.0516</v>
      </c>
      <c r="K951" t="n">
        <v>0.048</v>
      </c>
      <c r="L951" t="n">
        <v>0.9</v>
      </c>
      <c r="M951" t="n">
        <v>0.052</v>
      </c>
    </row>
    <row r="952" spans="1:13">
      <c r="A952" s="1">
        <f>HYPERLINK("http://www.twitter.com/NathanBLawrence/status/995681416829546496", "995681416829546496")</f>
        <v/>
      </c>
      <c r="B952" s="2" t="n">
        <v>43233.62873842593</v>
      </c>
      <c r="C952" t="n">
        <v>5</v>
      </c>
      <c r="D952" t="n">
        <v>3</v>
      </c>
      <c r="E952" t="s">
        <v>963</v>
      </c>
      <c r="F952" t="s"/>
      <c r="G952" t="s"/>
      <c r="H952" t="s"/>
      <c r="I952" t="s"/>
      <c r="J952" t="n">
        <v>0.8270999999999999</v>
      </c>
      <c r="K952" t="n">
        <v>0</v>
      </c>
      <c r="L952" t="n">
        <v>0.697</v>
      </c>
      <c r="M952" t="n">
        <v>0.303</v>
      </c>
    </row>
    <row r="953" spans="1:13">
      <c r="A953" s="1">
        <f>HYPERLINK("http://www.twitter.com/NathanBLawrence/status/995681078437281795", "995681078437281795")</f>
        <v/>
      </c>
      <c r="B953" s="2" t="n">
        <v>43233.62780092593</v>
      </c>
      <c r="C953" t="n">
        <v>5</v>
      </c>
      <c r="D953" t="n">
        <v>1</v>
      </c>
      <c r="E953" t="s">
        <v>964</v>
      </c>
      <c r="F953" t="s"/>
      <c r="G953" t="s"/>
      <c r="H953" t="s"/>
      <c r="I953" t="s"/>
      <c r="J953" t="n">
        <v>-0.4767</v>
      </c>
      <c r="K953" t="n">
        <v>0.193</v>
      </c>
      <c r="L953" t="n">
        <v>0.8070000000000001</v>
      </c>
      <c r="M953" t="n">
        <v>0</v>
      </c>
    </row>
    <row r="954" spans="1:13">
      <c r="A954" s="1">
        <f>HYPERLINK("http://www.twitter.com/NathanBLawrence/status/995680721581703168", "995680721581703168")</f>
        <v/>
      </c>
      <c r="B954" s="2" t="n">
        <v>43233.62681712963</v>
      </c>
      <c r="C954" t="n">
        <v>1</v>
      </c>
      <c r="D954" t="n">
        <v>0</v>
      </c>
      <c r="E954" t="s">
        <v>965</v>
      </c>
      <c r="F954" t="s"/>
      <c r="G954" t="s"/>
      <c r="H954" t="s"/>
      <c r="I954" t="s"/>
      <c r="J954" t="n">
        <v>0.3612</v>
      </c>
      <c r="K954" t="n">
        <v>0</v>
      </c>
      <c r="L954" t="n">
        <v>0.828</v>
      </c>
      <c r="M954" t="n">
        <v>0.172</v>
      </c>
    </row>
    <row r="955" spans="1:13">
      <c r="A955" s="1">
        <f>HYPERLINK("http://www.twitter.com/NathanBLawrence/status/995680190968745984", "995680190968745984")</f>
        <v/>
      </c>
      <c r="B955" s="2" t="n">
        <v>43233.62535879629</v>
      </c>
      <c r="C955" t="n">
        <v>8</v>
      </c>
      <c r="D955" t="n">
        <v>9</v>
      </c>
      <c r="E955" t="s">
        <v>966</v>
      </c>
      <c r="F955" t="s"/>
      <c r="G955" t="s"/>
      <c r="H955" t="s"/>
      <c r="I955" t="s"/>
      <c r="J955" t="n">
        <v>-0.8225</v>
      </c>
      <c r="K955" t="n">
        <v>0.439</v>
      </c>
      <c r="L955" t="n">
        <v>0.5610000000000001</v>
      </c>
      <c r="M955" t="n">
        <v>0</v>
      </c>
    </row>
    <row r="956" spans="1:13">
      <c r="A956" s="1">
        <f>HYPERLINK("http://www.twitter.com/NathanBLawrence/status/995680112434597889", "995680112434597889")</f>
        <v/>
      </c>
      <c r="B956" s="2" t="n">
        <v>43233.62513888889</v>
      </c>
      <c r="C956" t="n">
        <v>0</v>
      </c>
      <c r="D956" t="n">
        <v>5549</v>
      </c>
      <c r="E956" t="s">
        <v>967</v>
      </c>
      <c r="F956" t="s"/>
      <c r="G956" t="s"/>
      <c r="H956" t="s"/>
      <c r="I956" t="s"/>
      <c r="J956" t="n">
        <v>-0.8331</v>
      </c>
      <c r="K956" t="n">
        <v>0.356</v>
      </c>
      <c r="L956" t="n">
        <v>0.644</v>
      </c>
      <c r="M956" t="n">
        <v>0</v>
      </c>
    </row>
    <row r="957" spans="1:13">
      <c r="A957" s="1">
        <f>HYPERLINK("http://www.twitter.com/NathanBLawrence/status/995680033539702784", "995680033539702784")</f>
        <v/>
      </c>
      <c r="B957" s="2" t="n">
        <v>43233.62491898148</v>
      </c>
      <c r="C957" t="n">
        <v>0</v>
      </c>
      <c r="D957" t="n">
        <v>30009</v>
      </c>
      <c r="E957" t="s">
        <v>968</v>
      </c>
      <c r="F957">
        <f>HYPERLINK("https://video.twimg.com/ext_tw_video/995641981895413760/pu/vid/1280x720/9k3XSGe-onEF0kwQ.mp4?tag=3", "https://video.twimg.com/ext_tw_video/995641981895413760/pu/vid/1280x720/9k3XSGe-onEF0kwQ.mp4?tag=3")</f>
        <v/>
      </c>
      <c r="G957" t="s"/>
      <c r="H957" t="s"/>
      <c r="I957" t="s"/>
      <c r="J957" t="n">
        <v>0.6784</v>
      </c>
      <c r="K957" t="n">
        <v>0</v>
      </c>
      <c r="L957" t="n">
        <v>0.522</v>
      </c>
      <c r="M957" t="n">
        <v>0.478</v>
      </c>
    </row>
    <row r="958" spans="1:13">
      <c r="A958" s="1">
        <f>HYPERLINK("http://www.twitter.com/NathanBLawrence/status/995680010840113152", "995680010840113152")</f>
        <v/>
      </c>
      <c r="B958" s="2" t="n">
        <v>43233.62486111111</v>
      </c>
      <c r="C958" t="n">
        <v>0</v>
      </c>
      <c r="D958" t="n">
        <v>4348</v>
      </c>
      <c r="E958" t="s">
        <v>969</v>
      </c>
      <c r="F958" t="s"/>
      <c r="G958" t="s"/>
      <c r="H958" t="s"/>
      <c r="I958" t="s"/>
      <c r="J958" t="n">
        <v>0.8519</v>
      </c>
      <c r="K958" t="n">
        <v>0</v>
      </c>
      <c r="L958" t="n">
        <v>0.6830000000000001</v>
      </c>
      <c r="M958" t="n">
        <v>0.317</v>
      </c>
    </row>
    <row r="959" spans="1:13">
      <c r="A959" s="1">
        <f>HYPERLINK("http://www.twitter.com/NathanBLawrence/status/995679820695535617", "995679820695535617")</f>
        <v/>
      </c>
      <c r="B959" s="2" t="n">
        <v>43233.62432870371</v>
      </c>
      <c r="C959" t="n">
        <v>0</v>
      </c>
      <c r="D959" t="n">
        <v>12</v>
      </c>
      <c r="E959" t="s">
        <v>970</v>
      </c>
      <c r="F959">
        <f>HYPERLINK("http://pbs.twimg.com/media/Dc69WpXW0AAVLBU.jpg", "http://pbs.twimg.com/media/Dc69WpXW0AAVLBU.jpg")</f>
        <v/>
      </c>
      <c r="G959" t="s"/>
      <c r="H959" t="s"/>
      <c r="I959" t="s"/>
      <c r="J959" t="n">
        <v>0</v>
      </c>
      <c r="K959" t="n">
        <v>0</v>
      </c>
      <c r="L959" t="n">
        <v>1</v>
      </c>
      <c r="M959" t="n">
        <v>0</v>
      </c>
    </row>
    <row r="960" spans="1:13">
      <c r="A960" s="1">
        <f>HYPERLINK("http://www.twitter.com/NathanBLawrence/status/995679799103242241", "995679799103242241")</f>
        <v/>
      </c>
      <c r="B960" s="2" t="n">
        <v>43233.62427083333</v>
      </c>
      <c r="C960" t="n">
        <v>0</v>
      </c>
      <c r="D960" t="n">
        <v>96</v>
      </c>
      <c r="E960" t="s">
        <v>971</v>
      </c>
      <c r="F960" t="s"/>
      <c r="G960" t="s"/>
      <c r="H960" t="s"/>
      <c r="I960" t="s"/>
      <c r="J960" t="n">
        <v>0</v>
      </c>
      <c r="K960" t="n">
        <v>0</v>
      </c>
      <c r="L960" t="n">
        <v>1</v>
      </c>
      <c r="M960" t="n">
        <v>0</v>
      </c>
    </row>
    <row r="961" spans="1:13">
      <c r="A961" s="1">
        <f>HYPERLINK("http://www.twitter.com/NathanBLawrence/status/995679529568894976", "995679529568894976")</f>
        <v/>
      </c>
      <c r="B961" s="2" t="n">
        <v>43233.62353009259</v>
      </c>
      <c r="C961" t="n">
        <v>0</v>
      </c>
      <c r="D961" t="n">
        <v>8450</v>
      </c>
      <c r="E961" t="s">
        <v>972</v>
      </c>
      <c r="F961">
        <f>HYPERLINK("http://pbs.twimg.com/media/DdCOfSBUQAAytiR.jpg", "http://pbs.twimg.com/media/DdCOfSBUQAAytiR.jpg")</f>
        <v/>
      </c>
      <c r="G961" t="s"/>
      <c r="H961" t="s"/>
      <c r="I961" t="s"/>
      <c r="J961" t="n">
        <v>0.7184</v>
      </c>
      <c r="K961" t="n">
        <v>0</v>
      </c>
      <c r="L961" t="n">
        <v>0.76</v>
      </c>
      <c r="M961" t="n">
        <v>0.24</v>
      </c>
    </row>
    <row r="962" spans="1:13">
      <c r="A962" s="1">
        <f>HYPERLINK("http://www.twitter.com/NathanBLawrence/status/995679448551735303", "995679448551735303")</f>
        <v/>
      </c>
      <c r="B962" s="2" t="n">
        <v>43233.62331018518</v>
      </c>
      <c r="C962" t="n">
        <v>0</v>
      </c>
      <c r="D962" t="n">
        <v>5728</v>
      </c>
      <c r="E962" t="s">
        <v>973</v>
      </c>
      <c r="F962">
        <f>HYPERLINK("https://video.twimg.com/amplify_video/995631946138087424/vid/1280x720/vdgsHTDwewHCjdAN.mp4?tag=2", "https://video.twimg.com/amplify_video/995631946138087424/vid/1280x720/vdgsHTDwewHCjdAN.mp4?tag=2")</f>
        <v/>
      </c>
      <c r="G962" t="s"/>
      <c r="H962" t="s"/>
      <c r="I962" t="s"/>
      <c r="J962" t="n">
        <v>0.3612</v>
      </c>
      <c r="K962" t="n">
        <v>0</v>
      </c>
      <c r="L962" t="n">
        <v>0.865</v>
      </c>
      <c r="M962" t="n">
        <v>0.135</v>
      </c>
    </row>
    <row r="963" spans="1:13">
      <c r="A963" s="1">
        <f>HYPERLINK("http://www.twitter.com/NathanBLawrence/status/995679354171490304", "995679354171490304")</f>
        <v/>
      </c>
      <c r="B963" s="2" t="n">
        <v>43233.62304398148</v>
      </c>
      <c r="C963" t="n">
        <v>0</v>
      </c>
      <c r="D963" t="n">
        <v>2426</v>
      </c>
      <c r="E963" t="s">
        <v>974</v>
      </c>
      <c r="F963" t="s"/>
      <c r="G963" t="s"/>
      <c r="H963" t="s"/>
      <c r="I963" t="s"/>
      <c r="J963" t="n">
        <v>0</v>
      </c>
      <c r="K963" t="n">
        <v>0</v>
      </c>
      <c r="L963" t="n">
        <v>1</v>
      </c>
      <c r="M963" t="n">
        <v>0</v>
      </c>
    </row>
    <row r="964" spans="1:13">
      <c r="A964" s="1">
        <f>HYPERLINK("http://www.twitter.com/NathanBLawrence/status/995679276945952768", "995679276945952768")</f>
        <v/>
      </c>
      <c r="B964" s="2" t="n">
        <v>43233.62283564815</v>
      </c>
      <c r="C964" t="n">
        <v>0</v>
      </c>
      <c r="D964" t="n">
        <v>28413</v>
      </c>
      <c r="E964" t="s">
        <v>975</v>
      </c>
      <c r="F964" t="s"/>
      <c r="G964" t="s"/>
      <c r="H964" t="s"/>
      <c r="I964" t="s"/>
      <c r="J964" t="n">
        <v>0.34</v>
      </c>
      <c r="K964" t="n">
        <v>0.075</v>
      </c>
      <c r="L964" t="n">
        <v>0.754</v>
      </c>
      <c r="M964" t="n">
        <v>0.171</v>
      </c>
    </row>
    <row r="965" spans="1:13">
      <c r="A965" s="1">
        <f>HYPERLINK("http://www.twitter.com/NathanBLawrence/status/995678728465219585", "995678728465219585")</f>
        <v/>
      </c>
      <c r="B965" s="2" t="n">
        <v>43233.62131944444</v>
      </c>
      <c r="C965" t="n">
        <v>2</v>
      </c>
      <c r="D965" t="n">
        <v>2</v>
      </c>
      <c r="E965" t="s">
        <v>976</v>
      </c>
      <c r="F965" t="s"/>
      <c r="G965" t="s"/>
      <c r="H965" t="s"/>
      <c r="I965" t="s"/>
      <c r="J965" t="n">
        <v>0.6249</v>
      </c>
      <c r="K965" t="n">
        <v>0</v>
      </c>
      <c r="L965" t="n">
        <v>0.494</v>
      </c>
      <c r="M965" t="n">
        <v>0.506</v>
      </c>
    </row>
    <row r="966" spans="1:13">
      <c r="A966" s="1">
        <f>HYPERLINK("http://www.twitter.com/NathanBLawrence/status/995542239358074881", "995542239358074881")</f>
        <v/>
      </c>
      <c r="B966" s="2" t="n">
        <v>43233.24467592593</v>
      </c>
      <c r="C966" t="n">
        <v>16</v>
      </c>
      <c r="D966" t="n">
        <v>18</v>
      </c>
      <c r="E966" t="s">
        <v>977</v>
      </c>
      <c r="F966" t="s"/>
      <c r="G966" t="s"/>
      <c r="H966" t="s"/>
      <c r="I966" t="s"/>
      <c r="J966" t="n">
        <v>-0.8878</v>
      </c>
      <c r="K966" t="n">
        <v>0.353</v>
      </c>
      <c r="L966" t="n">
        <v>0.647</v>
      </c>
      <c r="M966" t="n">
        <v>0</v>
      </c>
    </row>
    <row r="967" spans="1:13">
      <c r="A967" s="1">
        <f>HYPERLINK("http://www.twitter.com/NathanBLawrence/status/995541923371745280", "995541923371745280")</f>
        <v/>
      </c>
      <c r="B967" s="2" t="n">
        <v>43233.24380787037</v>
      </c>
      <c r="C967" t="n">
        <v>14</v>
      </c>
      <c r="D967" t="n">
        <v>12</v>
      </c>
      <c r="E967" t="s">
        <v>978</v>
      </c>
      <c r="F967" t="s"/>
      <c r="G967" t="s"/>
      <c r="H967" t="s"/>
      <c r="I967" t="s"/>
      <c r="J967" t="n">
        <v>-0.6705</v>
      </c>
      <c r="K967" t="n">
        <v>0.201</v>
      </c>
      <c r="L967" t="n">
        <v>0.73</v>
      </c>
      <c r="M967" t="n">
        <v>0.06900000000000001</v>
      </c>
    </row>
    <row r="968" spans="1:13">
      <c r="A968" s="1">
        <f>HYPERLINK("http://www.twitter.com/NathanBLawrence/status/995541156380327937", "995541156380327937")</f>
        <v/>
      </c>
      <c r="B968" s="2" t="n">
        <v>43233.24168981481</v>
      </c>
      <c r="C968" t="n">
        <v>18</v>
      </c>
      <c r="D968" t="n">
        <v>14</v>
      </c>
      <c r="E968" t="s">
        <v>979</v>
      </c>
      <c r="F968" t="s"/>
      <c r="G968" t="s"/>
      <c r="H968" t="s"/>
      <c r="I968" t="s"/>
      <c r="J968" t="n">
        <v>-0.4767</v>
      </c>
      <c r="K968" t="n">
        <v>0.08400000000000001</v>
      </c>
      <c r="L968" t="n">
        <v>0.916</v>
      </c>
      <c r="M968" t="n">
        <v>0</v>
      </c>
    </row>
    <row r="969" spans="1:13">
      <c r="A969" s="1">
        <f>HYPERLINK("http://www.twitter.com/NathanBLawrence/status/995541044455358464", "995541044455358464")</f>
        <v/>
      </c>
      <c r="B969" s="2" t="n">
        <v>43233.24137731481</v>
      </c>
      <c r="C969" t="n">
        <v>18</v>
      </c>
      <c r="D969" t="n">
        <v>17</v>
      </c>
      <c r="E969" t="s">
        <v>980</v>
      </c>
      <c r="F969" t="s"/>
      <c r="G969" t="s"/>
      <c r="H969" t="s"/>
      <c r="I969" t="s"/>
      <c r="J969" t="n">
        <v>-0.3612</v>
      </c>
      <c r="K969" t="n">
        <v>0.104</v>
      </c>
      <c r="L969" t="n">
        <v>0.842</v>
      </c>
      <c r="M969" t="n">
        <v>0.054</v>
      </c>
    </row>
    <row r="970" spans="1:13">
      <c r="A970" s="1">
        <f>HYPERLINK("http://www.twitter.com/NathanBLawrence/status/995540270593654784", "995540270593654784")</f>
        <v/>
      </c>
      <c r="B970" s="2" t="n">
        <v>43233.23924768518</v>
      </c>
      <c r="C970" t="n">
        <v>5</v>
      </c>
      <c r="D970" t="n">
        <v>4</v>
      </c>
      <c r="E970" t="s">
        <v>981</v>
      </c>
      <c r="F970" t="s"/>
      <c r="G970" t="s"/>
      <c r="H970" t="s"/>
      <c r="I970" t="s"/>
      <c r="J970" t="n">
        <v>0</v>
      </c>
      <c r="K970" t="n">
        <v>0</v>
      </c>
      <c r="L970" t="n">
        <v>1</v>
      </c>
      <c r="M970" t="n">
        <v>0</v>
      </c>
    </row>
    <row r="971" spans="1:13">
      <c r="A971" s="1">
        <f>HYPERLINK("http://www.twitter.com/NathanBLawrence/status/995540096756535297", "995540096756535297")</f>
        <v/>
      </c>
      <c r="B971" s="2" t="n">
        <v>43233.23876157407</v>
      </c>
      <c r="C971" t="n">
        <v>4</v>
      </c>
      <c r="D971" t="n">
        <v>1</v>
      </c>
      <c r="E971" t="s">
        <v>982</v>
      </c>
      <c r="F971" t="s"/>
      <c r="G971" t="s"/>
      <c r="H971" t="s"/>
      <c r="I971" t="s"/>
      <c r="J971" t="n">
        <v>0</v>
      </c>
      <c r="K971" t="n">
        <v>0</v>
      </c>
      <c r="L971" t="n">
        <v>1</v>
      </c>
      <c r="M971" t="n">
        <v>0</v>
      </c>
    </row>
    <row r="972" spans="1:13">
      <c r="A972" s="1">
        <f>HYPERLINK("http://www.twitter.com/NathanBLawrence/status/995539842011295744", "995539842011295744")</f>
        <v/>
      </c>
      <c r="B972" s="2" t="n">
        <v>43233.23806712963</v>
      </c>
      <c r="C972" t="n">
        <v>1</v>
      </c>
      <c r="D972" t="n">
        <v>0</v>
      </c>
      <c r="E972" t="s">
        <v>983</v>
      </c>
      <c r="F972" t="s"/>
      <c r="G972" t="s"/>
      <c r="H972" t="s"/>
      <c r="I972" t="s"/>
      <c r="J972" t="n">
        <v>0</v>
      </c>
      <c r="K972" t="n">
        <v>0</v>
      </c>
      <c r="L972" t="n">
        <v>1</v>
      </c>
      <c r="M972" t="n">
        <v>0</v>
      </c>
    </row>
    <row r="973" spans="1:13">
      <c r="A973" s="1">
        <f>HYPERLINK("http://www.twitter.com/NathanBLawrence/status/995539656652419073", "995539656652419073")</f>
        <v/>
      </c>
      <c r="B973" s="2" t="n">
        <v>43233.23755787037</v>
      </c>
      <c r="C973" t="n">
        <v>3</v>
      </c>
      <c r="D973" t="n">
        <v>2</v>
      </c>
      <c r="E973" t="s">
        <v>984</v>
      </c>
      <c r="F973" t="s"/>
      <c r="G973" t="s"/>
      <c r="H973" t="s"/>
      <c r="I973" t="s"/>
      <c r="J973" t="n">
        <v>-0.34</v>
      </c>
      <c r="K973" t="n">
        <v>0.286</v>
      </c>
      <c r="L973" t="n">
        <v>0.714</v>
      </c>
      <c r="M973" t="n">
        <v>0</v>
      </c>
    </row>
    <row r="974" spans="1:13">
      <c r="A974" s="1">
        <f>HYPERLINK("http://www.twitter.com/NathanBLawrence/status/995539469469011969", "995539469469011969")</f>
        <v/>
      </c>
      <c r="B974" s="2" t="n">
        <v>43233.23703703703</v>
      </c>
      <c r="C974" t="n">
        <v>12</v>
      </c>
      <c r="D974" t="n">
        <v>8</v>
      </c>
      <c r="E974" t="s">
        <v>985</v>
      </c>
      <c r="F974" t="s"/>
      <c r="G974" t="s"/>
      <c r="H974" t="s"/>
      <c r="I974" t="s"/>
      <c r="J974" t="n">
        <v>0</v>
      </c>
      <c r="K974" t="n">
        <v>0</v>
      </c>
      <c r="L974" t="n">
        <v>1</v>
      </c>
      <c r="M974" t="n">
        <v>0</v>
      </c>
    </row>
    <row r="975" spans="1:13">
      <c r="A975" s="1">
        <f>HYPERLINK("http://www.twitter.com/NathanBLawrence/status/995539390335086592", "995539390335086592")</f>
        <v/>
      </c>
      <c r="B975" s="2" t="n">
        <v>43233.23681712963</v>
      </c>
      <c r="C975" t="n">
        <v>7</v>
      </c>
      <c r="D975" t="n">
        <v>4</v>
      </c>
      <c r="E975" t="s">
        <v>986</v>
      </c>
      <c r="F975" t="s"/>
      <c r="G975" t="s"/>
      <c r="H975" t="s"/>
      <c r="I975" t="s"/>
      <c r="J975" t="n">
        <v>0</v>
      </c>
      <c r="K975" t="n">
        <v>0</v>
      </c>
      <c r="L975" t="n">
        <v>1</v>
      </c>
      <c r="M975" t="n">
        <v>0</v>
      </c>
    </row>
    <row r="976" spans="1:13">
      <c r="A976" s="1">
        <f>HYPERLINK("http://www.twitter.com/NathanBLawrence/status/995538988252381184", "995538988252381184")</f>
        <v/>
      </c>
      <c r="B976" s="2" t="n">
        <v>43233.23570601852</v>
      </c>
      <c r="C976" t="n">
        <v>22</v>
      </c>
      <c r="D976" t="n">
        <v>6</v>
      </c>
      <c r="E976" t="s">
        <v>987</v>
      </c>
      <c r="F976" t="s"/>
      <c r="G976" t="s"/>
      <c r="H976" t="s"/>
      <c r="I976" t="s"/>
      <c r="J976" t="n">
        <v>0</v>
      </c>
      <c r="K976" t="n">
        <v>0</v>
      </c>
      <c r="L976" t="n">
        <v>1</v>
      </c>
      <c r="M976" t="n">
        <v>0</v>
      </c>
    </row>
    <row r="977" spans="1:13">
      <c r="A977" s="1">
        <f>HYPERLINK("http://www.twitter.com/NathanBLawrence/status/995538316274450432", "995538316274450432")</f>
        <v/>
      </c>
      <c r="B977" s="2" t="n">
        <v>43233.23385416667</v>
      </c>
      <c r="C977" t="n">
        <v>6</v>
      </c>
      <c r="D977" t="n">
        <v>3</v>
      </c>
      <c r="E977" t="s">
        <v>988</v>
      </c>
      <c r="F977" t="s"/>
      <c r="G977" t="s"/>
      <c r="H977" t="s"/>
      <c r="I977" t="s"/>
      <c r="J977" t="n">
        <v>-0.8236</v>
      </c>
      <c r="K977" t="n">
        <v>0.301</v>
      </c>
      <c r="L977" t="n">
        <v>0.699</v>
      </c>
      <c r="M977" t="n">
        <v>0</v>
      </c>
    </row>
    <row r="978" spans="1:13">
      <c r="A978" s="1">
        <f>HYPERLINK("http://www.twitter.com/NathanBLawrence/status/995538127035879424", "995538127035879424")</f>
        <v/>
      </c>
      <c r="B978" s="2" t="n">
        <v>43233.23333333333</v>
      </c>
      <c r="C978" t="n">
        <v>12</v>
      </c>
      <c r="D978" t="n">
        <v>10</v>
      </c>
      <c r="E978" t="s">
        <v>989</v>
      </c>
      <c r="F978" t="s"/>
      <c r="G978" t="s"/>
      <c r="H978" t="s"/>
      <c r="I978" t="s"/>
      <c r="J978" t="n">
        <v>0.7824</v>
      </c>
      <c r="K978" t="n">
        <v>0.095</v>
      </c>
      <c r="L978" t="n">
        <v>0.661</v>
      </c>
      <c r="M978" t="n">
        <v>0.244</v>
      </c>
    </row>
    <row r="979" spans="1:13">
      <c r="A979" s="1">
        <f>HYPERLINK("http://www.twitter.com/NathanBLawrence/status/995537473793998849", "995537473793998849")</f>
        <v/>
      </c>
      <c r="B979" s="2" t="n">
        <v>43233.23152777777</v>
      </c>
      <c r="C979" t="n">
        <v>5</v>
      </c>
      <c r="D979" t="n">
        <v>2</v>
      </c>
      <c r="E979" t="s">
        <v>990</v>
      </c>
      <c r="F979" t="s"/>
      <c r="G979" t="s"/>
      <c r="H979" t="s"/>
      <c r="I979" t="s"/>
      <c r="J979" t="n">
        <v>0.4019</v>
      </c>
      <c r="K979" t="n">
        <v>0</v>
      </c>
      <c r="L979" t="n">
        <v>0.803</v>
      </c>
      <c r="M979" t="n">
        <v>0.197</v>
      </c>
    </row>
    <row r="980" spans="1:13">
      <c r="A980" s="1">
        <f>HYPERLINK("http://www.twitter.com/NathanBLawrence/status/995536954413350912", "995536954413350912")</f>
        <v/>
      </c>
      <c r="B980" s="2" t="n">
        <v>43233.2300925926</v>
      </c>
      <c r="C980" t="n">
        <v>6</v>
      </c>
      <c r="D980" t="n">
        <v>3</v>
      </c>
      <c r="E980" t="s">
        <v>991</v>
      </c>
      <c r="F980" t="s"/>
      <c r="G980" t="s"/>
      <c r="H980" t="s"/>
      <c r="I980" t="s"/>
      <c r="J980" t="n">
        <v>-0.5266999999999999</v>
      </c>
      <c r="K980" t="n">
        <v>0.175</v>
      </c>
      <c r="L980" t="n">
        <v>0.825</v>
      </c>
      <c r="M980" t="n">
        <v>0</v>
      </c>
    </row>
    <row r="981" spans="1:13">
      <c r="A981" s="1">
        <f>HYPERLINK("http://www.twitter.com/NathanBLawrence/status/995536807201718272", "995536807201718272")</f>
        <v/>
      </c>
      <c r="B981" s="2" t="n">
        <v>43233.2296875</v>
      </c>
      <c r="C981" t="n">
        <v>2</v>
      </c>
      <c r="D981" t="n">
        <v>0</v>
      </c>
      <c r="E981" t="s">
        <v>992</v>
      </c>
      <c r="F981" t="s"/>
      <c r="G981" t="s"/>
      <c r="H981" t="s"/>
      <c r="I981" t="s"/>
      <c r="J981" t="n">
        <v>0.466</v>
      </c>
      <c r="K981" t="n">
        <v>0</v>
      </c>
      <c r="L981" t="n">
        <v>0.831</v>
      </c>
      <c r="M981" t="n">
        <v>0.169</v>
      </c>
    </row>
    <row r="982" spans="1:13">
      <c r="A982" s="1">
        <f>HYPERLINK("http://www.twitter.com/NathanBLawrence/status/995536616977399809", "995536616977399809")</f>
        <v/>
      </c>
      <c r="B982" s="2" t="n">
        <v>43233.22916666666</v>
      </c>
      <c r="C982" t="n">
        <v>0</v>
      </c>
      <c r="D982" t="n">
        <v>9</v>
      </c>
      <c r="E982" t="s">
        <v>993</v>
      </c>
      <c r="F982" t="s"/>
      <c r="G982" t="s"/>
      <c r="H982" t="s"/>
      <c r="I982" t="s"/>
      <c r="J982" t="n">
        <v>0.6239</v>
      </c>
      <c r="K982" t="n">
        <v>0</v>
      </c>
      <c r="L982" t="n">
        <v>0.77</v>
      </c>
      <c r="M982" t="n">
        <v>0.23</v>
      </c>
    </row>
    <row r="983" spans="1:13">
      <c r="A983" s="1">
        <f>HYPERLINK("http://www.twitter.com/NathanBLawrence/status/995536592402956288", "995536592402956288")</f>
        <v/>
      </c>
      <c r="B983" s="2" t="n">
        <v>43233.22909722223</v>
      </c>
      <c r="C983" t="n">
        <v>8</v>
      </c>
      <c r="D983" t="n">
        <v>3</v>
      </c>
      <c r="E983" t="s">
        <v>994</v>
      </c>
      <c r="F983" t="s"/>
      <c r="G983" t="s"/>
      <c r="H983" t="s"/>
      <c r="I983" t="s"/>
      <c r="J983" t="n">
        <v>0</v>
      </c>
      <c r="K983" t="n">
        <v>0</v>
      </c>
      <c r="L983" t="n">
        <v>1</v>
      </c>
      <c r="M983" t="n">
        <v>0</v>
      </c>
    </row>
    <row r="984" spans="1:13">
      <c r="A984" s="1">
        <f>HYPERLINK("http://www.twitter.com/NathanBLawrence/status/995536251766824962", "995536251766824962")</f>
        <v/>
      </c>
      <c r="B984" s="2" t="n">
        <v>43233.22815972222</v>
      </c>
      <c r="C984" t="n">
        <v>2</v>
      </c>
      <c r="D984" t="n">
        <v>0</v>
      </c>
      <c r="E984" t="s">
        <v>995</v>
      </c>
      <c r="F984" t="s"/>
      <c r="G984" t="s"/>
      <c r="H984" t="s"/>
      <c r="I984" t="s"/>
      <c r="J984" t="n">
        <v>0.4019</v>
      </c>
      <c r="K984" t="n">
        <v>0</v>
      </c>
      <c r="L984" t="n">
        <v>0.769</v>
      </c>
      <c r="M984" t="n">
        <v>0.231</v>
      </c>
    </row>
    <row r="985" spans="1:13">
      <c r="A985" s="1">
        <f>HYPERLINK("http://www.twitter.com/NathanBLawrence/status/995536194426437633", "995536194426437633")</f>
        <v/>
      </c>
      <c r="B985" s="2" t="n">
        <v>43233.22799768519</v>
      </c>
      <c r="C985" t="n">
        <v>1</v>
      </c>
      <c r="D985" t="n">
        <v>0</v>
      </c>
      <c r="E985" t="s">
        <v>996</v>
      </c>
      <c r="F985" t="s"/>
      <c r="G985" t="s"/>
      <c r="H985" t="s"/>
      <c r="I985" t="s"/>
      <c r="J985" t="n">
        <v>0.2023</v>
      </c>
      <c r="K985" t="n">
        <v>0</v>
      </c>
      <c r="L985" t="n">
        <v>0.859</v>
      </c>
      <c r="M985" t="n">
        <v>0.141</v>
      </c>
    </row>
    <row r="986" spans="1:13">
      <c r="A986" s="1">
        <f>HYPERLINK("http://www.twitter.com/NathanBLawrence/status/995520126253322240", "995520126253322240")</f>
        <v/>
      </c>
      <c r="B986" s="2" t="n">
        <v>43233.1836574074</v>
      </c>
      <c r="C986" t="n">
        <v>22</v>
      </c>
      <c r="D986" t="n">
        <v>9</v>
      </c>
      <c r="E986" t="s">
        <v>997</v>
      </c>
      <c r="F986" t="s"/>
      <c r="G986" t="s"/>
      <c r="H986" t="s"/>
      <c r="I986" t="s"/>
      <c r="J986" t="n">
        <v>0.6239</v>
      </c>
      <c r="K986" t="n">
        <v>0</v>
      </c>
      <c r="L986" t="n">
        <v>0.759</v>
      </c>
      <c r="M986" t="n">
        <v>0.241</v>
      </c>
    </row>
    <row r="987" spans="1:13">
      <c r="A987" s="1">
        <f>HYPERLINK("http://www.twitter.com/NathanBLawrence/status/995519903472893953", "995519903472893953")</f>
        <v/>
      </c>
      <c r="B987" s="2" t="n">
        <v>43233.18304398148</v>
      </c>
      <c r="C987" t="n">
        <v>0</v>
      </c>
      <c r="D987" t="n">
        <v>327</v>
      </c>
      <c r="E987" t="s">
        <v>998</v>
      </c>
      <c r="F987">
        <f>HYPERLINK("https://video.twimg.com/ext_tw_video/995437544069369858/pu/vid/644x360/HTXHEGKKimFmQ2hH.mp4?tag=3", "https://video.twimg.com/ext_tw_video/995437544069369858/pu/vid/644x360/HTXHEGKKimFmQ2hH.mp4?tag=3")</f>
        <v/>
      </c>
      <c r="G987" t="s"/>
      <c r="H987" t="s"/>
      <c r="I987" t="s"/>
      <c r="J987" t="n">
        <v>-0.296</v>
      </c>
      <c r="K987" t="n">
        <v>0.104</v>
      </c>
      <c r="L987" t="n">
        <v>0.896</v>
      </c>
      <c r="M987" t="n">
        <v>0</v>
      </c>
    </row>
    <row r="988" spans="1:13">
      <c r="A988" s="1">
        <f>HYPERLINK("http://www.twitter.com/NathanBLawrence/status/995519829430841344", "995519829430841344")</f>
        <v/>
      </c>
      <c r="B988" s="2" t="n">
        <v>43233.18283564815</v>
      </c>
      <c r="C988" t="n">
        <v>0</v>
      </c>
      <c r="D988" t="n">
        <v>989</v>
      </c>
      <c r="E988" t="s">
        <v>999</v>
      </c>
      <c r="F988" t="s"/>
      <c r="G988" t="s"/>
      <c r="H988" t="s"/>
      <c r="I988" t="s"/>
      <c r="J988" t="n">
        <v>0.4939</v>
      </c>
      <c r="K988" t="n">
        <v>0</v>
      </c>
      <c r="L988" t="n">
        <v>0.868</v>
      </c>
      <c r="M988" t="n">
        <v>0.132</v>
      </c>
    </row>
    <row r="989" spans="1:13">
      <c r="A989" s="1">
        <f>HYPERLINK("http://www.twitter.com/NathanBLawrence/status/995519717585575936", "995519717585575936")</f>
        <v/>
      </c>
      <c r="B989" s="2" t="n">
        <v>43233.18253472223</v>
      </c>
      <c r="C989" t="n">
        <v>0</v>
      </c>
      <c r="D989" t="n">
        <v>179</v>
      </c>
      <c r="E989" t="s">
        <v>1000</v>
      </c>
      <c r="F989" t="s"/>
      <c r="G989" t="s"/>
      <c r="H989" t="s"/>
      <c r="I989" t="s"/>
      <c r="J989" t="n">
        <v>-0.5255</v>
      </c>
      <c r="K989" t="n">
        <v>0.169</v>
      </c>
      <c r="L989" t="n">
        <v>0.752</v>
      </c>
      <c r="M989" t="n">
        <v>0.079</v>
      </c>
    </row>
    <row r="990" spans="1:13">
      <c r="A990" s="1">
        <f>HYPERLINK("http://www.twitter.com/NathanBLawrence/status/995519471409287168", "995519471409287168")</f>
        <v/>
      </c>
      <c r="B990" s="2" t="n">
        <v>43233.18185185185</v>
      </c>
      <c r="C990" t="n">
        <v>0</v>
      </c>
      <c r="D990" t="n">
        <v>3</v>
      </c>
      <c r="E990" t="s">
        <v>1001</v>
      </c>
      <c r="F990" t="s"/>
      <c r="G990" t="s"/>
      <c r="H990" t="s"/>
      <c r="I990" t="s"/>
      <c r="J990" t="n">
        <v>0.6155</v>
      </c>
      <c r="K990" t="n">
        <v>0</v>
      </c>
      <c r="L990" t="n">
        <v>0.832</v>
      </c>
      <c r="M990" t="n">
        <v>0.168</v>
      </c>
    </row>
    <row r="991" spans="1:13">
      <c r="A991" s="1">
        <f>HYPERLINK("http://www.twitter.com/NathanBLawrence/status/995518567285063680", "995518567285063680")</f>
        <v/>
      </c>
      <c r="B991" s="2" t="n">
        <v>43233.17935185185</v>
      </c>
      <c r="C991" t="n">
        <v>0</v>
      </c>
      <c r="D991" t="n">
        <v>88</v>
      </c>
      <c r="E991" t="s">
        <v>1002</v>
      </c>
      <c r="F991">
        <f>HYPERLINK("http://pbs.twimg.com/media/DdAQVdjVwAAyf7Q.jpg", "http://pbs.twimg.com/media/DdAQVdjVwAAyf7Q.jpg")</f>
        <v/>
      </c>
      <c r="G991" t="s"/>
      <c r="H991" t="s"/>
      <c r="I991" t="s"/>
      <c r="J991" t="n">
        <v>0.4019</v>
      </c>
      <c r="K991" t="n">
        <v>0</v>
      </c>
      <c r="L991" t="n">
        <v>0.838</v>
      </c>
      <c r="M991" t="n">
        <v>0.162</v>
      </c>
    </row>
    <row r="992" spans="1:13">
      <c r="A992" s="1">
        <f>HYPERLINK("http://www.twitter.com/NathanBLawrence/status/995518511668588545", "995518511668588545")</f>
        <v/>
      </c>
      <c r="B992" s="2" t="n">
        <v>43233.17920138889</v>
      </c>
      <c r="C992" t="n">
        <v>0</v>
      </c>
      <c r="D992" t="n">
        <v>20</v>
      </c>
      <c r="E992" t="s">
        <v>1003</v>
      </c>
      <c r="F992">
        <f>HYPERLINK("http://pbs.twimg.com/media/DdAi3jpVQAE9_lD.jpg", "http://pbs.twimg.com/media/DdAi3jpVQAE9_lD.jpg")</f>
        <v/>
      </c>
      <c r="G992" t="s"/>
      <c r="H992" t="s"/>
      <c r="I992" t="s"/>
      <c r="J992" t="n">
        <v>0.3182</v>
      </c>
      <c r="K992" t="n">
        <v>0</v>
      </c>
      <c r="L992" t="n">
        <v>0.905</v>
      </c>
      <c r="M992" t="n">
        <v>0.095</v>
      </c>
    </row>
    <row r="993" spans="1:13">
      <c r="A993" s="1">
        <f>HYPERLINK("http://www.twitter.com/NathanBLawrence/status/995518448821141504", "995518448821141504")</f>
        <v/>
      </c>
      <c r="B993" s="2" t="n">
        <v>43233.17902777778</v>
      </c>
      <c r="C993" t="n">
        <v>0</v>
      </c>
      <c r="D993" t="n">
        <v>402</v>
      </c>
      <c r="E993" t="s">
        <v>1004</v>
      </c>
      <c r="F993">
        <f>HYPERLINK("http://pbs.twimg.com/media/DdBrPYdUQAAK90Q.jpg", "http://pbs.twimg.com/media/DdBrPYdUQAAK90Q.jpg")</f>
        <v/>
      </c>
      <c r="G993" t="s"/>
      <c r="H993" t="s"/>
      <c r="I993" t="s"/>
      <c r="J993" t="n">
        <v>0</v>
      </c>
      <c r="K993" t="n">
        <v>0</v>
      </c>
      <c r="L993" t="n">
        <v>1</v>
      </c>
      <c r="M993" t="n">
        <v>0</v>
      </c>
    </row>
    <row r="994" spans="1:13">
      <c r="A994" s="1">
        <f>HYPERLINK("http://www.twitter.com/NathanBLawrence/status/995517683574583296", "995517683574583296")</f>
        <v/>
      </c>
      <c r="B994" s="2" t="n">
        <v>43233.1769212963</v>
      </c>
      <c r="C994" t="n">
        <v>6</v>
      </c>
      <c r="D994" t="n">
        <v>3</v>
      </c>
      <c r="E994" t="s">
        <v>1005</v>
      </c>
      <c r="F994" t="s"/>
      <c r="G994" t="s"/>
      <c r="H994" t="s"/>
      <c r="I994" t="s"/>
      <c r="J994" t="n">
        <v>-0.4588</v>
      </c>
      <c r="K994" t="n">
        <v>0.13</v>
      </c>
      <c r="L994" t="n">
        <v>0.87</v>
      </c>
      <c r="M994" t="n">
        <v>0</v>
      </c>
    </row>
    <row r="995" spans="1:13">
      <c r="A995" s="1">
        <f>HYPERLINK("http://www.twitter.com/NathanBLawrence/status/995517342380511234", "995517342380511234")</f>
        <v/>
      </c>
      <c r="B995" s="2" t="n">
        <v>43233.17597222222</v>
      </c>
      <c r="C995" t="n">
        <v>9</v>
      </c>
      <c r="D995" t="n">
        <v>7</v>
      </c>
      <c r="E995" t="s">
        <v>1006</v>
      </c>
      <c r="F995" t="s"/>
      <c r="G995" t="s"/>
      <c r="H995" t="s"/>
      <c r="I995" t="s"/>
      <c r="J995" t="n">
        <v>-0.1759</v>
      </c>
      <c r="K995" t="n">
        <v>0.196</v>
      </c>
      <c r="L995" t="n">
        <v>0.654</v>
      </c>
      <c r="M995" t="n">
        <v>0.15</v>
      </c>
    </row>
    <row r="996" spans="1:13">
      <c r="A996" s="1">
        <f>HYPERLINK("http://www.twitter.com/NathanBLawrence/status/995517198868275200", "995517198868275200")</f>
        <v/>
      </c>
      <c r="B996" s="2" t="n">
        <v>43233.1755787037</v>
      </c>
      <c r="C996" t="n">
        <v>0</v>
      </c>
      <c r="D996" t="n">
        <v>165</v>
      </c>
      <c r="E996" t="s">
        <v>1007</v>
      </c>
      <c r="F996">
        <f>HYPERLINK("http://pbs.twimg.com/media/DdBykMeU8AAQjC3.jpg", "http://pbs.twimg.com/media/DdBykMeU8AAQjC3.jpg")</f>
        <v/>
      </c>
      <c r="G996" t="s"/>
      <c r="H996" t="s"/>
      <c r="I996" t="s"/>
      <c r="J996" t="n">
        <v>0.4019</v>
      </c>
      <c r="K996" t="n">
        <v>0</v>
      </c>
      <c r="L996" t="n">
        <v>0.828</v>
      </c>
      <c r="M996" t="n">
        <v>0.172</v>
      </c>
    </row>
    <row r="997" spans="1:13">
      <c r="A997" s="1">
        <f>HYPERLINK("http://www.twitter.com/NathanBLawrence/status/995517071273291777", "995517071273291777")</f>
        <v/>
      </c>
      <c r="B997" s="2" t="n">
        <v>43233.17523148148</v>
      </c>
      <c r="C997" t="n">
        <v>0</v>
      </c>
      <c r="D997" t="n">
        <v>3119</v>
      </c>
      <c r="E997" t="s">
        <v>1008</v>
      </c>
      <c r="F997">
        <f>HYPERLINK("https://video.twimg.com/ext_tw_video/924035725967814656/pu/vid/1280x720/z3a4nLztTjybnDFo.mp4", "https://video.twimg.com/ext_tw_video/924035725967814656/pu/vid/1280x720/z3a4nLztTjybnDFo.mp4")</f>
        <v/>
      </c>
      <c r="G997" t="s"/>
      <c r="H997" t="s"/>
      <c r="I997" t="s"/>
      <c r="J997" t="n">
        <v>0</v>
      </c>
      <c r="K997" t="n">
        <v>0</v>
      </c>
      <c r="L997" t="n">
        <v>1</v>
      </c>
      <c r="M997" t="n">
        <v>0</v>
      </c>
    </row>
    <row r="998" spans="1:13">
      <c r="A998" s="1">
        <f>HYPERLINK("http://www.twitter.com/NathanBLawrence/status/995517008593666048", "995517008593666048")</f>
        <v/>
      </c>
      <c r="B998" s="2" t="n">
        <v>43233.17505787037</v>
      </c>
      <c r="C998" t="n">
        <v>9</v>
      </c>
      <c r="D998" t="n">
        <v>1</v>
      </c>
      <c r="E998" t="s">
        <v>1009</v>
      </c>
      <c r="F998" t="s"/>
      <c r="G998" t="s"/>
      <c r="H998" t="s"/>
      <c r="I998" t="s"/>
      <c r="J998" t="n">
        <v>0.5837</v>
      </c>
      <c r="K998" t="n">
        <v>0.113</v>
      </c>
      <c r="L998" t="n">
        <v>0.672</v>
      </c>
      <c r="M998" t="n">
        <v>0.215</v>
      </c>
    </row>
    <row r="999" spans="1:13">
      <c r="A999" s="1">
        <f>HYPERLINK("http://www.twitter.com/NathanBLawrence/status/995516516748607488", "995516516748607488")</f>
        <v/>
      </c>
      <c r="B999" s="2" t="n">
        <v>43233.1737037037</v>
      </c>
      <c r="C999" t="n">
        <v>0</v>
      </c>
      <c r="D999" t="n">
        <v>62950</v>
      </c>
      <c r="E999" t="s">
        <v>1010</v>
      </c>
      <c r="F999" t="s"/>
      <c r="G999" t="s"/>
      <c r="H999" t="s"/>
      <c r="I999" t="s"/>
      <c r="J999" t="n">
        <v>0</v>
      </c>
      <c r="K999" t="n">
        <v>0</v>
      </c>
      <c r="L999" t="n">
        <v>1</v>
      </c>
      <c r="M999" t="n">
        <v>0</v>
      </c>
    </row>
    <row r="1000" spans="1:13">
      <c r="A1000" s="1">
        <f>HYPERLINK("http://www.twitter.com/NathanBLawrence/status/995516473060683776", "995516473060683776")</f>
        <v/>
      </c>
      <c r="B1000" s="2" t="n">
        <v>43233.17357638889</v>
      </c>
      <c r="C1000" t="n">
        <v>5</v>
      </c>
      <c r="D1000" t="n">
        <v>2</v>
      </c>
      <c r="E1000" t="s">
        <v>1011</v>
      </c>
      <c r="F1000" t="s"/>
      <c r="G1000" t="s"/>
      <c r="H1000" t="s"/>
      <c r="I1000" t="s"/>
      <c r="J1000" t="n">
        <v>0.8715000000000001</v>
      </c>
      <c r="K1000" t="n">
        <v>0</v>
      </c>
      <c r="L1000" t="n">
        <v>0.441</v>
      </c>
      <c r="M1000" t="n">
        <v>0.5590000000000001</v>
      </c>
    </row>
    <row r="1001" spans="1:13">
      <c r="A1001" s="1">
        <f>HYPERLINK("http://www.twitter.com/NathanBLawrence/status/995516309063458818", "995516309063458818")</f>
        <v/>
      </c>
      <c r="B1001" s="2" t="n">
        <v>43233.173125</v>
      </c>
      <c r="C1001" t="n">
        <v>0</v>
      </c>
      <c r="D1001" t="n">
        <v>22482</v>
      </c>
      <c r="E1001" t="s">
        <v>1012</v>
      </c>
      <c r="F1001" t="s"/>
      <c r="G1001" t="s"/>
      <c r="H1001" t="s"/>
      <c r="I1001" t="s"/>
      <c r="J1001" t="n">
        <v>-0.296</v>
      </c>
      <c r="K1001" t="n">
        <v>0.099</v>
      </c>
      <c r="L1001" t="n">
        <v>0.901</v>
      </c>
      <c r="M1001" t="n">
        <v>0</v>
      </c>
    </row>
    <row r="1002" spans="1:13">
      <c r="A1002" s="1">
        <f>HYPERLINK("http://www.twitter.com/NathanBLawrence/status/995516261672013824", "995516261672013824")</f>
        <v/>
      </c>
      <c r="B1002" s="2" t="n">
        <v>43233.17299768519</v>
      </c>
      <c r="C1002" t="n">
        <v>0</v>
      </c>
      <c r="D1002" t="n">
        <v>20127</v>
      </c>
      <c r="E1002" t="s">
        <v>1013</v>
      </c>
      <c r="F1002">
        <f>HYPERLINK("https://video.twimg.com/ext_tw_video/995044716461768704/pu/vid/1280x720/X5Np6CNV3NBxYz5w.mp4?tag=3", "https://video.twimg.com/ext_tw_video/995044716461768704/pu/vid/1280x720/X5Np6CNV3NBxYz5w.mp4?tag=3")</f>
        <v/>
      </c>
      <c r="G1002" t="s"/>
      <c r="H1002" t="s"/>
      <c r="I1002" t="s"/>
      <c r="J1002" t="n">
        <v>0.6369</v>
      </c>
      <c r="K1002" t="n">
        <v>0</v>
      </c>
      <c r="L1002" t="n">
        <v>0.794</v>
      </c>
      <c r="M1002" t="n">
        <v>0.206</v>
      </c>
    </row>
    <row r="1003" spans="1:13">
      <c r="A1003" s="1">
        <f>HYPERLINK("http://www.twitter.com/NathanBLawrence/status/995516188691058688", "995516188691058688")</f>
        <v/>
      </c>
      <c r="B1003" s="2" t="n">
        <v>43233.17278935185</v>
      </c>
      <c r="C1003" t="n">
        <v>0</v>
      </c>
      <c r="D1003" t="n">
        <v>31176</v>
      </c>
      <c r="E1003" t="s">
        <v>1014</v>
      </c>
      <c r="F1003" t="s"/>
      <c r="G1003" t="s"/>
      <c r="H1003" t="s"/>
      <c r="I1003" t="s"/>
      <c r="J1003" t="n">
        <v>0.636</v>
      </c>
      <c r="K1003" t="n">
        <v>0</v>
      </c>
      <c r="L1003" t="n">
        <v>0.819</v>
      </c>
      <c r="M1003" t="n">
        <v>0.181</v>
      </c>
    </row>
    <row r="1004" spans="1:13">
      <c r="A1004" s="1">
        <f>HYPERLINK("http://www.twitter.com/NathanBLawrence/status/995516156659154944", "995516156659154944")</f>
        <v/>
      </c>
      <c r="B1004" s="2" t="n">
        <v>43233.17270833333</v>
      </c>
      <c r="C1004" t="n">
        <v>6</v>
      </c>
      <c r="D1004" t="n">
        <v>3</v>
      </c>
      <c r="E1004" t="s">
        <v>1015</v>
      </c>
      <c r="F1004" t="s"/>
      <c r="G1004" t="s"/>
      <c r="H1004" t="s"/>
      <c r="I1004" t="s"/>
      <c r="J1004" t="n">
        <v>-0.8812</v>
      </c>
      <c r="K1004" t="n">
        <v>0.266</v>
      </c>
      <c r="L1004" t="n">
        <v>0.647</v>
      </c>
      <c r="M1004" t="n">
        <v>0.08699999999999999</v>
      </c>
    </row>
    <row r="1005" spans="1:13">
      <c r="A1005" s="1">
        <f>HYPERLINK("http://www.twitter.com/NathanBLawrence/status/995515832477233154", "995515832477233154")</f>
        <v/>
      </c>
      <c r="B1005" s="2" t="n">
        <v>43233.17180555555</v>
      </c>
      <c r="C1005" t="n">
        <v>0</v>
      </c>
      <c r="D1005" t="n">
        <v>34536</v>
      </c>
      <c r="E1005" t="s">
        <v>1016</v>
      </c>
      <c r="F1005" t="s"/>
      <c r="G1005" t="s"/>
      <c r="H1005" t="s"/>
      <c r="I1005" t="s"/>
      <c r="J1005" t="n">
        <v>0</v>
      </c>
      <c r="K1005" t="n">
        <v>0</v>
      </c>
      <c r="L1005" t="n">
        <v>1</v>
      </c>
      <c r="M1005" t="n">
        <v>0</v>
      </c>
    </row>
    <row r="1006" spans="1:13">
      <c r="A1006" s="1">
        <f>HYPERLINK("http://www.twitter.com/NathanBLawrence/status/995515797836414976", "995515797836414976")</f>
        <v/>
      </c>
      <c r="B1006" s="2" t="n">
        <v>43233.17171296296</v>
      </c>
      <c r="C1006" t="n">
        <v>0</v>
      </c>
      <c r="D1006" t="n">
        <v>28092</v>
      </c>
      <c r="E1006" t="s">
        <v>1017</v>
      </c>
      <c r="F1006" t="s"/>
      <c r="G1006" t="s"/>
      <c r="H1006" t="s"/>
      <c r="I1006" t="s"/>
      <c r="J1006" t="n">
        <v>0</v>
      </c>
      <c r="K1006" t="n">
        <v>0</v>
      </c>
      <c r="L1006" t="n">
        <v>1</v>
      </c>
      <c r="M1006" t="n">
        <v>0</v>
      </c>
    </row>
    <row r="1007" spans="1:13">
      <c r="A1007" s="1">
        <f>HYPERLINK("http://www.twitter.com/NathanBLawrence/status/995515724247416832", "995515724247416832")</f>
        <v/>
      </c>
      <c r="B1007" s="2" t="n">
        <v>43233.17151620371</v>
      </c>
      <c r="C1007" t="n">
        <v>9</v>
      </c>
      <c r="D1007" t="n">
        <v>3</v>
      </c>
      <c r="E1007" t="s">
        <v>1018</v>
      </c>
      <c r="F1007" t="s"/>
      <c r="G1007" t="s"/>
      <c r="H1007" t="s"/>
      <c r="I1007" t="s"/>
      <c r="J1007" t="n">
        <v>0</v>
      </c>
      <c r="K1007" t="n">
        <v>0</v>
      </c>
      <c r="L1007" t="n">
        <v>1</v>
      </c>
      <c r="M1007" t="n">
        <v>0</v>
      </c>
    </row>
    <row r="1008" spans="1:13">
      <c r="A1008" s="1">
        <f>HYPERLINK("http://www.twitter.com/NathanBLawrence/status/995514407776960512", "995514407776960512")</f>
        <v/>
      </c>
      <c r="B1008" s="2" t="n">
        <v>43233.16788194444</v>
      </c>
      <c r="C1008" t="n">
        <v>14</v>
      </c>
      <c r="D1008" t="n">
        <v>14</v>
      </c>
      <c r="E1008" t="s">
        <v>1019</v>
      </c>
      <c r="F1008" t="s"/>
      <c r="G1008" t="s"/>
      <c r="H1008" t="s"/>
      <c r="I1008" t="s"/>
      <c r="J1008" t="n">
        <v>-0.7783</v>
      </c>
      <c r="K1008" t="n">
        <v>0.215</v>
      </c>
      <c r="L1008" t="n">
        <v>0.724</v>
      </c>
      <c r="M1008" t="n">
        <v>0.061</v>
      </c>
    </row>
    <row r="1009" spans="1:13">
      <c r="A1009" s="1">
        <f>HYPERLINK("http://www.twitter.com/NathanBLawrence/status/995514148468371456", "995514148468371456")</f>
        <v/>
      </c>
      <c r="B1009" s="2" t="n">
        <v>43233.16716435185</v>
      </c>
      <c r="C1009" t="n">
        <v>0</v>
      </c>
      <c r="D1009" t="n">
        <v>72</v>
      </c>
      <c r="E1009" t="s">
        <v>1020</v>
      </c>
      <c r="F1009" t="s"/>
      <c r="G1009" t="s"/>
      <c r="H1009" t="s"/>
      <c r="I1009" t="s"/>
      <c r="J1009" t="n">
        <v>-0.5266999999999999</v>
      </c>
      <c r="K1009" t="n">
        <v>0.152</v>
      </c>
      <c r="L1009" t="n">
        <v>0.848</v>
      </c>
      <c r="M1009" t="n">
        <v>0</v>
      </c>
    </row>
    <row r="1010" spans="1:13">
      <c r="A1010" s="1">
        <f>HYPERLINK("http://www.twitter.com/NathanBLawrence/status/995513999797010432", "995513999797010432")</f>
        <v/>
      </c>
      <c r="B1010" s="2" t="n">
        <v>43233.16674768519</v>
      </c>
      <c r="C1010" t="n">
        <v>0</v>
      </c>
      <c r="D1010" t="n">
        <v>79</v>
      </c>
      <c r="E1010" t="s">
        <v>1021</v>
      </c>
      <c r="F1010">
        <f>HYPERLINK("http://pbs.twimg.com/media/DcnDYmNXUAM0kp7.jpg", "http://pbs.twimg.com/media/DcnDYmNXUAM0kp7.jpg")</f>
        <v/>
      </c>
      <c r="G1010" t="s"/>
      <c r="H1010" t="s"/>
      <c r="I1010" t="s"/>
      <c r="J1010" t="n">
        <v>0.1779</v>
      </c>
      <c r="K1010" t="n">
        <v>0.132</v>
      </c>
      <c r="L1010" t="n">
        <v>0.705</v>
      </c>
      <c r="M1010" t="n">
        <v>0.163</v>
      </c>
    </row>
    <row r="1011" spans="1:13">
      <c r="A1011" s="1">
        <f>HYPERLINK("http://www.twitter.com/NathanBLawrence/status/995513940363759616", "995513940363759616")</f>
        <v/>
      </c>
      <c r="B1011" s="2" t="n">
        <v>43233.16658564815</v>
      </c>
      <c r="C1011" t="n">
        <v>0</v>
      </c>
      <c r="D1011" t="n">
        <v>1873</v>
      </c>
      <c r="E1011" t="s">
        <v>1022</v>
      </c>
      <c r="F1011">
        <f>HYPERLINK("http://pbs.twimg.com/media/DdCOQojUwAAo9oB.jpg", "http://pbs.twimg.com/media/DdCOQojUwAAo9oB.jpg")</f>
        <v/>
      </c>
      <c r="G1011" t="s"/>
      <c r="H1011" t="s"/>
      <c r="I1011" t="s"/>
      <c r="J1011" t="n">
        <v>-0.5574</v>
      </c>
      <c r="K1011" t="n">
        <v>0.262</v>
      </c>
      <c r="L1011" t="n">
        <v>0.617</v>
      </c>
      <c r="M1011" t="n">
        <v>0.12</v>
      </c>
    </row>
    <row r="1012" spans="1:13">
      <c r="A1012" s="1">
        <f>HYPERLINK("http://www.twitter.com/NathanBLawrence/status/995513578445717505", "995513578445717505")</f>
        <v/>
      </c>
      <c r="B1012" s="2" t="n">
        <v>43233.16559027778</v>
      </c>
      <c r="C1012" t="n">
        <v>0</v>
      </c>
      <c r="D1012" t="n">
        <v>129</v>
      </c>
      <c r="E1012" t="s">
        <v>1023</v>
      </c>
      <c r="F1012">
        <f>HYPERLINK("https://video.twimg.com/ext_tw_video/994760079034335232/pu/vid/1280x720/dsOKd8i3jEDjXGjU.mp4?tag=3", "https://video.twimg.com/ext_tw_video/994760079034335232/pu/vid/1280x720/dsOKd8i3jEDjXGjU.mp4?tag=3")</f>
        <v/>
      </c>
      <c r="G1012" t="s"/>
      <c r="H1012" t="s"/>
      <c r="I1012" t="s"/>
      <c r="J1012" t="n">
        <v>0.8636</v>
      </c>
      <c r="K1012" t="n">
        <v>0.074</v>
      </c>
      <c r="L1012" t="n">
        <v>0.576</v>
      </c>
      <c r="M1012" t="n">
        <v>0.35</v>
      </c>
    </row>
    <row r="1013" spans="1:13">
      <c r="A1013" s="1">
        <f>HYPERLINK("http://www.twitter.com/NathanBLawrence/status/995513497357242368", "995513497357242368")</f>
        <v/>
      </c>
      <c r="B1013" s="2" t="n">
        <v>43233.16537037037</v>
      </c>
      <c r="C1013" t="n">
        <v>0</v>
      </c>
      <c r="D1013" t="n">
        <v>582</v>
      </c>
      <c r="E1013" t="s">
        <v>1024</v>
      </c>
      <c r="F1013">
        <f>HYPERLINK("http://pbs.twimg.com/media/DdBFe-pV4AAxJ42.jpg", "http://pbs.twimg.com/media/DdBFe-pV4AAxJ42.jpg")</f>
        <v/>
      </c>
      <c r="G1013" t="s"/>
      <c r="H1013" t="s"/>
      <c r="I1013" t="s"/>
      <c r="J1013" t="n">
        <v>0</v>
      </c>
      <c r="K1013" t="n">
        <v>0</v>
      </c>
      <c r="L1013" t="n">
        <v>1</v>
      </c>
      <c r="M1013" t="n">
        <v>0</v>
      </c>
    </row>
    <row r="1014" spans="1:13">
      <c r="A1014" s="1">
        <f>HYPERLINK("http://www.twitter.com/NathanBLawrence/status/995513413181689862", "995513413181689862")</f>
        <v/>
      </c>
      <c r="B1014" s="2" t="n">
        <v>43233.16513888889</v>
      </c>
      <c r="C1014" t="n">
        <v>9</v>
      </c>
      <c r="D1014" t="n">
        <v>3</v>
      </c>
      <c r="E1014" t="s">
        <v>1025</v>
      </c>
      <c r="F1014" t="s"/>
      <c r="G1014" t="s"/>
      <c r="H1014" t="s"/>
      <c r="I1014" t="s"/>
      <c r="J1014" t="n">
        <v>0.6155</v>
      </c>
      <c r="K1014" t="n">
        <v>0</v>
      </c>
      <c r="L1014" t="n">
        <v>0.825</v>
      </c>
      <c r="M1014" t="n">
        <v>0.175</v>
      </c>
    </row>
    <row r="1015" spans="1:13">
      <c r="A1015" s="1">
        <f>HYPERLINK("http://www.twitter.com/NathanBLawrence/status/995513114215919617", "995513114215919617")</f>
        <v/>
      </c>
      <c r="B1015" s="2" t="n">
        <v>43233.16430555555</v>
      </c>
      <c r="C1015" t="n">
        <v>0</v>
      </c>
      <c r="D1015" t="n">
        <v>1377</v>
      </c>
      <c r="E1015" t="s">
        <v>1026</v>
      </c>
      <c r="F1015">
        <f>HYPERLINK("http://pbs.twimg.com/media/DdB-xLPXkAAMm7c.jpg", "http://pbs.twimg.com/media/DdB-xLPXkAAMm7c.jpg")</f>
        <v/>
      </c>
      <c r="G1015" t="s"/>
      <c r="H1015" t="s"/>
      <c r="I1015" t="s"/>
      <c r="J1015" t="n">
        <v>0.7906</v>
      </c>
      <c r="K1015" t="n">
        <v>0</v>
      </c>
      <c r="L1015" t="n">
        <v>0.6820000000000001</v>
      </c>
      <c r="M1015" t="n">
        <v>0.318</v>
      </c>
    </row>
    <row r="1016" spans="1:13">
      <c r="A1016" s="1">
        <f>HYPERLINK("http://www.twitter.com/NathanBLawrence/status/995513028849221633", "995513028849221633")</f>
        <v/>
      </c>
      <c r="B1016" s="2" t="n">
        <v>43233.16407407408</v>
      </c>
      <c r="C1016" t="n">
        <v>0</v>
      </c>
      <c r="D1016" t="n">
        <v>12</v>
      </c>
      <c r="E1016" t="s">
        <v>1027</v>
      </c>
      <c r="F1016">
        <f>HYPERLINK("http://pbs.twimg.com/media/DcxuxVeXUAYEnd3.jpg", "http://pbs.twimg.com/media/DcxuxVeXUAYEnd3.jpg")</f>
        <v/>
      </c>
      <c r="G1016" t="s"/>
      <c r="H1016" t="s"/>
      <c r="I1016" t="s"/>
      <c r="J1016" t="n">
        <v>-0.296</v>
      </c>
      <c r="K1016" t="n">
        <v>0.128</v>
      </c>
      <c r="L1016" t="n">
        <v>0.872</v>
      </c>
      <c r="M1016" t="n">
        <v>0</v>
      </c>
    </row>
    <row r="1017" spans="1:13">
      <c r="A1017" s="1">
        <f>HYPERLINK("http://www.twitter.com/NathanBLawrence/status/995511931359318016", "995511931359318016")</f>
        <v/>
      </c>
      <c r="B1017" s="2" t="n">
        <v>43233.16104166667</v>
      </c>
      <c r="C1017" t="n">
        <v>46</v>
      </c>
      <c r="D1017" t="n">
        <v>14</v>
      </c>
      <c r="E1017" t="s">
        <v>1028</v>
      </c>
      <c r="F1017" t="s"/>
      <c r="G1017" t="s"/>
      <c r="H1017" t="s"/>
      <c r="I1017" t="s"/>
      <c r="J1017" t="n">
        <v>0</v>
      </c>
      <c r="K1017" t="n">
        <v>0</v>
      </c>
      <c r="L1017" t="n">
        <v>1</v>
      </c>
      <c r="M1017" t="n">
        <v>0</v>
      </c>
    </row>
    <row r="1018" spans="1:13">
      <c r="A1018" s="1">
        <f>HYPERLINK("http://www.twitter.com/NathanBLawrence/status/995511258001502208", "995511258001502208")</f>
        <v/>
      </c>
      <c r="B1018" s="2" t="n">
        <v>43233.15918981482</v>
      </c>
      <c r="C1018" t="n">
        <v>5</v>
      </c>
      <c r="D1018" t="n">
        <v>0</v>
      </c>
      <c r="E1018" t="s">
        <v>1029</v>
      </c>
      <c r="F1018" t="s"/>
      <c r="G1018" t="s"/>
      <c r="H1018" t="s"/>
      <c r="I1018" t="s"/>
      <c r="J1018" t="n">
        <v>-0.8697</v>
      </c>
      <c r="K1018" t="n">
        <v>0.309</v>
      </c>
      <c r="L1018" t="n">
        <v>0.6909999999999999</v>
      </c>
      <c r="M1018" t="n">
        <v>0</v>
      </c>
    </row>
    <row r="1019" spans="1:13">
      <c r="A1019" s="1">
        <f>HYPERLINK("http://www.twitter.com/NathanBLawrence/status/995510687408406529", "995510687408406529")</f>
        <v/>
      </c>
      <c r="B1019" s="2" t="n">
        <v>43233.15761574074</v>
      </c>
      <c r="C1019" t="n">
        <v>15</v>
      </c>
      <c r="D1019" t="n">
        <v>6</v>
      </c>
      <c r="E1019" t="s">
        <v>1030</v>
      </c>
      <c r="F1019" t="s"/>
      <c r="G1019" t="s"/>
      <c r="H1019" t="s"/>
      <c r="I1019" t="s"/>
      <c r="J1019" t="n">
        <v>-0.4391</v>
      </c>
      <c r="K1019" t="n">
        <v>0.138</v>
      </c>
      <c r="L1019" t="n">
        <v>0.862</v>
      </c>
      <c r="M1019" t="n">
        <v>0</v>
      </c>
    </row>
    <row r="1020" spans="1:13">
      <c r="A1020" s="1">
        <f>HYPERLINK("http://www.twitter.com/NathanBLawrence/status/995509725570654208", "995509725570654208")</f>
        <v/>
      </c>
      <c r="B1020" s="2" t="n">
        <v>43233.15495370371</v>
      </c>
      <c r="C1020" t="n">
        <v>11</v>
      </c>
      <c r="D1020" t="n">
        <v>2</v>
      </c>
      <c r="E1020" t="s">
        <v>1031</v>
      </c>
      <c r="F1020" t="s"/>
      <c r="G1020" t="s"/>
      <c r="H1020" t="s"/>
      <c r="I1020" t="s"/>
      <c r="J1020" t="n">
        <v>0.8122</v>
      </c>
      <c r="K1020" t="n">
        <v>0.063</v>
      </c>
      <c r="L1020" t="n">
        <v>0.6919999999999999</v>
      </c>
      <c r="M1020" t="n">
        <v>0.245</v>
      </c>
    </row>
    <row r="1021" spans="1:13">
      <c r="A1021" s="1">
        <f>HYPERLINK("http://www.twitter.com/NathanBLawrence/status/995509243569557504", "995509243569557504")</f>
        <v/>
      </c>
      <c r="B1021" s="2" t="n">
        <v>43233.15362268518</v>
      </c>
      <c r="C1021" t="n">
        <v>6</v>
      </c>
      <c r="D1021" t="n">
        <v>3</v>
      </c>
      <c r="E1021" t="s">
        <v>1032</v>
      </c>
      <c r="F1021" t="s"/>
      <c r="G1021" t="s"/>
      <c r="H1021" t="s"/>
      <c r="I1021" t="s"/>
      <c r="J1021" t="n">
        <v>-0.6458</v>
      </c>
      <c r="K1021" t="n">
        <v>0.145</v>
      </c>
      <c r="L1021" t="n">
        <v>0.855</v>
      </c>
      <c r="M1021" t="n">
        <v>0</v>
      </c>
    </row>
    <row r="1022" spans="1:13">
      <c r="A1022" s="1">
        <f>HYPERLINK("http://www.twitter.com/NathanBLawrence/status/995508189343854592", "995508189343854592")</f>
        <v/>
      </c>
      <c r="B1022" s="2" t="n">
        <v>43233.15071759259</v>
      </c>
      <c r="C1022" t="n">
        <v>6</v>
      </c>
      <c r="D1022" t="n">
        <v>2</v>
      </c>
      <c r="E1022" t="s">
        <v>1033</v>
      </c>
      <c r="F1022" t="s"/>
      <c r="G1022" t="s"/>
      <c r="H1022" t="s"/>
      <c r="I1022" t="s"/>
      <c r="J1022" t="n">
        <v>0.4981</v>
      </c>
      <c r="K1022" t="n">
        <v>0.111</v>
      </c>
      <c r="L1022" t="n">
        <v>0.615</v>
      </c>
      <c r="M1022" t="n">
        <v>0.274</v>
      </c>
    </row>
    <row r="1023" spans="1:13">
      <c r="A1023" s="1">
        <f>HYPERLINK("http://www.twitter.com/NathanBLawrence/status/995506775704027136", "995506775704027136")</f>
        <v/>
      </c>
      <c r="B1023" s="2" t="n">
        <v>43233.14681712963</v>
      </c>
      <c r="C1023" t="n">
        <v>3</v>
      </c>
      <c r="D1023" t="n">
        <v>2</v>
      </c>
      <c r="E1023" t="s">
        <v>1034</v>
      </c>
      <c r="F1023" t="s"/>
      <c r="G1023" t="s"/>
      <c r="H1023" t="s"/>
      <c r="I1023" t="s"/>
      <c r="J1023" t="n">
        <v>-0.4753</v>
      </c>
      <c r="K1023" t="n">
        <v>0.219</v>
      </c>
      <c r="L1023" t="n">
        <v>0.781</v>
      </c>
      <c r="M1023" t="n">
        <v>0</v>
      </c>
    </row>
    <row r="1024" spans="1:13">
      <c r="A1024" s="1">
        <f>HYPERLINK("http://www.twitter.com/NathanBLawrence/status/995506447428431872", "995506447428431872")</f>
        <v/>
      </c>
      <c r="B1024" s="2" t="n">
        <v>43233.14591435185</v>
      </c>
      <c r="C1024" t="n">
        <v>5</v>
      </c>
      <c r="D1024" t="n">
        <v>4</v>
      </c>
      <c r="E1024" t="s">
        <v>1035</v>
      </c>
      <c r="F1024" t="s"/>
      <c r="G1024" t="s"/>
      <c r="H1024" t="s"/>
      <c r="I1024" t="s"/>
      <c r="J1024" t="n">
        <v>0</v>
      </c>
      <c r="K1024" t="n">
        <v>0</v>
      </c>
      <c r="L1024" t="n">
        <v>1</v>
      </c>
      <c r="M1024" t="n">
        <v>0</v>
      </c>
    </row>
    <row r="1025" spans="1:13">
      <c r="A1025" s="1">
        <f>HYPERLINK("http://www.twitter.com/NathanBLawrence/status/995503158557261824", "995503158557261824")</f>
        <v/>
      </c>
      <c r="B1025" s="2" t="n">
        <v>43233.13684027778</v>
      </c>
      <c r="C1025" t="n">
        <v>3</v>
      </c>
      <c r="D1025" t="n">
        <v>4</v>
      </c>
      <c r="E1025" t="s">
        <v>1036</v>
      </c>
      <c r="F1025" t="s"/>
      <c r="G1025" t="s"/>
      <c r="H1025" t="s"/>
      <c r="I1025" t="s"/>
      <c r="J1025" t="n">
        <v>-0.8907</v>
      </c>
      <c r="K1025" t="n">
        <v>0.317</v>
      </c>
      <c r="L1025" t="n">
        <v>0.6830000000000001</v>
      </c>
      <c r="M1025" t="n">
        <v>0</v>
      </c>
    </row>
    <row r="1026" spans="1:13">
      <c r="A1026" s="1">
        <f>HYPERLINK("http://www.twitter.com/NathanBLawrence/status/995502598785351680", "995502598785351680")</f>
        <v/>
      </c>
      <c r="B1026" s="2" t="n">
        <v>43233.13528935185</v>
      </c>
      <c r="C1026" t="n">
        <v>0</v>
      </c>
      <c r="D1026" t="n">
        <v>363</v>
      </c>
      <c r="E1026" t="s">
        <v>1037</v>
      </c>
      <c r="F1026" t="s"/>
      <c r="G1026" t="s"/>
      <c r="H1026" t="s"/>
      <c r="I1026" t="s"/>
      <c r="J1026" t="n">
        <v>0.5859</v>
      </c>
      <c r="K1026" t="n">
        <v>0</v>
      </c>
      <c r="L1026" t="n">
        <v>0.513</v>
      </c>
      <c r="M1026" t="n">
        <v>0.487</v>
      </c>
    </row>
    <row r="1027" spans="1:13">
      <c r="A1027" s="1">
        <f>HYPERLINK("http://www.twitter.com/NathanBLawrence/status/995502525024419840", "995502525024419840")</f>
        <v/>
      </c>
      <c r="B1027" s="2" t="n">
        <v>43233.13509259259</v>
      </c>
      <c r="C1027" t="n">
        <v>4</v>
      </c>
      <c r="D1027" t="n">
        <v>0</v>
      </c>
      <c r="E1027" t="s">
        <v>1038</v>
      </c>
      <c r="F1027" t="s"/>
      <c r="G1027" t="s"/>
      <c r="H1027" t="s"/>
      <c r="I1027" t="s"/>
      <c r="J1027" t="n">
        <v>-0.5093</v>
      </c>
      <c r="K1027" t="n">
        <v>0.32</v>
      </c>
      <c r="L1027" t="n">
        <v>0.68</v>
      </c>
      <c r="M1027" t="n">
        <v>0</v>
      </c>
    </row>
    <row r="1028" spans="1:13">
      <c r="A1028" s="1">
        <f>HYPERLINK("http://www.twitter.com/NathanBLawrence/status/995502358447583232", "995502358447583232")</f>
        <v/>
      </c>
      <c r="B1028" s="2" t="n">
        <v>43233.13462962963</v>
      </c>
      <c r="C1028" t="n">
        <v>0</v>
      </c>
      <c r="D1028" t="n">
        <v>7025</v>
      </c>
      <c r="E1028" t="s">
        <v>1039</v>
      </c>
      <c r="F1028" t="s"/>
      <c r="G1028" t="s"/>
      <c r="H1028" t="s"/>
      <c r="I1028" t="s"/>
      <c r="J1028" t="n">
        <v>0.8143</v>
      </c>
      <c r="K1028" t="n">
        <v>0</v>
      </c>
      <c r="L1028" t="n">
        <v>0.747</v>
      </c>
      <c r="M1028" t="n">
        <v>0.253</v>
      </c>
    </row>
    <row r="1029" spans="1:13">
      <c r="A1029" s="1">
        <f>HYPERLINK("http://www.twitter.com/NathanBLawrence/status/995502092289589249", "995502092289589249")</f>
        <v/>
      </c>
      <c r="B1029" s="2" t="n">
        <v>43233.13388888889</v>
      </c>
      <c r="C1029" t="n">
        <v>0</v>
      </c>
      <c r="D1029" t="n">
        <v>1526</v>
      </c>
      <c r="E1029" t="s">
        <v>1040</v>
      </c>
      <c r="F1029">
        <f>HYPERLINK("http://pbs.twimg.com/media/Dc7IR6GU8AEVbtO.jpg", "http://pbs.twimg.com/media/Dc7IR6GU8AEVbtO.jpg")</f>
        <v/>
      </c>
      <c r="G1029" t="s"/>
      <c r="H1029" t="s"/>
      <c r="I1029" t="s"/>
      <c r="J1029" t="n">
        <v>0.8555</v>
      </c>
      <c r="K1029" t="n">
        <v>0</v>
      </c>
      <c r="L1029" t="n">
        <v>0.607</v>
      </c>
      <c r="M1029" t="n">
        <v>0.393</v>
      </c>
    </row>
    <row r="1030" spans="1:13">
      <c r="A1030" s="1">
        <f>HYPERLINK("http://www.twitter.com/NathanBLawrence/status/995502058575880192", "995502058575880192")</f>
        <v/>
      </c>
      <c r="B1030" s="2" t="n">
        <v>43233.13379629629</v>
      </c>
      <c r="C1030" t="n">
        <v>0</v>
      </c>
      <c r="D1030" t="n">
        <v>839</v>
      </c>
      <c r="E1030" t="s">
        <v>1041</v>
      </c>
      <c r="F1030">
        <f>HYPERLINK("http://pbs.twimg.com/media/Dc9Wmn8VAAA2tfl.jpg", "http://pbs.twimg.com/media/Dc9Wmn8VAAA2tfl.jpg")</f>
        <v/>
      </c>
      <c r="G1030" t="s"/>
      <c r="H1030" t="s"/>
      <c r="I1030" t="s"/>
      <c r="J1030" t="n">
        <v>0.0772</v>
      </c>
      <c r="K1030" t="n">
        <v>0.116</v>
      </c>
      <c r="L1030" t="n">
        <v>0.756</v>
      </c>
      <c r="M1030" t="n">
        <v>0.129</v>
      </c>
    </row>
    <row r="1031" spans="1:13">
      <c r="A1031" s="1">
        <f>HYPERLINK("http://www.twitter.com/NathanBLawrence/status/995200032482639872", "995200032482639872")</f>
        <v/>
      </c>
      <c r="B1031" s="2" t="n">
        <v>43232.30037037037</v>
      </c>
      <c r="C1031" t="n">
        <v>5</v>
      </c>
      <c r="D1031" t="n">
        <v>1</v>
      </c>
      <c r="E1031" t="s">
        <v>1042</v>
      </c>
      <c r="F1031" t="s"/>
      <c r="G1031" t="s"/>
      <c r="H1031" t="s"/>
      <c r="I1031" t="s"/>
      <c r="J1031" t="n">
        <v>-0.8974</v>
      </c>
      <c r="K1031" t="n">
        <v>0.314</v>
      </c>
      <c r="L1031" t="n">
        <v>0.6860000000000001</v>
      </c>
      <c r="M1031" t="n">
        <v>0</v>
      </c>
    </row>
    <row r="1032" spans="1:13">
      <c r="A1032" s="1">
        <f>HYPERLINK("http://www.twitter.com/NathanBLawrence/status/995199702894194689", "995199702894194689")</f>
        <v/>
      </c>
      <c r="B1032" s="2" t="n">
        <v>43232.29945601852</v>
      </c>
      <c r="C1032" t="n">
        <v>0</v>
      </c>
      <c r="D1032" t="n">
        <v>21</v>
      </c>
      <c r="E1032" t="s">
        <v>1043</v>
      </c>
      <c r="F1032">
        <f>HYPERLINK("http://pbs.twimg.com/media/Dc822f2XkAU8D7o.jpg", "http://pbs.twimg.com/media/Dc822f2XkAU8D7o.jpg")</f>
        <v/>
      </c>
      <c r="G1032" t="s"/>
      <c r="H1032" t="s"/>
      <c r="I1032" t="s"/>
      <c r="J1032" t="n">
        <v>0</v>
      </c>
      <c r="K1032" t="n">
        <v>0</v>
      </c>
      <c r="L1032" t="n">
        <v>1</v>
      </c>
      <c r="M1032" t="n">
        <v>0</v>
      </c>
    </row>
    <row r="1033" spans="1:13">
      <c r="A1033" s="1">
        <f>HYPERLINK("http://www.twitter.com/NathanBLawrence/status/995199487978094592", "995199487978094592")</f>
        <v/>
      </c>
      <c r="B1033" s="2" t="n">
        <v>43232.29886574074</v>
      </c>
      <c r="C1033" t="n">
        <v>0</v>
      </c>
      <c r="D1033" t="n">
        <v>0</v>
      </c>
      <c r="E1033" t="s">
        <v>1044</v>
      </c>
      <c r="F1033" t="s"/>
      <c r="G1033" t="s"/>
      <c r="H1033" t="s"/>
      <c r="I1033" t="s"/>
      <c r="J1033" t="n">
        <v>0</v>
      </c>
      <c r="K1033" t="n">
        <v>0</v>
      </c>
      <c r="L1033" t="n">
        <v>1</v>
      </c>
      <c r="M1033" t="n">
        <v>0</v>
      </c>
    </row>
    <row r="1034" spans="1:13">
      <c r="A1034" s="1">
        <f>HYPERLINK("http://www.twitter.com/NathanBLawrence/status/995199357476470784", "995199357476470784")</f>
        <v/>
      </c>
      <c r="B1034" s="2" t="n">
        <v>43232.29850694445</v>
      </c>
      <c r="C1034" t="n">
        <v>0</v>
      </c>
      <c r="D1034" t="n">
        <v>2402</v>
      </c>
      <c r="E1034" t="s">
        <v>1045</v>
      </c>
      <c r="F1034">
        <f>HYPERLINK("http://pbs.twimg.com/media/Dc917o1U0AEDz6i.jpg", "http://pbs.twimg.com/media/Dc917o1U0AEDz6i.jpg")</f>
        <v/>
      </c>
      <c r="G1034" t="s"/>
      <c r="H1034" t="s"/>
      <c r="I1034" t="s"/>
      <c r="J1034" t="n">
        <v>-0.4767</v>
      </c>
      <c r="K1034" t="n">
        <v>0.129</v>
      </c>
      <c r="L1034" t="n">
        <v>0.871</v>
      </c>
      <c r="M1034" t="n">
        <v>0</v>
      </c>
    </row>
    <row r="1035" spans="1:13">
      <c r="A1035" s="1">
        <f>HYPERLINK("http://www.twitter.com/NathanBLawrence/status/995199263826104320", "995199263826104320")</f>
        <v/>
      </c>
      <c r="B1035" s="2" t="n">
        <v>43232.29825231482</v>
      </c>
      <c r="C1035" t="n">
        <v>0</v>
      </c>
      <c r="D1035" t="n">
        <v>2189</v>
      </c>
      <c r="E1035" t="s">
        <v>1046</v>
      </c>
      <c r="F1035" t="s"/>
      <c r="G1035" t="s"/>
      <c r="H1035" t="s"/>
      <c r="I1035" t="s"/>
      <c r="J1035" t="n">
        <v>0.1531</v>
      </c>
      <c r="K1035" t="n">
        <v>0</v>
      </c>
      <c r="L1035" t="n">
        <v>0.922</v>
      </c>
      <c r="M1035" t="n">
        <v>0.078</v>
      </c>
    </row>
    <row r="1036" spans="1:13">
      <c r="A1036" s="1">
        <f>HYPERLINK("http://www.twitter.com/NathanBLawrence/status/995197747769753600", "995197747769753600")</f>
        <v/>
      </c>
      <c r="B1036" s="2" t="n">
        <v>43232.2940625</v>
      </c>
      <c r="C1036" t="n">
        <v>0</v>
      </c>
      <c r="D1036" t="n">
        <v>115</v>
      </c>
      <c r="E1036" t="s">
        <v>1047</v>
      </c>
      <c r="F1036">
        <f>HYPERLINK("http://pbs.twimg.com/media/Db8gji0UQAAGOtv.jpg", "http://pbs.twimg.com/media/Db8gji0UQAAGOtv.jpg")</f>
        <v/>
      </c>
      <c r="G1036" t="s"/>
      <c r="H1036" t="s"/>
      <c r="I1036" t="s"/>
      <c r="J1036" t="n">
        <v>0.296</v>
      </c>
      <c r="K1036" t="n">
        <v>0</v>
      </c>
      <c r="L1036" t="n">
        <v>0.872</v>
      </c>
      <c r="M1036" t="n">
        <v>0.128</v>
      </c>
    </row>
    <row r="1037" spans="1:13">
      <c r="A1037" s="1">
        <f>HYPERLINK("http://www.twitter.com/NathanBLawrence/status/995197687615049728", "995197687615049728")</f>
        <v/>
      </c>
      <c r="B1037" s="2" t="n">
        <v>43232.29390046297</v>
      </c>
      <c r="C1037" t="n">
        <v>0</v>
      </c>
      <c r="D1037" t="n">
        <v>3763</v>
      </c>
      <c r="E1037" t="s">
        <v>1048</v>
      </c>
      <c r="F1037">
        <f>HYPERLINK("http://pbs.twimg.com/media/Dc-By0LV0AEHoL0.jpg", "http://pbs.twimg.com/media/Dc-By0LV0AEHoL0.jpg")</f>
        <v/>
      </c>
      <c r="G1037" t="s"/>
      <c r="H1037" t="s"/>
      <c r="I1037" t="s"/>
      <c r="J1037" t="n">
        <v>-0.4907</v>
      </c>
      <c r="K1037" t="n">
        <v>0.161</v>
      </c>
      <c r="L1037" t="n">
        <v>0.762</v>
      </c>
      <c r="M1037" t="n">
        <v>0.078</v>
      </c>
    </row>
    <row r="1038" spans="1:13">
      <c r="A1038" s="1">
        <f>HYPERLINK("http://www.twitter.com/NathanBLawrence/status/995197217857093632", "995197217857093632")</f>
        <v/>
      </c>
      <c r="B1038" s="2" t="n">
        <v>43232.29260416667</v>
      </c>
      <c r="C1038" t="n">
        <v>6</v>
      </c>
      <c r="D1038" t="n">
        <v>5</v>
      </c>
      <c r="E1038" t="s">
        <v>1049</v>
      </c>
      <c r="F1038" t="s"/>
      <c r="G1038" t="s"/>
      <c r="H1038" t="s"/>
      <c r="I1038" t="s"/>
      <c r="J1038" t="n">
        <v>0.8982</v>
      </c>
      <c r="K1038" t="n">
        <v>0</v>
      </c>
      <c r="L1038" t="n">
        <v>0.722</v>
      </c>
      <c r="M1038" t="n">
        <v>0.278</v>
      </c>
    </row>
    <row r="1039" spans="1:13">
      <c r="A1039" s="1">
        <f>HYPERLINK("http://www.twitter.com/NathanBLawrence/status/995196539042652160", "995196539042652160")</f>
        <v/>
      </c>
      <c r="B1039" s="2" t="n">
        <v>43232.29072916666</v>
      </c>
      <c r="C1039" t="n">
        <v>0</v>
      </c>
      <c r="D1039" t="n">
        <v>21</v>
      </c>
      <c r="E1039" t="s">
        <v>1050</v>
      </c>
      <c r="F1039" t="s"/>
      <c r="G1039" t="s"/>
      <c r="H1039" t="s"/>
      <c r="I1039" t="s"/>
      <c r="J1039" t="n">
        <v>0.5093</v>
      </c>
      <c r="K1039" t="n">
        <v>0.093</v>
      </c>
      <c r="L1039" t="n">
        <v>0.711</v>
      </c>
      <c r="M1039" t="n">
        <v>0.195</v>
      </c>
    </row>
    <row r="1040" spans="1:13">
      <c r="A1040" s="1">
        <f>HYPERLINK("http://www.twitter.com/NathanBLawrence/status/995196448588292096", "995196448588292096")</f>
        <v/>
      </c>
      <c r="B1040" s="2" t="n">
        <v>43232.29047453704</v>
      </c>
      <c r="C1040" t="n">
        <v>0</v>
      </c>
      <c r="D1040" t="n">
        <v>731</v>
      </c>
      <c r="E1040" t="s">
        <v>1051</v>
      </c>
      <c r="F1040">
        <f>HYPERLINK("http://pbs.twimg.com/media/Dc9fdYGUQAEIgdT.jpg", "http://pbs.twimg.com/media/Dc9fdYGUQAEIgdT.jpg")</f>
        <v/>
      </c>
      <c r="G1040" t="s"/>
      <c r="H1040" t="s"/>
      <c r="I1040" t="s"/>
      <c r="J1040" t="n">
        <v>0.1779</v>
      </c>
      <c r="K1040" t="n">
        <v>0.066</v>
      </c>
      <c r="L1040" t="n">
        <v>0.829</v>
      </c>
      <c r="M1040" t="n">
        <v>0.105</v>
      </c>
    </row>
    <row r="1041" spans="1:13">
      <c r="A1041" s="1">
        <f>HYPERLINK("http://www.twitter.com/NathanBLawrence/status/995196275925516288", "995196275925516288")</f>
        <v/>
      </c>
      <c r="B1041" s="2" t="n">
        <v>43232.29</v>
      </c>
      <c r="C1041" t="n">
        <v>0</v>
      </c>
      <c r="D1041" t="n">
        <v>5726</v>
      </c>
      <c r="E1041" t="s">
        <v>1052</v>
      </c>
      <c r="F1041" t="s"/>
      <c r="G1041" t="s"/>
      <c r="H1041" t="s"/>
      <c r="I1041" t="s"/>
      <c r="J1041" t="n">
        <v>0.529</v>
      </c>
      <c r="K1041" t="n">
        <v>0</v>
      </c>
      <c r="L1041" t="n">
        <v>0.747</v>
      </c>
      <c r="M1041" t="n">
        <v>0.253</v>
      </c>
    </row>
    <row r="1042" spans="1:13">
      <c r="A1042" s="1">
        <f>HYPERLINK("http://www.twitter.com/NathanBLawrence/status/995195338532139009", "995195338532139009")</f>
        <v/>
      </c>
      <c r="B1042" s="2" t="n">
        <v>43232.28741898148</v>
      </c>
      <c r="C1042" t="n">
        <v>6</v>
      </c>
      <c r="D1042" t="n">
        <v>1</v>
      </c>
      <c r="E1042" t="s">
        <v>1053</v>
      </c>
      <c r="F1042" t="s"/>
      <c r="G1042" t="s"/>
      <c r="H1042" t="s"/>
      <c r="I1042" t="s"/>
      <c r="J1042" t="n">
        <v>0.441</v>
      </c>
      <c r="K1042" t="n">
        <v>0.073</v>
      </c>
      <c r="L1042" t="n">
        <v>0.802</v>
      </c>
      <c r="M1042" t="n">
        <v>0.126</v>
      </c>
    </row>
    <row r="1043" spans="1:13">
      <c r="A1043" s="1">
        <f>HYPERLINK("http://www.twitter.com/NathanBLawrence/status/995194934322909185", "995194934322909185")</f>
        <v/>
      </c>
      <c r="B1043" s="2" t="n">
        <v>43232.2862962963</v>
      </c>
      <c r="C1043" t="n">
        <v>0</v>
      </c>
      <c r="D1043" t="n">
        <v>5658</v>
      </c>
      <c r="E1043" t="s">
        <v>1054</v>
      </c>
      <c r="F1043">
        <f>HYPERLINK("http://pbs.twimg.com/media/Dc7-8MBW4AEJ3_v.jpg", "http://pbs.twimg.com/media/Dc7-8MBW4AEJ3_v.jpg")</f>
        <v/>
      </c>
      <c r="G1043" t="s"/>
      <c r="H1043" t="s"/>
      <c r="I1043" t="s"/>
      <c r="J1043" t="n">
        <v>0.4767</v>
      </c>
      <c r="K1043" t="n">
        <v>0</v>
      </c>
      <c r="L1043" t="n">
        <v>0.721</v>
      </c>
      <c r="M1043" t="n">
        <v>0.279</v>
      </c>
    </row>
    <row r="1044" spans="1:13">
      <c r="A1044" s="1">
        <f>HYPERLINK("http://www.twitter.com/NathanBLawrence/status/995193734487658498", "995193734487658498")</f>
        <v/>
      </c>
      <c r="B1044" s="2" t="n">
        <v>43232.28298611111</v>
      </c>
      <c r="C1044" t="n">
        <v>4</v>
      </c>
      <c r="D1044" t="n">
        <v>0</v>
      </c>
      <c r="E1044" t="s">
        <v>1055</v>
      </c>
      <c r="F1044" t="s"/>
      <c r="G1044" t="s"/>
      <c r="H1044" t="s"/>
      <c r="I1044" t="s"/>
      <c r="J1044" t="n">
        <v>0</v>
      </c>
      <c r="K1044" t="n">
        <v>0</v>
      </c>
      <c r="L1044" t="n">
        <v>1</v>
      </c>
      <c r="M1044" t="n">
        <v>0</v>
      </c>
    </row>
    <row r="1045" spans="1:13">
      <c r="A1045" s="1">
        <f>HYPERLINK("http://www.twitter.com/NathanBLawrence/status/995193566233182208", "995193566233182208")</f>
        <v/>
      </c>
      <c r="B1045" s="2" t="n">
        <v>43232.28252314815</v>
      </c>
      <c r="C1045" t="n">
        <v>8</v>
      </c>
      <c r="D1045" t="n">
        <v>6</v>
      </c>
      <c r="E1045" t="s">
        <v>1056</v>
      </c>
      <c r="F1045" t="s"/>
      <c r="G1045" t="s"/>
      <c r="H1045" t="s"/>
      <c r="I1045" t="s"/>
      <c r="J1045" t="n">
        <v>0.3181</v>
      </c>
      <c r="K1045" t="n">
        <v>0</v>
      </c>
      <c r="L1045" t="n">
        <v>0.931</v>
      </c>
      <c r="M1045" t="n">
        <v>0.06900000000000001</v>
      </c>
    </row>
    <row r="1046" spans="1:13">
      <c r="A1046" s="1">
        <f>HYPERLINK("http://www.twitter.com/NathanBLawrence/status/995193286515085313", "995193286515085313")</f>
        <v/>
      </c>
      <c r="B1046" s="2" t="n">
        <v>43232.28174768519</v>
      </c>
      <c r="C1046" t="n">
        <v>16</v>
      </c>
      <c r="D1046" t="n">
        <v>3</v>
      </c>
      <c r="E1046" t="s">
        <v>1057</v>
      </c>
      <c r="F1046" t="s"/>
      <c r="G1046" t="s"/>
      <c r="H1046" t="s"/>
      <c r="I1046" t="s"/>
      <c r="J1046" t="n">
        <v>0</v>
      </c>
      <c r="K1046" t="n">
        <v>0</v>
      </c>
      <c r="L1046" t="n">
        <v>1</v>
      </c>
      <c r="M1046" t="n">
        <v>0</v>
      </c>
    </row>
    <row r="1047" spans="1:13">
      <c r="A1047" s="1">
        <f>HYPERLINK("http://www.twitter.com/NathanBLawrence/status/995192490197057536", "995192490197057536")</f>
        <v/>
      </c>
      <c r="B1047" s="2" t="n">
        <v>43232.27956018518</v>
      </c>
      <c r="C1047" t="n">
        <v>6</v>
      </c>
      <c r="D1047" t="n">
        <v>5</v>
      </c>
      <c r="E1047" t="s">
        <v>1058</v>
      </c>
      <c r="F1047" t="s"/>
      <c r="G1047" t="s"/>
      <c r="H1047" t="s"/>
      <c r="I1047" t="s"/>
      <c r="J1047" t="n">
        <v>-0.8268</v>
      </c>
      <c r="K1047" t="n">
        <v>0.312</v>
      </c>
      <c r="L1047" t="n">
        <v>0.6879999999999999</v>
      </c>
      <c r="M1047" t="n">
        <v>0</v>
      </c>
    </row>
    <row r="1048" spans="1:13">
      <c r="A1048" s="1">
        <f>HYPERLINK("http://www.twitter.com/NathanBLawrence/status/995192274278494208", "995192274278494208")</f>
        <v/>
      </c>
      <c r="B1048" s="2" t="n">
        <v>43232.27895833334</v>
      </c>
      <c r="C1048" t="n">
        <v>7</v>
      </c>
      <c r="D1048" t="n">
        <v>3</v>
      </c>
      <c r="E1048" t="s">
        <v>1059</v>
      </c>
      <c r="F1048" t="s"/>
      <c r="G1048" t="s"/>
      <c r="H1048" t="s"/>
      <c r="I1048" t="s"/>
      <c r="J1048" t="n">
        <v>0.5743</v>
      </c>
      <c r="K1048" t="n">
        <v>0.145</v>
      </c>
      <c r="L1048" t="n">
        <v>0.553</v>
      </c>
      <c r="M1048" t="n">
        <v>0.303</v>
      </c>
    </row>
    <row r="1049" spans="1:13">
      <c r="A1049" s="1">
        <f>HYPERLINK("http://www.twitter.com/NathanBLawrence/status/995192087841681408", "995192087841681408")</f>
        <v/>
      </c>
      <c r="B1049" s="2" t="n">
        <v>43232.27844907407</v>
      </c>
      <c r="C1049" t="n">
        <v>2</v>
      </c>
      <c r="D1049" t="n">
        <v>0</v>
      </c>
      <c r="E1049" t="s">
        <v>1060</v>
      </c>
      <c r="F1049" t="s"/>
      <c r="G1049" t="s"/>
      <c r="H1049" t="s"/>
      <c r="I1049" t="s"/>
      <c r="J1049" t="n">
        <v>-0.4588</v>
      </c>
      <c r="K1049" t="n">
        <v>0.144</v>
      </c>
      <c r="L1049" t="n">
        <v>0.776</v>
      </c>
      <c r="M1049" t="n">
        <v>0.08</v>
      </c>
    </row>
    <row r="1050" spans="1:13">
      <c r="A1050" s="1">
        <f>HYPERLINK("http://www.twitter.com/NathanBLawrence/status/995191627353280512", "995191627353280512")</f>
        <v/>
      </c>
      <c r="B1050" s="2" t="n">
        <v>43232.27717592593</v>
      </c>
      <c r="C1050" t="n">
        <v>1</v>
      </c>
      <c r="D1050" t="n">
        <v>0</v>
      </c>
      <c r="E1050" t="s">
        <v>1061</v>
      </c>
      <c r="F1050" t="s"/>
      <c r="G1050" t="s"/>
      <c r="H1050" t="s"/>
      <c r="I1050" t="s"/>
      <c r="J1050" t="n">
        <v>-0.3612</v>
      </c>
      <c r="K1050" t="n">
        <v>0.217</v>
      </c>
      <c r="L1050" t="n">
        <v>0.783</v>
      </c>
      <c r="M1050" t="n">
        <v>0</v>
      </c>
    </row>
    <row r="1051" spans="1:13">
      <c r="A1051" s="1">
        <f>HYPERLINK("http://www.twitter.com/NathanBLawrence/status/995178568656207874", "995178568656207874")</f>
        <v/>
      </c>
      <c r="B1051" s="2" t="n">
        <v>43232.24113425926</v>
      </c>
      <c r="C1051" t="n">
        <v>2</v>
      </c>
      <c r="D1051" t="n">
        <v>1</v>
      </c>
      <c r="E1051" t="s">
        <v>1062</v>
      </c>
      <c r="F1051" t="s"/>
      <c r="G1051" t="s"/>
      <c r="H1051" t="s"/>
      <c r="I1051" t="s"/>
      <c r="J1051" t="n">
        <v>0</v>
      </c>
      <c r="K1051" t="n">
        <v>0</v>
      </c>
      <c r="L1051" t="n">
        <v>1</v>
      </c>
      <c r="M1051" t="n">
        <v>0</v>
      </c>
    </row>
    <row r="1052" spans="1:13">
      <c r="A1052" s="1">
        <f>HYPERLINK("http://www.twitter.com/NathanBLawrence/status/995177835361808384", "995177835361808384")</f>
        <v/>
      </c>
      <c r="B1052" s="2" t="n">
        <v>43232.23912037037</v>
      </c>
      <c r="C1052" t="n">
        <v>24</v>
      </c>
      <c r="D1052" t="n">
        <v>14</v>
      </c>
      <c r="E1052" t="s">
        <v>1063</v>
      </c>
      <c r="F1052" t="s"/>
      <c r="G1052" t="s"/>
      <c r="H1052" t="s"/>
      <c r="I1052" t="s"/>
      <c r="J1052" t="n">
        <v>0.5859</v>
      </c>
      <c r="K1052" t="n">
        <v>0.116</v>
      </c>
      <c r="L1052" t="n">
        <v>0.603</v>
      </c>
      <c r="M1052" t="n">
        <v>0.28</v>
      </c>
    </row>
    <row r="1053" spans="1:13">
      <c r="A1053" s="1">
        <f>HYPERLINK("http://www.twitter.com/NathanBLawrence/status/995175843834941440", "995175843834941440")</f>
        <v/>
      </c>
      <c r="B1053" s="2" t="n">
        <v>43232.23362268518</v>
      </c>
      <c r="C1053" t="n">
        <v>7</v>
      </c>
      <c r="D1053" t="n">
        <v>5</v>
      </c>
      <c r="E1053" t="s">
        <v>1064</v>
      </c>
      <c r="F1053" t="s"/>
      <c r="G1053" t="s"/>
      <c r="H1053" t="s"/>
      <c r="I1053" t="s"/>
      <c r="J1053" t="n">
        <v>0.4767</v>
      </c>
      <c r="K1053" t="n">
        <v>0</v>
      </c>
      <c r="L1053" t="n">
        <v>0.853</v>
      </c>
      <c r="M1053" t="n">
        <v>0.147</v>
      </c>
    </row>
    <row r="1054" spans="1:13">
      <c r="A1054" s="1">
        <f>HYPERLINK("http://www.twitter.com/NathanBLawrence/status/995175114797826048", "995175114797826048")</f>
        <v/>
      </c>
      <c r="B1054" s="2" t="n">
        <v>43232.2316087963</v>
      </c>
      <c r="C1054" t="n">
        <v>3</v>
      </c>
      <c r="D1054" t="n">
        <v>3</v>
      </c>
      <c r="E1054" t="s">
        <v>1065</v>
      </c>
      <c r="F1054" t="s"/>
      <c r="G1054" t="s"/>
      <c r="H1054" t="s"/>
      <c r="I1054" t="s"/>
      <c r="J1054" t="n">
        <v>-0.8891</v>
      </c>
      <c r="K1054" t="n">
        <v>0.419</v>
      </c>
      <c r="L1054" t="n">
        <v>0.581</v>
      </c>
      <c r="M1054" t="n">
        <v>0</v>
      </c>
    </row>
    <row r="1055" spans="1:13">
      <c r="A1055" s="1">
        <f>HYPERLINK("http://www.twitter.com/NathanBLawrence/status/995174794130669569", "995174794130669569")</f>
        <v/>
      </c>
      <c r="B1055" s="2" t="n">
        <v>43232.23072916667</v>
      </c>
      <c r="C1055" t="n">
        <v>5</v>
      </c>
      <c r="D1055" t="n">
        <v>4</v>
      </c>
      <c r="E1055" t="s">
        <v>1066</v>
      </c>
      <c r="F1055" t="s"/>
      <c r="G1055" t="s"/>
      <c r="H1055" t="s"/>
      <c r="I1055" t="s"/>
      <c r="J1055" t="n">
        <v>0</v>
      </c>
      <c r="K1055" t="n">
        <v>0</v>
      </c>
      <c r="L1055" t="n">
        <v>1</v>
      </c>
      <c r="M1055" t="n">
        <v>0</v>
      </c>
    </row>
    <row r="1056" spans="1:13">
      <c r="A1056" s="1">
        <f>HYPERLINK("http://www.twitter.com/NathanBLawrence/status/995174471123152896", "995174471123152896")</f>
        <v/>
      </c>
      <c r="B1056" s="2" t="n">
        <v>43232.22983796296</v>
      </c>
      <c r="C1056" t="n">
        <v>9</v>
      </c>
      <c r="D1056" t="n">
        <v>6</v>
      </c>
      <c r="E1056" t="s">
        <v>1067</v>
      </c>
      <c r="F1056" t="s"/>
      <c r="G1056" t="s"/>
      <c r="H1056" t="s"/>
      <c r="I1056" t="s"/>
      <c r="J1056" t="n">
        <v>-0.4939</v>
      </c>
      <c r="K1056" t="n">
        <v>0.242</v>
      </c>
      <c r="L1056" t="n">
        <v>0.758</v>
      </c>
      <c r="M1056" t="n">
        <v>0</v>
      </c>
    </row>
    <row r="1057" spans="1:13">
      <c r="A1057" s="1">
        <f>HYPERLINK("http://www.twitter.com/NathanBLawrence/status/995174098882850816", "995174098882850816")</f>
        <v/>
      </c>
      <c r="B1057" s="2" t="n">
        <v>43232.22880787037</v>
      </c>
      <c r="C1057" t="n">
        <v>15</v>
      </c>
      <c r="D1057" t="n">
        <v>16</v>
      </c>
      <c r="E1057" t="s">
        <v>1068</v>
      </c>
      <c r="F1057" t="s"/>
      <c r="G1057" t="s"/>
      <c r="H1057" t="s"/>
      <c r="I1057" t="s"/>
      <c r="J1057" t="n">
        <v>-0.8977000000000001</v>
      </c>
      <c r="K1057" t="n">
        <v>0.377</v>
      </c>
      <c r="L1057" t="n">
        <v>0.623</v>
      </c>
      <c r="M1057" t="n">
        <v>0</v>
      </c>
    </row>
    <row r="1058" spans="1:13">
      <c r="A1058" s="1">
        <f>HYPERLINK("http://www.twitter.com/NathanBLawrence/status/995173797484359680", "995173797484359680")</f>
        <v/>
      </c>
      <c r="B1058" s="2" t="n">
        <v>43232.22797453704</v>
      </c>
      <c r="C1058" t="n">
        <v>2</v>
      </c>
      <c r="D1058" t="n">
        <v>1</v>
      </c>
      <c r="E1058" t="s">
        <v>1069</v>
      </c>
      <c r="F1058" t="s"/>
      <c r="G1058" t="s"/>
      <c r="H1058" t="s"/>
      <c r="I1058" t="s"/>
      <c r="J1058" t="n">
        <v>-0.5563</v>
      </c>
      <c r="K1058" t="n">
        <v>0.277</v>
      </c>
      <c r="L1058" t="n">
        <v>0.723</v>
      </c>
      <c r="M1058" t="n">
        <v>0</v>
      </c>
    </row>
    <row r="1059" spans="1:13">
      <c r="A1059" s="1">
        <f>HYPERLINK("http://www.twitter.com/NathanBLawrence/status/995172729119625216", "995172729119625216")</f>
        <v/>
      </c>
      <c r="B1059" s="2" t="n">
        <v>43232.22502314814</v>
      </c>
      <c r="C1059" t="n">
        <v>11</v>
      </c>
      <c r="D1059" t="n">
        <v>4</v>
      </c>
      <c r="E1059" t="s">
        <v>1070</v>
      </c>
      <c r="F1059" t="s"/>
      <c r="G1059" t="s"/>
      <c r="H1059" t="s"/>
      <c r="I1059" t="s"/>
      <c r="J1059" t="n">
        <v>0.6616</v>
      </c>
      <c r="K1059" t="n">
        <v>0</v>
      </c>
      <c r="L1059" t="n">
        <v>0.576</v>
      </c>
      <c r="M1059" t="n">
        <v>0.424</v>
      </c>
    </row>
    <row r="1060" spans="1:13">
      <c r="A1060" s="1">
        <f>HYPERLINK("http://www.twitter.com/NathanBLawrence/status/995172202273095680", "995172202273095680")</f>
        <v/>
      </c>
      <c r="B1060" s="2" t="n">
        <v>43232.22357638889</v>
      </c>
      <c r="C1060" t="n">
        <v>43</v>
      </c>
      <c r="D1060" t="n">
        <v>16</v>
      </c>
      <c r="E1060" t="s">
        <v>1071</v>
      </c>
      <c r="F1060" t="s"/>
      <c r="G1060" t="s"/>
      <c r="H1060" t="s"/>
      <c r="I1060" t="s"/>
      <c r="J1060" t="n">
        <v>-0.6124000000000001</v>
      </c>
      <c r="K1060" t="n">
        <v>0.15</v>
      </c>
      <c r="L1060" t="n">
        <v>0.8</v>
      </c>
      <c r="M1060" t="n">
        <v>0.05</v>
      </c>
    </row>
    <row r="1061" spans="1:13">
      <c r="A1061" s="1">
        <f>HYPERLINK("http://www.twitter.com/NathanBLawrence/status/995170544138899458", "995170544138899458")</f>
        <v/>
      </c>
      <c r="B1061" s="2" t="n">
        <v>43232.21899305555</v>
      </c>
      <c r="C1061" t="n">
        <v>0</v>
      </c>
      <c r="D1061" t="n">
        <v>2539</v>
      </c>
      <c r="E1061" t="s">
        <v>1072</v>
      </c>
      <c r="F1061" t="s"/>
      <c r="G1061" t="s"/>
      <c r="H1061" t="s"/>
      <c r="I1061" t="s"/>
      <c r="J1061" t="n">
        <v>0.6124000000000001</v>
      </c>
      <c r="K1061" t="n">
        <v>0</v>
      </c>
      <c r="L1061" t="n">
        <v>0.783</v>
      </c>
      <c r="M1061" t="n">
        <v>0.217</v>
      </c>
    </row>
    <row r="1062" spans="1:13">
      <c r="A1062" s="1">
        <f>HYPERLINK("http://www.twitter.com/NathanBLawrence/status/995170467936813061", "995170467936813061")</f>
        <v/>
      </c>
      <c r="B1062" s="2" t="n">
        <v>43232.21878472222</v>
      </c>
      <c r="C1062" t="n">
        <v>0</v>
      </c>
      <c r="D1062" t="n">
        <v>2154</v>
      </c>
      <c r="E1062" t="s">
        <v>1073</v>
      </c>
      <c r="F1062" t="s"/>
      <c r="G1062" t="s"/>
      <c r="H1062" t="s"/>
      <c r="I1062" t="s"/>
      <c r="J1062" t="n">
        <v>0</v>
      </c>
      <c r="K1062" t="n">
        <v>0</v>
      </c>
      <c r="L1062" t="n">
        <v>1</v>
      </c>
      <c r="M1062" t="n">
        <v>0</v>
      </c>
    </row>
    <row r="1063" spans="1:13">
      <c r="A1063" s="1">
        <f>HYPERLINK("http://www.twitter.com/NathanBLawrence/status/995170165430960128", "995170165430960128")</f>
        <v/>
      </c>
      <c r="B1063" s="2" t="n">
        <v>43232.21795138889</v>
      </c>
      <c r="C1063" t="n">
        <v>0</v>
      </c>
      <c r="D1063" t="n">
        <v>96</v>
      </c>
      <c r="E1063" t="s">
        <v>1074</v>
      </c>
      <c r="F1063">
        <f>HYPERLINK("http://pbs.twimg.com/media/Dc8bryHVMAA-scx.jpg", "http://pbs.twimg.com/media/Dc8bryHVMAA-scx.jpg")</f>
        <v/>
      </c>
      <c r="G1063" t="s"/>
      <c r="H1063" t="s"/>
      <c r="I1063" t="s"/>
      <c r="J1063" t="n">
        <v>0.2023</v>
      </c>
      <c r="K1063" t="n">
        <v>0</v>
      </c>
      <c r="L1063" t="n">
        <v>0.904</v>
      </c>
      <c r="M1063" t="n">
        <v>0.096</v>
      </c>
    </row>
    <row r="1064" spans="1:13">
      <c r="A1064" s="1">
        <f>HYPERLINK("http://www.twitter.com/NathanBLawrence/status/995169447072579584", "995169447072579584")</f>
        <v/>
      </c>
      <c r="B1064" s="2" t="n">
        <v>43232.21597222222</v>
      </c>
      <c r="C1064" t="n">
        <v>0</v>
      </c>
      <c r="D1064" t="n">
        <v>1725</v>
      </c>
      <c r="E1064" t="s">
        <v>1075</v>
      </c>
      <c r="F1064" t="s"/>
      <c r="G1064" t="s"/>
      <c r="H1064" t="s"/>
      <c r="I1064" t="s"/>
      <c r="J1064" t="n">
        <v>-0.3947</v>
      </c>
      <c r="K1064" t="n">
        <v>0.17</v>
      </c>
      <c r="L1064" t="n">
        <v>0.731</v>
      </c>
      <c r="M1064" t="n">
        <v>0.099</v>
      </c>
    </row>
    <row r="1065" spans="1:13">
      <c r="A1065" s="1">
        <f>HYPERLINK("http://www.twitter.com/NathanBLawrence/status/995169399806947328", "995169399806947328")</f>
        <v/>
      </c>
      <c r="B1065" s="2" t="n">
        <v>43232.21583333334</v>
      </c>
      <c r="C1065" t="n">
        <v>0</v>
      </c>
      <c r="D1065" t="n">
        <v>6164</v>
      </c>
      <c r="E1065" t="s">
        <v>1076</v>
      </c>
      <c r="F1065" t="s"/>
      <c r="G1065" t="s"/>
      <c r="H1065" t="s"/>
      <c r="I1065" t="s"/>
      <c r="J1065" t="n">
        <v>-0.4023</v>
      </c>
      <c r="K1065" t="n">
        <v>0.119</v>
      </c>
      <c r="L1065" t="n">
        <v>0.881</v>
      </c>
      <c r="M1065" t="n">
        <v>0</v>
      </c>
    </row>
    <row r="1066" spans="1:13">
      <c r="A1066" s="1">
        <f>HYPERLINK("http://www.twitter.com/NathanBLawrence/status/995169311525294083", "995169311525294083")</f>
        <v/>
      </c>
      <c r="B1066" s="2" t="n">
        <v>43232.21559027778</v>
      </c>
      <c r="C1066" t="n">
        <v>11</v>
      </c>
      <c r="D1066" t="n">
        <v>10</v>
      </c>
      <c r="E1066" t="s">
        <v>1077</v>
      </c>
      <c r="F1066" t="s"/>
      <c r="G1066" t="s"/>
      <c r="H1066" t="s"/>
      <c r="I1066" t="s"/>
      <c r="J1066" t="n">
        <v>-0.7262999999999999</v>
      </c>
      <c r="K1066" t="n">
        <v>0.247</v>
      </c>
      <c r="L1066" t="n">
        <v>0.678</v>
      </c>
      <c r="M1066" t="n">
        <v>0.075</v>
      </c>
    </row>
    <row r="1067" spans="1:13">
      <c r="A1067" s="1">
        <f>HYPERLINK("http://www.twitter.com/NathanBLawrence/status/995168861283532800", "995168861283532800")</f>
        <v/>
      </c>
      <c r="B1067" s="2" t="n">
        <v>43232.21435185185</v>
      </c>
      <c r="C1067" t="n">
        <v>4</v>
      </c>
      <c r="D1067" t="n">
        <v>3</v>
      </c>
      <c r="E1067" t="s">
        <v>1078</v>
      </c>
      <c r="F1067" t="s"/>
      <c r="G1067" t="s"/>
      <c r="H1067" t="s"/>
      <c r="I1067" t="s"/>
      <c r="J1067" t="n">
        <v>0</v>
      </c>
      <c r="K1067" t="n">
        <v>0</v>
      </c>
      <c r="L1067" t="n">
        <v>1</v>
      </c>
      <c r="M1067" t="n">
        <v>0</v>
      </c>
    </row>
    <row r="1068" spans="1:13">
      <c r="A1068" s="1">
        <f>HYPERLINK("http://www.twitter.com/NathanBLawrence/status/995168586153934848", "995168586153934848")</f>
        <v/>
      </c>
      <c r="B1068" s="2" t="n">
        <v>43232.21358796296</v>
      </c>
      <c r="C1068" t="n">
        <v>5</v>
      </c>
      <c r="D1068" t="n">
        <v>3</v>
      </c>
      <c r="E1068" t="s">
        <v>1079</v>
      </c>
      <c r="F1068" t="s"/>
      <c r="G1068" t="s"/>
      <c r="H1068" t="s"/>
      <c r="I1068" t="s"/>
      <c r="J1068" t="n">
        <v>0.5707</v>
      </c>
      <c r="K1068" t="n">
        <v>0.066</v>
      </c>
      <c r="L1068" t="n">
        <v>0.725</v>
      </c>
      <c r="M1068" t="n">
        <v>0.208</v>
      </c>
    </row>
    <row r="1069" spans="1:13">
      <c r="A1069" s="1">
        <f>HYPERLINK("http://www.twitter.com/NathanBLawrence/status/995166456466698240", "995166456466698240")</f>
        <v/>
      </c>
      <c r="B1069" s="2" t="n">
        <v>43232.2077199074</v>
      </c>
      <c r="C1069" t="n">
        <v>1</v>
      </c>
      <c r="D1069" t="n">
        <v>0</v>
      </c>
      <c r="E1069" t="s">
        <v>1080</v>
      </c>
      <c r="F1069" t="s"/>
      <c r="G1069" t="s"/>
      <c r="H1069" t="s"/>
      <c r="I1069" t="s"/>
      <c r="J1069" t="n">
        <v>0</v>
      </c>
      <c r="K1069" t="n">
        <v>0</v>
      </c>
      <c r="L1069" t="n">
        <v>1</v>
      </c>
      <c r="M1069" t="n">
        <v>0</v>
      </c>
    </row>
    <row r="1070" spans="1:13">
      <c r="A1070" s="1">
        <f>HYPERLINK("http://www.twitter.com/NathanBLawrence/status/995164959255465984", "995164959255465984")</f>
        <v/>
      </c>
      <c r="B1070" s="2" t="n">
        <v>43232.20358796296</v>
      </c>
      <c r="C1070" t="n">
        <v>1</v>
      </c>
      <c r="D1070" t="n">
        <v>2</v>
      </c>
      <c r="E1070" t="s">
        <v>1081</v>
      </c>
      <c r="F1070" t="s"/>
      <c r="G1070" t="s"/>
      <c r="H1070" t="s"/>
      <c r="I1070" t="s"/>
      <c r="J1070" t="n">
        <v>0.5984</v>
      </c>
      <c r="K1070" t="n">
        <v>0</v>
      </c>
      <c r="L1070" t="n">
        <v>0.71</v>
      </c>
      <c r="M1070" t="n">
        <v>0.29</v>
      </c>
    </row>
    <row r="1071" spans="1:13">
      <c r="A1071" s="1">
        <f>HYPERLINK("http://www.twitter.com/NathanBLawrence/status/995163953964630016", "995163953964630016")</f>
        <v/>
      </c>
      <c r="B1071" s="2" t="n">
        <v>43232.20081018518</v>
      </c>
      <c r="C1071" t="n">
        <v>4</v>
      </c>
      <c r="D1071" t="n">
        <v>4</v>
      </c>
      <c r="E1071" t="s">
        <v>1082</v>
      </c>
      <c r="F1071" t="s"/>
      <c r="G1071" t="s"/>
      <c r="H1071" t="s"/>
      <c r="I1071" t="s"/>
      <c r="J1071" t="n">
        <v>-0.8891</v>
      </c>
      <c r="K1071" t="n">
        <v>0.725</v>
      </c>
      <c r="L1071" t="n">
        <v>0.275</v>
      </c>
      <c r="M1071" t="n">
        <v>0</v>
      </c>
    </row>
    <row r="1072" spans="1:13">
      <c r="A1072" s="1">
        <f>HYPERLINK("http://www.twitter.com/NathanBLawrence/status/995163536237051905", "995163536237051905")</f>
        <v/>
      </c>
      <c r="B1072" s="2" t="n">
        <v>43232.19965277778</v>
      </c>
      <c r="C1072" t="n">
        <v>1</v>
      </c>
      <c r="D1072" t="n">
        <v>0</v>
      </c>
      <c r="E1072" t="s">
        <v>1083</v>
      </c>
      <c r="F1072" t="s"/>
      <c r="G1072" t="s"/>
      <c r="H1072" t="s"/>
      <c r="I1072" t="s"/>
      <c r="J1072" t="n">
        <v>0</v>
      </c>
      <c r="K1072" t="n">
        <v>0</v>
      </c>
      <c r="L1072" t="n">
        <v>1</v>
      </c>
      <c r="M1072" t="n">
        <v>0</v>
      </c>
    </row>
    <row r="1073" spans="1:13">
      <c r="A1073" s="1">
        <f>HYPERLINK("http://www.twitter.com/NathanBLawrence/status/995163367579893760", "995163367579893760")</f>
        <v/>
      </c>
      <c r="B1073" s="2" t="n">
        <v>43232.19918981481</v>
      </c>
      <c r="C1073" t="n">
        <v>0</v>
      </c>
      <c r="D1073" t="n">
        <v>9650</v>
      </c>
      <c r="E1073" t="s">
        <v>1084</v>
      </c>
      <c r="F1073" t="s"/>
      <c r="G1073" t="s"/>
      <c r="H1073" t="s"/>
      <c r="I1073" t="s"/>
      <c r="J1073" t="n">
        <v>-0.5266999999999999</v>
      </c>
      <c r="K1073" t="n">
        <v>0.239</v>
      </c>
      <c r="L1073" t="n">
        <v>0.761</v>
      </c>
      <c r="M1073" t="n">
        <v>0</v>
      </c>
    </row>
    <row r="1074" spans="1:13">
      <c r="A1074" s="1">
        <f>HYPERLINK("http://www.twitter.com/NathanBLawrence/status/995163251133501440", "995163251133501440")</f>
        <v/>
      </c>
      <c r="B1074" s="2" t="n">
        <v>43232.19886574074</v>
      </c>
      <c r="C1074" t="n">
        <v>0</v>
      </c>
      <c r="D1074" t="n">
        <v>4</v>
      </c>
      <c r="E1074" t="s">
        <v>1085</v>
      </c>
      <c r="F1074" t="s"/>
      <c r="G1074" t="s"/>
      <c r="H1074" t="s"/>
      <c r="I1074" t="s"/>
      <c r="J1074" t="n">
        <v>0</v>
      </c>
      <c r="K1074" t="n">
        <v>0</v>
      </c>
      <c r="L1074" t="n">
        <v>1</v>
      </c>
      <c r="M1074" t="n">
        <v>0</v>
      </c>
    </row>
    <row r="1075" spans="1:13">
      <c r="A1075" s="1">
        <f>HYPERLINK("http://www.twitter.com/NathanBLawrence/status/995163197446406145", "995163197446406145")</f>
        <v/>
      </c>
      <c r="B1075" s="2" t="n">
        <v>43232.19872685185</v>
      </c>
      <c r="C1075" t="n">
        <v>0</v>
      </c>
      <c r="D1075" t="n">
        <v>143</v>
      </c>
      <c r="E1075" t="s">
        <v>1086</v>
      </c>
      <c r="F1075" t="s"/>
      <c r="G1075" t="s"/>
      <c r="H1075" t="s"/>
      <c r="I1075" t="s"/>
      <c r="J1075" t="n">
        <v>0</v>
      </c>
      <c r="K1075" t="n">
        <v>0</v>
      </c>
      <c r="L1075" t="n">
        <v>1</v>
      </c>
      <c r="M1075" t="n">
        <v>0</v>
      </c>
    </row>
    <row r="1076" spans="1:13">
      <c r="A1076" s="1">
        <f>HYPERLINK("http://www.twitter.com/NathanBLawrence/status/995163120225013761", "995163120225013761")</f>
        <v/>
      </c>
      <c r="B1076" s="2" t="n">
        <v>43232.19850694444</v>
      </c>
      <c r="C1076" t="n">
        <v>0</v>
      </c>
      <c r="D1076" t="n">
        <v>4</v>
      </c>
      <c r="E1076" t="s">
        <v>1087</v>
      </c>
      <c r="F1076" t="s"/>
      <c r="G1076" t="s"/>
      <c r="H1076" t="s"/>
      <c r="I1076" t="s"/>
      <c r="J1076" t="n">
        <v>-0.2263</v>
      </c>
      <c r="K1076" t="n">
        <v>0.115</v>
      </c>
      <c r="L1076" t="n">
        <v>0.8090000000000001</v>
      </c>
      <c r="M1076" t="n">
        <v>0.077</v>
      </c>
    </row>
    <row r="1077" spans="1:13">
      <c r="A1077" s="1">
        <f>HYPERLINK("http://www.twitter.com/NathanBLawrence/status/995162646461612033", "995162646461612033")</f>
        <v/>
      </c>
      <c r="B1077" s="2" t="n">
        <v>43232.19719907407</v>
      </c>
      <c r="C1077" t="n">
        <v>3</v>
      </c>
      <c r="D1077" t="n">
        <v>6</v>
      </c>
      <c r="E1077" t="s">
        <v>1088</v>
      </c>
      <c r="F1077" t="s"/>
      <c r="G1077" t="s"/>
      <c r="H1077" t="s"/>
      <c r="I1077" t="s"/>
      <c r="J1077" t="n">
        <v>-0.7776999999999999</v>
      </c>
      <c r="K1077" t="n">
        <v>0.231</v>
      </c>
      <c r="L1077" t="n">
        <v>0.769</v>
      </c>
      <c r="M1077" t="n">
        <v>0</v>
      </c>
    </row>
    <row r="1078" spans="1:13">
      <c r="A1078" s="1">
        <f>HYPERLINK("http://www.twitter.com/NathanBLawrence/status/995161571302129664", "995161571302129664")</f>
        <v/>
      </c>
      <c r="B1078" s="2" t="n">
        <v>43232.19423611111</v>
      </c>
      <c r="C1078" t="n">
        <v>9</v>
      </c>
      <c r="D1078" t="n">
        <v>3</v>
      </c>
      <c r="E1078" t="s">
        <v>1089</v>
      </c>
      <c r="F1078" t="s"/>
      <c r="G1078" t="s"/>
      <c r="H1078" t="s"/>
      <c r="I1078" t="s"/>
      <c r="J1078" t="n">
        <v>0.2023</v>
      </c>
      <c r="K1078" t="n">
        <v>0.149</v>
      </c>
      <c r="L1078" t="n">
        <v>0.649</v>
      </c>
      <c r="M1078" t="n">
        <v>0.201</v>
      </c>
    </row>
    <row r="1079" spans="1:13">
      <c r="A1079" s="1">
        <f>HYPERLINK("http://www.twitter.com/NathanBLawrence/status/995161484861755392", "995161484861755392")</f>
        <v/>
      </c>
      <c r="B1079" s="2" t="n">
        <v>43232.19399305555</v>
      </c>
      <c r="C1079" t="n">
        <v>1</v>
      </c>
      <c r="D1079" t="n">
        <v>0</v>
      </c>
      <c r="E1079" t="s">
        <v>1090</v>
      </c>
      <c r="F1079" t="s"/>
      <c r="G1079" t="s"/>
      <c r="H1079" t="s"/>
      <c r="I1079" t="s"/>
      <c r="J1079" t="n">
        <v>-0.126</v>
      </c>
      <c r="K1079" t="n">
        <v>0.185</v>
      </c>
      <c r="L1079" t="n">
        <v>0.591</v>
      </c>
      <c r="M1079" t="n">
        <v>0.223</v>
      </c>
    </row>
    <row r="1080" spans="1:13">
      <c r="A1080" s="1">
        <f>HYPERLINK("http://www.twitter.com/NathanBLawrence/status/995114063427387392", "995114063427387392")</f>
        <v/>
      </c>
      <c r="B1080" s="2" t="n">
        <v>43232.06313657408</v>
      </c>
      <c r="C1080" t="n">
        <v>0</v>
      </c>
      <c r="D1080" t="n">
        <v>20</v>
      </c>
      <c r="E1080" t="s">
        <v>1091</v>
      </c>
      <c r="F1080" t="s"/>
      <c r="G1080" t="s"/>
      <c r="H1080" t="s"/>
      <c r="I1080" t="s"/>
      <c r="J1080" t="n">
        <v>-0.4981</v>
      </c>
      <c r="K1080" t="n">
        <v>0.227</v>
      </c>
      <c r="L1080" t="n">
        <v>0.773</v>
      </c>
      <c r="M1080" t="n">
        <v>0</v>
      </c>
    </row>
    <row r="1081" spans="1:13">
      <c r="A1081" s="1">
        <f>HYPERLINK("http://www.twitter.com/NathanBLawrence/status/995113893763497984", "995113893763497984")</f>
        <v/>
      </c>
      <c r="B1081" s="2" t="n">
        <v>43232.06267361111</v>
      </c>
      <c r="C1081" t="n">
        <v>11</v>
      </c>
      <c r="D1081" t="n">
        <v>7</v>
      </c>
      <c r="E1081" t="s">
        <v>1092</v>
      </c>
      <c r="F1081" t="s"/>
      <c r="G1081" t="s"/>
      <c r="H1081" t="s"/>
      <c r="I1081" t="s"/>
      <c r="J1081" t="n">
        <v>0.5983000000000001</v>
      </c>
      <c r="K1081" t="n">
        <v>0</v>
      </c>
      <c r="L1081" t="n">
        <v>0.77</v>
      </c>
      <c r="M1081" t="n">
        <v>0.23</v>
      </c>
    </row>
    <row r="1082" spans="1:13">
      <c r="A1082" s="1">
        <f>HYPERLINK("http://www.twitter.com/NathanBLawrence/status/995113790726328321", "995113790726328321")</f>
        <v/>
      </c>
      <c r="B1082" s="2" t="n">
        <v>43232.06238425926</v>
      </c>
      <c r="C1082" t="n">
        <v>18</v>
      </c>
      <c r="D1082" t="n">
        <v>4</v>
      </c>
      <c r="E1082" t="s">
        <v>1093</v>
      </c>
      <c r="F1082" t="s"/>
      <c r="G1082" t="s"/>
      <c r="H1082" t="s"/>
      <c r="I1082" t="s"/>
      <c r="J1082" t="n">
        <v>0.4753</v>
      </c>
      <c r="K1082" t="n">
        <v>0</v>
      </c>
      <c r="L1082" t="n">
        <v>0.8080000000000001</v>
      </c>
      <c r="M1082" t="n">
        <v>0.192</v>
      </c>
    </row>
    <row r="1083" spans="1:13">
      <c r="A1083" s="1">
        <f>HYPERLINK("http://www.twitter.com/NathanBLawrence/status/995113415168348160", "995113415168348160")</f>
        <v/>
      </c>
      <c r="B1083" s="2" t="n">
        <v>43232.06135416667</v>
      </c>
      <c r="C1083" t="n">
        <v>4</v>
      </c>
      <c r="D1083" t="n">
        <v>4</v>
      </c>
      <c r="E1083" t="s">
        <v>1094</v>
      </c>
      <c r="F1083" t="s"/>
      <c r="G1083" t="s"/>
      <c r="H1083" t="s"/>
      <c r="I1083" t="s"/>
      <c r="J1083" t="n">
        <v>-0.6841</v>
      </c>
      <c r="K1083" t="n">
        <v>0.26</v>
      </c>
      <c r="L1083" t="n">
        <v>0.74</v>
      </c>
      <c r="M1083" t="n">
        <v>0</v>
      </c>
    </row>
    <row r="1084" spans="1:13">
      <c r="A1084" s="1">
        <f>HYPERLINK("http://www.twitter.com/NathanBLawrence/status/995113236251885568", "995113236251885568")</f>
        <v/>
      </c>
      <c r="B1084" s="2" t="n">
        <v>43232.06085648148</v>
      </c>
      <c r="C1084" t="n">
        <v>44</v>
      </c>
      <c r="D1084" t="n">
        <v>45</v>
      </c>
      <c r="E1084" t="s">
        <v>1095</v>
      </c>
      <c r="F1084" t="s"/>
      <c r="G1084" t="s"/>
      <c r="H1084" t="s"/>
      <c r="I1084" t="s"/>
      <c r="J1084" t="n">
        <v>-0.6037</v>
      </c>
      <c r="K1084" t="n">
        <v>0.208</v>
      </c>
      <c r="L1084" t="n">
        <v>0.792</v>
      </c>
      <c r="M1084" t="n">
        <v>0</v>
      </c>
    </row>
    <row r="1085" spans="1:13">
      <c r="A1085" s="1">
        <f>HYPERLINK("http://www.twitter.com/NathanBLawrence/status/995112942721904640", "995112942721904640")</f>
        <v/>
      </c>
      <c r="B1085" s="2" t="n">
        <v>43232.0600462963</v>
      </c>
      <c r="C1085" t="n">
        <v>8</v>
      </c>
      <c r="D1085" t="n">
        <v>6</v>
      </c>
      <c r="E1085" t="s">
        <v>1096</v>
      </c>
      <c r="F1085" t="s"/>
      <c r="G1085" t="s"/>
      <c r="H1085" t="s"/>
      <c r="I1085" t="s"/>
      <c r="J1085" t="n">
        <v>-0.7644</v>
      </c>
      <c r="K1085" t="n">
        <v>0.185</v>
      </c>
      <c r="L1085" t="n">
        <v>0.8149999999999999</v>
      </c>
      <c r="M1085" t="n">
        <v>0</v>
      </c>
    </row>
    <row r="1086" spans="1:13">
      <c r="A1086" s="1">
        <f>HYPERLINK("http://www.twitter.com/NathanBLawrence/status/995112770503823362", "995112770503823362")</f>
        <v/>
      </c>
      <c r="B1086" s="2" t="n">
        <v>43232.05957175926</v>
      </c>
      <c r="C1086" t="n">
        <v>3</v>
      </c>
      <c r="D1086" t="n">
        <v>2</v>
      </c>
      <c r="E1086" t="s">
        <v>1097</v>
      </c>
      <c r="F1086" t="s"/>
      <c r="G1086" t="s"/>
      <c r="H1086" t="s"/>
      <c r="I1086" t="s"/>
      <c r="J1086" t="n">
        <v>-0.25</v>
      </c>
      <c r="K1086" t="n">
        <v>0.207</v>
      </c>
      <c r="L1086" t="n">
        <v>0.664</v>
      </c>
      <c r="M1086" t="n">
        <v>0.129</v>
      </c>
    </row>
    <row r="1087" spans="1:13">
      <c r="A1087" s="1">
        <f>HYPERLINK("http://www.twitter.com/NathanBLawrence/status/995096438911598593", "995096438911598593")</f>
        <v/>
      </c>
      <c r="B1087" s="2" t="n">
        <v>43232.01450231481</v>
      </c>
      <c r="C1087" t="n">
        <v>11</v>
      </c>
      <c r="D1087" t="n">
        <v>7</v>
      </c>
      <c r="E1087" t="s">
        <v>1098</v>
      </c>
      <c r="F1087" t="s"/>
      <c r="G1087" t="s"/>
      <c r="H1087" t="s"/>
      <c r="I1087" t="s"/>
      <c r="J1087" t="n">
        <v>0.5423</v>
      </c>
      <c r="K1087" t="n">
        <v>0</v>
      </c>
      <c r="L1087" t="n">
        <v>0.8110000000000001</v>
      </c>
      <c r="M1087" t="n">
        <v>0.189</v>
      </c>
    </row>
    <row r="1088" spans="1:13">
      <c r="A1088" s="1">
        <f>HYPERLINK("http://www.twitter.com/NathanBLawrence/status/995096182090219520", "995096182090219520")</f>
        <v/>
      </c>
      <c r="B1088" s="2" t="n">
        <v>43232.0137962963</v>
      </c>
      <c r="C1088" t="n">
        <v>12</v>
      </c>
      <c r="D1088" t="n">
        <v>15</v>
      </c>
      <c r="E1088" t="s">
        <v>1099</v>
      </c>
      <c r="F1088" t="s"/>
      <c r="G1088" t="s"/>
      <c r="H1088" t="s"/>
      <c r="I1088" t="s"/>
      <c r="J1088" t="n">
        <v>-0.5423</v>
      </c>
      <c r="K1088" t="n">
        <v>0.189</v>
      </c>
      <c r="L1088" t="n">
        <v>0.8110000000000001</v>
      </c>
      <c r="M1088" t="n">
        <v>0</v>
      </c>
    </row>
    <row r="1089" spans="1:13">
      <c r="A1089" s="1">
        <f>HYPERLINK("http://www.twitter.com/NathanBLawrence/status/995095851595841536", "995095851595841536")</f>
        <v/>
      </c>
      <c r="B1089" s="2" t="n">
        <v>43232.01288194444</v>
      </c>
      <c r="C1089" t="n">
        <v>2</v>
      </c>
      <c r="D1089" t="n">
        <v>2</v>
      </c>
      <c r="E1089" t="s">
        <v>1100</v>
      </c>
      <c r="F1089" t="s"/>
      <c r="G1089" t="s"/>
      <c r="H1089" t="s"/>
      <c r="I1089" t="s"/>
      <c r="J1089" t="n">
        <v>0.4404</v>
      </c>
      <c r="K1089" t="n">
        <v>0</v>
      </c>
      <c r="L1089" t="n">
        <v>0.756</v>
      </c>
      <c r="M1089" t="n">
        <v>0.244</v>
      </c>
    </row>
    <row r="1090" spans="1:13">
      <c r="A1090" s="1">
        <f>HYPERLINK("http://www.twitter.com/NathanBLawrence/status/995095283963867136", "995095283963867136")</f>
        <v/>
      </c>
      <c r="B1090" s="2" t="n">
        <v>43232.01131944444</v>
      </c>
      <c r="C1090" t="n">
        <v>0</v>
      </c>
      <c r="D1090" t="n">
        <v>591</v>
      </c>
      <c r="E1090" t="s">
        <v>1101</v>
      </c>
      <c r="F1090" t="s"/>
      <c r="G1090" t="s"/>
      <c r="H1090" t="s"/>
      <c r="I1090" t="s"/>
      <c r="J1090" t="n">
        <v>-0.656</v>
      </c>
      <c r="K1090" t="n">
        <v>0.292</v>
      </c>
      <c r="L1090" t="n">
        <v>0.708</v>
      </c>
      <c r="M1090" t="n">
        <v>0</v>
      </c>
    </row>
    <row r="1091" spans="1:13">
      <c r="A1091" s="1">
        <f>HYPERLINK("http://www.twitter.com/NathanBLawrence/status/995095217052106753", "995095217052106753")</f>
        <v/>
      </c>
      <c r="B1091" s="2" t="n">
        <v>43232.01113425926</v>
      </c>
      <c r="C1091" t="n">
        <v>6</v>
      </c>
      <c r="D1091" t="n">
        <v>7</v>
      </c>
      <c r="E1091" t="s">
        <v>1102</v>
      </c>
      <c r="F1091" t="s"/>
      <c r="G1091" t="s"/>
      <c r="H1091" t="s"/>
      <c r="I1091" t="s"/>
      <c r="J1091" t="n">
        <v>-0.296</v>
      </c>
      <c r="K1091" t="n">
        <v>0.136</v>
      </c>
      <c r="L1091" t="n">
        <v>0.864</v>
      </c>
      <c r="M1091" t="n">
        <v>0</v>
      </c>
    </row>
    <row r="1092" spans="1:13">
      <c r="A1092" s="1">
        <f>HYPERLINK("http://www.twitter.com/NathanBLawrence/status/995094663861186560", "995094663861186560")</f>
        <v/>
      </c>
      <c r="B1092" s="2" t="n">
        <v>43232.00960648148</v>
      </c>
      <c r="C1092" t="n">
        <v>36</v>
      </c>
      <c r="D1092" t="n">
        <v>20</v>
      </c>
      <c r="E1092" t="s">
        <v>1103</v>
      </c>
      <c r="F1092" t="s"/>
      <c r="G1092" t="s"/>
      <c r="H1092" t="s"/>
      <c r="I1092" t="s"/>
      <c r="J1092" t="n">
        <v>-0.7184</v>
      </c>
      <c r="K1092" t="n">
        <v>0.154</v>
      </c>
      <c r="L1092" t="n">
        <v>0.846</v>
      </c>
      <c r="M1092" t="n">
        <v>0</v>
      </c>
    </row>
    <row r="1093" spans="1:13">
      <c r="A1093" s="1">
        <f>HYPERLINK("http://www.twitter.com/NathanBLawrence/status/995094367063818240", "995094367063818240")</f>
        <v/>
      </c>
      <c r="B1093" s="2" t="n">
        <v>43232.00878472222</v>
      </c>
      <c r="C1093" t="n">
        <v>6</v>
      </c>
      <c r="D1093" t="n">
        <v>1</v>
      </c>
      <c r="E1093" t="s">
        <v>1104</v>
      </c>
      <c r="F1093" t="s"/>
      <c r="G1093" t="s"/>
      <c r="H1093" t="s"/>
      <c r="I1093" t="s"/>
      <c r="J1093" t="n">
        <v>-0.296</v>
      </c>
      <c r="K1093" t="n">
        <v>0.145</v>
      </c>
      <c r="L1093" t="n">
        <v>0.855</v>
      </c>
      <c r="M1093" t="n">
        <v>0</v>
      </c>
    </row>
    <row r="1094" spans="1:13">
      <c r="A1094" s="1">
        <f>HYPERLINK("http://www.twitter.com/NathanBLawrence/status/995094280765980672", "995094280765980672")</f>
        <v/>
      </c>
      <c r="B1094" s="2" t="n">
        <v>43232.00855324074</v>
      </c>
      <c r="C1094" t="n">
        <v>18</v>
      </c>
      <c r="D1094" t="n">
        <v>7</v>
      </c>
      <c r="E1094" t="s">
        <v>1105</v>
      </c>
      <c r="F1094" t="s"/>
      <c r="G1094" t="s"/>
      <c r="H1094" t="s"/>
      <c r="I1094" t="s"/>
      <c r="J1094" t="n">
        <v>0</v>
      </c>
      <c r="K1094" t="n">
        <v>0</v>
      </c>
      <c r="L1094" t="n">
        <v>1</v>
      </c>
      <c r="M1094" t="n">
        <v>0</v>
      </c>
    </row>
    <row r="1095" spans="1:13">
      <c r="A1095" s="1">
        <f>HYPERLINK("http://www.twitter.com/NathanBLawrence/status/995080712049979397", "995080712049979397")</f>
        <v/>
      </c>
      <c r="B1095" s="2" t="n">
        <v>43231.97111111111</v>
      </c>
      <c r="C1095" t="n">
        <v>4</v>
      </c>
      <c r="D1095" t="n">
        <v>1</v>
      </c>
      <c r="E1095" t="s">
        <v>1106</v>
      </c>
      <c r="F1095" t="s"/>
      <c r="G1095" t="s"/>
      <c r="H1095" t="s"/>
      <c r="I1095" t="s"/>
      <c r="J1095" t="n">
        <v>-0.7184</v>
      </c>
      <c r="K1095" t="n">
        <v>0.353</v>
      </c>
      <c r="L1095" t="n">
        <v>0.647</v>
      </c>
      <c r="M1095" t="n">
        <v>0</v>
      </c>
    </row>
    <row r="1096" spans="1:13">
      <c r="A1096" s="1">
        <f>HYPERLINK("http://www.twitter.com/NathanBLawrence/status/995080630001004547", "995080630001004547")</f>
        <v/>
      </c>
      <c r="B1096" s="2" t="n">
        <v>43231.97087962963</v>
      </c>
      <c r="C1096" t="n">
        <v>4</v>
      </c>
      <c r="D1096" t="n">
        <v>5</v>
      </c>
      <c r="E1096" t="s">
        <v>1107</v>
      </c>
      <c r="F1096" t="s"/>
      <c r="G1096" t="s"/>
      <c r="H1096" t="s"/>
      <c r="I1096" t="s"/>
      <c r="J1096" t="n">
        <v>0.5859</v>
      </c>
      <c r="K1096" t="n">
        <v>0</v>
      </c>
      <c r="L1096" t="n">
        <v>0.725</v>
      </c>
      <c r="M1096" t="n">
        <v>0.275</v>
      </c>
    </row>
    <row r="1097" spans="1:13">
      <c r="A1097" s="1">
        <f>HYPERLINK("http://www.twitter.com/NathanBLawrence/status/995080529606144006", "995080529606144006")</f>
        <v/>
      </c>
      <c r="B1097" s="2" t="n">
        <v>43231.97060185186</v>
      </c>
      <c r="C1097" t="n">
        <v>11</v>
      </c>
      <c r="D1097" t="n">
        <v>8</v>
      </c>
      <c r="E1097" t="s">
        <v>1108</v>
      </c>
      <c r="F1097" t="s"/>
      <c r="G1097" t="s"/>
      <c r="H1097" t="s"/>
      <c r="I1097" t="s"/>
      <c r="J1097" t="n">
        <v>0.6731</v>
      </c>
      <c r="K1097" t="n">
        <v>0.045</v>
      </c>
      <c r="L1097" t="n">
        <v>0.803</v>
      </c>
      <c r="M1097" t="n">
        <v>0.152</v>
      </c>
    </row>
    <row r="1098" spans="1:13">
      <c r="A1098" s="1">
        <f>HYPERLINK("http://www.twitter.com/NathanBLawrence/status/995080311418470401", "995080311418470401")</f>
        <v/>
      </c>
      <c r="B1098" s="2" t="n">
        <v>43231.97</v>
      </c>
      <c r="C1098" t="n">
        <v>3</v>
      </c>
      <c r="D1098" t="n">
        <v>1</v>
      </c>
      <c r="E1098" t="s">
        <v>1109</v>
      </c>
      <c r="F1098" t="s"/>
      <c r="G1098" t="s"/>
      <c r="H1098" t="s"/>
      <c r="I1098" t="s"/>
      <c r="J1098" t="n">
        <v>0.5423</v>
      </c>
      <c r="K1098" t="n">
        <v>0</v>
      </c>
      <c r="L1098" t="n">
        <v>0.788</v>
      </c>
      <c r="M1098" t="n">
        <v>0.212</v>
      </c>
    </row>
    <row r="1099" spans="1:13">
      <c r="A1099" s="1">
        <f>HYPERLINK("http://www.twitter.com/NathanBLawrence/status/995079774023270400", "995079774023270400")</f>
        <v/>
      </c>
      <c r="B1099" s="2" t="n">
        <v>43231.96851851852</v>
      </c>
      <c r="C1099" t="n">
        <v>3</v>
      </c>
      <c r="D1099" t="n">
        <v>3</v>
      </c>
      <c r="E1099" t="s">
        <v>1110</v>
      </c>
      <c r="F1099" t="s"/>
      <c r="G1099" t="s"/>
      <c r="H1099" t="s"/>
      <c r="I1099" t="s"/>
      <c r="J1099" t="n">
        <v>-0.8591</v>
      </c>
      <c r="K1099" t="n">
        <v>0.386</v>
      </c>
      <c r="L1099" t="n">
        <v>0.526</v>
      </c>
      <c r="M1099" t="n">
        <v>0.08799999999999999</v>
      </c>
    </row>
    <row r="1100" spans="1:13">
      <c r="A1100" s="1">
        <f>HYPERLINK("http://www.twitter.com/NathanBLawrence/status/995079245457059840", "995079245457059840")</f>
        <v/>
      </c>
      <c r="B1100" s="2" t="n">
        <v>43231.96706018518</v>
      </c>
      <c r="C1100" t="n">
        <v>7</v>
      </c>
      <c r="D1100" t="n">
        <v>3</v>
      </c>
      <c r="E1100" t="s">
        <v>1111</v>
      </c>
      <c r="F1100" t="s"/>
      <c r="G1100" t="s"/>
      <c r="H1100" t="s"/>
      <c r="I1100" t="s"/>
      <c r="J1100" t="n">
        <v>-0.4404</v>
      </c>
      <c r="K1100" t="n">
        <v>0.132</v>
      </c>
      <c r="L1100" t="n">
        <v>0.868</v>
      </c>
      <c r="M1100" t="n">
        <v>0</v>
      </c>
    </row>
    <row r="1101" spans="1:13">
      <c r="A1101" s="1">
        <f>HYPERLINK("http://www.twitter.com/NathanBLawrence/status/995078787661381632", "995078787661381632")</f>
        <v/>
      </c>
      <c r="B1101" s="2" t="n">
        <v>43231.96579861111</v>
      </c>
      <c r="C1101" t="n">
        <v>1</v>
      </c>
      <c r="D1101" t="n">
        <v>3</v>
      </c>
      <c r="E1101" t="s">
        <v>1112</v>
      </c>
      <c r="F1101" t="s"/>
      <c r="G1101" t="s"/>
      <c r="H1101" t="s"/>
      <c r="I1101" t="s"/>
      <c r="J1101" t="n">
        <v>-0.6597</v>
      </c>
      <c r="K1101" t="n">
        <v>0.188</v>
      </c>
      <c r="L1101" t="n">
        <v>0.8120000000000001</v>
      </c>
      <c r="M1101" t="n">
        <v>0</v>
      </c>
    </row>
    <row r="1102" spans="1:13">
      <c r="A1102" s="1">
        <f>HYPERLINK("http://www.twitter.com/NathanBLawrence/status/995078685232316416", "995078685232316416")</f>
        <v/>
      </c>
      <c r="B1102" s="2" t="n">
        <v>43231.96550925926</v>
      </c>
      <c r="C1102" t="n">
        <v>2</v>
      </c>
      <c r="D1102" t="n">
        <v>2</v>
      </c>
      <c r="E1102" t="s">
        <v>1113</v>
      </c>
      <c r="F1102" t="s"/>
      <c r="G1102" t="s"/>
      <c r="H1102" t="s"/>
      <c r="I1102" t="s"/>
      <c r="J1102" t="n">
        <v>-0.0534</v>
      </c>
      <c r="K1102" t="n">
        <v>0.113</v>
      </c>
      <c r="L1102" t="n">
        <v>0.785</v>
      </c>
      <c r="M1102" t="n">
        <v>0.103</v>
      </c>
    </row>
    <row r="1103" spans="1:13">
      <c r="A1103" s="1">
        <f>HYPERLINK("http://www.twitter.com/NathanBLawrence/status/995078621952819200", "995078621952819200")</f>
        <v/>
      </c>
      <c r="B1103" s="2" t="n">
        <v>43231.96533564815</v>
      </c>
      <c r="C1103" t="n">
        <v>8</v>
      </c>
      <c r="D1103" t="n">
        <v>5</v>
      </c>
      <c r="E1103" t="s">
        <v>1114</v>
      </c>
      <c r="F1103" t="s"/>
      <c r="G1103" t="s"/>
      <c r="H1103" t="s"/>
      <c r="I1103" t="s"/>
      <c r="J1103" t="n">
        <v>-0.3818</v>
      </c>
      <c r="K1103" t="n">
        <v>0.14</v>
      </c>
      <c r="L1103" t="n">
        <v>0.86</v>
      </c>
      <c r="M1103" t="n">
        <v>0</v>
      </c>
    </row>
    <row r="1104" spans="1:13">
      <c r="A1104" s="1">
        <f>HYPERLINK("http://www.twitter.com/NathanBLawrence/status/995054524325773312", "995054524325773312")</f>
        <v/>
      </c>
      <c r="B1104" s="2" t="n">
        <v>43231.89884259259</v>
      </c>
      <c r="C1104" t="n">
        <v>7</v>
      </c>
      <c r="D1104" t="n">
        <v>3</v>
      </c>
      <c r="E1104" t="s">
        <v>1115</v>
      </c>
      <c r="F1104" t="s"/>
      <c r="G1104" t="s"/>
      <c r="H1104" t="s"/>
      <c r="I1104" t="s"/>
      <c r="J1104" t="n">
        <v>0.0261</v>
      </c>
      <c r="K1104" t="n">
        <v>0.054</v>
      </c>
      <c r="L1104" t="n">
        <v>0.891</v>
      </c>
      <c r="M1104" t="n">
        <v>0.056</v>
      </c>
    </row>
    <row r="1105" spans="1:13">
      <c r="A1105" s="1">
        <f>HYPERLINK("http://www.twitter.com/NathanBLawrence/status/995054381379694593", "995054381379694593")</f>
        <v/>
      </c>
      <c r="B1105" s="2" t="n">
        <v>43231.89844907408</v>
      </c>
      <c r="C1105" t="n">
        <v>5</v>
      </c>
      <c r="D1105" t="n">
        <v>3</v>
      </c>
      <c r="E1105" t="s">
        <v>1116</v>
      </c>
      <c r="F1105" t="s"/>
      <c r="G1105" t="s"/>
      <c r="H1105" t="s"/>
      <c r="I1105" t="s"/>
      <c r="J1105" t="n">
        <v>0</v>
      </c>
      <c r="K1105" t="n">
        <v>0</v>
      </c>
      <c r="L1105" t="n">
        <v>1</v>
      </c>
      <c r="M1105" t="n">
        <v>0</v>
      </c>
    </row>
    <row r="1106" spans="1:13">
      <c r="A1106" s="1">
        <f>HYPERLINK("http://www.twitter.com/NathanBLawrence/status/995054128438042624", "995054128438042624")</f>
        <v/>
      </c>
      <c r="B1106" s="2" t="n">
        <v>43231.89775462963</v>
      </c>
      <c r="C1106" t="n">
        <v>11</v>
      </c>
      <c r="D1106" t="n">
        <v>10</v>
      </c>
      <c r="E1106" t="s">
        <v>1117</v>
      </c>
      <c r="F1106" t="s"/>
      <c r="G1106" t="s"/>
      <c r="H1106" t="s"/>
      <c r="I1106" t="s"/>
      <c r="J1106" t="n">
        <v>-0.5266999999999999</v>
      </c>
      <c r="K1106" t="n">
        <v>0.198</v>
      </c>
      <c r="L1106" t="n">
        <v>0.67</v>
      </c>
      <c r="M1106" t="n">
        <v>0.131</v>
      </c>
    </row>
    <row r="1107" spans="1:13">
      <c r="A1107" s="1">
        <f>HYPERLINK("http://www.twitter.com/NathanBLawrence/status/995053858085720064", "995053858085720064")</f>
        <v/>
      </c>
      <c r="B1107" s="2" t="n">
        <v>43231.89700231481</v>
      </c>
      <c r="C1107" t="n">
        <v>3</v>
      </c>
      <c r="D1107" t="n">
        <v>2</v>
      </c>
      <c r="E1107" t="s">
        <v>1118</v>
      </c>
      <c r="F1107" t="s"/>
      <c r="G1107" t="s"/>
      <c r="H1107" t="s"/>
      <c r="I1107" t="s"/>
      <c r="J1107" t="n">
        <v>-0.8516</v>
      </c>
      <c r="K1107" t="n">
        <v>0.278</v>
      </c>
      <c r="L1107" t="n">
        <v>0.617</v>
      </c>
      <c r="M1107" t="n">
        <v>0.105</v>
      </c>
    </row>
    <row r="1108" spans="1:13">
      <c r="A1108" s="1">
        <f>HYPERLINK("http://www.twitter.com/NathanBLawrence/status/995053554770440192", "995053554770440192")</f>
        <v/>
      </c>
      <c r="B1108" s="2" t="n">
        <v>43231.89616898148</v>
      </c>
      <c r="C1108" t="n">
        <v>2</v>
      </c>
      <c r="D1108" t="n">
        <v>2</v>
      </c>
      <c r="E1108" t="s">
        <v>1119</v>
      </c>
      <c r="F1108" t="s"/>
      <c r="G1108" t="s"/>
      <c r="H1108" t="s"/>
      <c r="I1108" t="s"/>
      <c r="J1108" t="n">
        <v>-0.128</v>
      </c>
      <c r="K1108" t="n">
        <v>0.115</v>
      </c>
      <c r="L1108" t="n">
        <v>0.78</v>
      </c>
      <c r="M1108" t="n">
        <v>0.105</v>
      </c>
    </row>
    <row r="1109" spans="1:13">
      <c r="A1109" s="1">
        <f>HYPERLINK("http://www.twitter.com/NathanBLawrence/status/995053343163596800", "995053343163596800")</f>
        <v/>
      </c>
      <c r="B1109" s="2" t="n">
        <v>43231.8955787037</v>
      </c>
      <c r="C1109" t="n">
        <v>9</v>
      </c>
      <c r="D1109" t="n">
        <v>9</v>
      </c>
      <c r="E1109" t="s">
        <v>1120</v>
      </c>
      <c r="F1109" t="s"/>
      <c r="G1109" t="s"/>
      <c r="H1109" t="s"/>
      <c r="I1109" t="s"/>
      <c r="J1109" t="n">
        <v>0.3736</v>
      </c>
      <c r="K1109" t="n">
        <v>0.048</v>
      </c>
      <c r="L1109" t="n">
        <v>0.851</v>
      </c>
      <c r="M1109" t="n">
        <v>0.101</v>
      </c>
    </row>
    <row r="1110" spans="1:13">
      <c r="A1110" s="1">
        <f>HYPERLINK("http://www.twitter.com/NathanBLawrence/status/995053036824231936", "995053036824231936")</f>
        <v/>
      </c>
      <c r="B1110" s="2" t="n">
        <v>43231.8947337963</v>
      </c>
      <c r="C1110" t="n">
        <v>2</v>
      </c>
      <c r="D1110" t="n">
        <v>5</v>
      </c>
      <c r="E1110" t="s">
        <v>1121</v>
      </c>
      <c r="F1110" t="s"/>
      <c r="G1110" t="s"/>
      <c r="H1110" t="s"/>
      <c r="I1110" t="s"/>
      <c r="J1110" t="n">
        <v>0.636</v>
      </c>
      <c r="K1110" t="n">
        <v>0.064</v>
      </c>
      <c r="L1110" t="n">
        <v>0.74</v>
      </c>
      <c r="M1110" t="n">
        <v>0.196</v>
      </c>
    </row>
    <row r="1111" spans="1:13">
      <c r="A1111" s="1">
        <f>HYPERLINK("http://www.twitter.com/NathanBLawrence/status/995051062624108544", "995051062624108544")</f>
        <v/>
      </c>
      <c r="B1111" s="2" t="n">
        <v>43231.88929398148</v>
      </c>
      <c r="C1111" t="n">
        <v>7</v>
      </c>
      <c r="D1111" t="n">
        <v>5</v>
      </c>
      <c r="E1111" t="s">
        <v>1122</v>
      </c>
      <c r="F1111" t="s"/>
      <c r="G1111" t="s"/>
      <c r="H1111" t="s"/>
      <c r="I1111" t="s"/>
      <c r="J1111" t="n">
        <v>0.4003</v>
      </c>
      <c r="K1111" t="n">
        <v>0</v>
      </c>
      <c r="L1111" t="n">
        <v>0.527</v>
      </c>
      <c r="M1111" t="n">
        <v>0.473</v>
      </c>
    </row>
    <row r="1112" spans="1:13">
      <c r="A1112" s="1">
        <f>HYPERLINK("http://www.twitter.com/NathanBLawrence/status/995050957498011649", "995050957498011649")</f>
        <v/>
      </c>
      <c r="B1112" s="2" t="n">
        <v>43231.88900462963</v>
      </c>
      <c r="C1112" t="n">
        <v>18</v>
      </c>
      <c r="D1112" t="n">
        <v>6</v>
      </c>
      <c r="E1112" t="s">
        <v>1123</v>
      </c>
      <c r="F1112" t="s"/>
      <c r="G1112" t="s"/>
      <c r="H1112" t="s"/>
      <c r="I1112" t="s"/>
      <c r="J1112" t="n">
        <v>0.5242</v>
      </c>
      <c r="K1112" t="n">
        <v>0</v>
      </c>
      <c r="L1112" t="n">
        <v>0.899</v>
      </c>
      <c r="M1112" t="n">
        <v>0.101</v>
      </c>
    </row>
    <row r="1113" spans="1:13">
      <c r="A1113" s="1">
        <f>HYPERLINK("http://www.twitter.com/NathanBLawrence/status/995013426698047488", "995013426698047488")</f>
        <v/>
      </c>
      <c r="B1113" s="2" t="n">
        <v>43231.78543981481</v>
      </c>
      <c r="C1113" t="n">
        <v>4</v>
      </c>
      <c r="D1113" t="n">
        <v>2</v>
      </c>
      <c r="E1113" t="s">
        <v>1124</v>
      </c>
      <c r="F1113" t="s"/>
      <c r="G1113" t="s"/>
      <c r="H1113" t="s"/>
      <c r="I1113" t="s"/>
      <c r="J1113" t="n">
        <v>0.25</v>
      </c>
      <c r="K1113" t="n">
        <v>0.127</v>
      </c>
      <c r="L1113" t="n">
        <v>0.709</v>
      </c>
      <c r="M1113" t="n">
        <v>0.164</v>
      </c>
    </row>
    <row r="1114" spans="1:13">
      <c r="A1114" s="1">
        <f>HYPERLINK("http://www.twitter.com/NathanBLawrence/status/995012394098180097", "995012394098180097")</f>
        <v/>
      </c>
      <c r="B1114" s="2" t="n">
        <v>43231.78258101852</v>
      </c>
      <c r="C1114" t="n">
        <v>0</v>
      </c>
      <c r="D1114" t="n">
        <v>1491</v>
      </c>
      <c r="E1114" t="s">
        <v>1125</v>
      </c>
      <c r="F1114" t="s"/>
      <c r="G1114" t="s"/>
      <c r="H1114" t="s"/>
      <c r="I1114" t="s"/>
      <c r="J1114" t="n">
        <v>-0.0772</v>
      </c>
      <c r="K1114" t="n">
        <v>0.07199999999999999</v>
      </c>
      <c r="L1114" t="n">
        <v>0.872</v>
      </c>
      <c r="M1114" t="n">
        <v>0.056</v>
      </c>
    </row>
    <row r="1115" spans="1:13">
      <c r="A1115" s="1">
        <f>HYPERLINK("http://www.twitter.com/NathanBLawrence/status/995012318541959168", "995012318541959168")</f>
        <v/>
      </c>
      <c r="B1115" s="2" t="n">
        <v>43231.78237268519</v>
      </c>
      <c r="C1115" t="n">
        <v>0</v>
      </c>
      <c r="D1115" t="n">
        <v>8721</v>
      </c>
      <c r="E1115" t="s">
        <v>1126</v>
      </c>
      <c r="F1115">
        <f>HYPERLINK("http://pbs.twimg.com/media/DcxzWsYVQAAq0OA.jpg", "http://pbs.twimg.com/media/DcxzWsYVQAAq0OA.jpg")</f>
        <v/>
      </c>
      <c r="G1115" t="s"/>
      <c r="H1115" t="s"/>
      <c r="I1115" t="s"/>
      <c r="J1115" t="n">
        <v>0.0387</v>
      </c>
      <c r="K1115" t="n">
        <v>0</v>
      </c>
      <c r="L1115" t="n">
        <v>0.9429999999999999</v>
      </c>
      <c r="M1115" t="n">
        <v>0.057</v>
      </c>
    </row>
    <row r="1116" spans="1:13">
      <c r="A1116" s="1">
        <f>HYPERLINK("http://www.twitter.com/NathanBLawrence/status/995012101151178752", "995012101151178752")</f>
        <v/>
      </c>
      <c r="B1116" s="2" t="n">
        <v>43231.78178240741</v>
      </c>
      <c r="C1116" t="n">
        <v>0</v>
      </c>
      <c r="D1116" t="n">
        <v>989</v>
      </c>
      <c r="E1116" t="s">
        <v>1127</v>
      </c>
      <c r="F1116" t="s"/>
      <c r="G1116" t="s"/>
      <c r="H1116" t="s"/>
      <c r="I1116" t="s"/>
      <c r="J1116" t="n">
        <v>-0.5622</v>
      </c>
      <c r="K1116" t="n">
        <v>0.154</v>
      </c>
      <c r="L1116" t="n">
        <v>0.846</v>
      </c>
      <c r="M1116" t="n">
        <v>0</v>
      </c>
    </row>
    <row r="1117" spans="1:13">
      <c r="A1117" s="1">
        <f>HYPERLINK("http://www.twitter.com/NathanBLawrence/status/995011857013329920", "995011857013329920")</f>
        <v/>
      </c>
      <c r="B1117" s="2" t="n">
        <v>43231.78109953704</v>
      </c>
      <c r="C1117" t="n">
        <v>0</v>
      </c>
      <c r="D1117" t="n">
        <v>260</v>
      </c>
      <c r="E1117" t="s">
        <v>1128</v>
      </c>
      <c r="F1117">
        <f>HYPERLINK("https://video.twimg.com/amplify_video/995004545196576768/vid/1280x720/eiukIoLMKor89RkI.mp4?tag=2", "https://video.twimg.com/amplify_video/995004545196576768/vid/1280x720/eiukIoLMKor89RkI.mp4?tag=2")</f>
        <v/>
      </c>
      <c r="G1117" t="s"/>
      <c r="H1117" t="s"/>
      <c r="I1117" t="s"/>
      <c r="J1117" t="n">
        <v>0</v>
      </c>
      <c r="K1117" t="n">
        <v>0</v>
      </c>
      <c r="L1117" t="n">
        <v>1</v>
      </c>
      <c r="M1117" t="n">
        <v>0</v>
      </c>
    </row>
    <row r="1118" spans="1:13">
      <c r="A1118" s="1">
        <f>HYPERLINK("http://www.twitter.com/NathanBLawrence/status/995011796674134016", "995011796674134016")</f>
        <v/>
      </c>
      <c r="B1118" s="2" t="n">
        <v>43231.7809375</v>
      </c>
      <c r="C1118" t="n">
        <v>3</v>
      </c>
      <c r="D1118" t="n">
        <v>1</v>
      </c>
      <c r="E1118" t="s">
        <v>1129</v>
      </c>
      <c r="F1118" t="s"/>
      <c r="G1118" t="s"/>
      <c r="H1118" t="s"/>
      <c r="I1118" t="s"/>
      <c r="J1118" t="n">
        <v>0</v>
      </c>
      <c r="K1118" t="n">
        <v>0</v>
      </c>
      <c r="L1118" t="n">
        <v>1</v>
      </c>
      <c r="M1118" t="n">
        <v>0</v>
      </c>
    </row>
    <row r="1119" spans="1:13">
      <c r="A1119" s="1">
        <f>HYPERLINK("http://www.twitter.com/NathanBLawrence/status/995011724750159872", "995011724750159872")</f>
        <v/>
      </c>
      <c r="B1119" s="2" t="n">
        <v>43231.78074074074</v>
      </c>
      <c r="C1119" t="n">
        <v>0</v>
      </c>
      <c r="D1119" t="n">
        <v>335</v>
      </c>
      <c r="E1119" t="s">
        <v>1130</v>
      </c>
      <c r="F1119" t="s"/>
      <c r="G1119" t="s"/>
      <c r="H1119" t="s"/>
      <c r="I1119" t="s"/>
      <c r="J1119" t="n">
        <v>0</v>
      </c>
      <c r="K1119" t="n">
        <v>0</v>
      </c>
      <c r="L1119" t="n">
        <v>1</v>
      </c>
      <c r="M1119" t="n">
        <v>0</v>
      </c>
    </row>
    <row r="1120" spans="1:13">
      <c r="A1120" s="1">
        <f>HYPERLINK("http://www.twitter.com/NathanBLawrence/status/995011649365987329", "995011649365987329")</f>
        <v/>
      </c>
      <c r="B1120" s="2" t="n">
        <v>43231.78053240741</v>
      </c>
      <c r="C1120" t="n">
        <v>0</v>
      </c>
      <c r="D1120" t="n">
        <v>649</v>
      </c>
      <c r="E1120" t="s">
        <v>1131</v>
      </c>
      <c r="F1120">
        <f>HYPERLINK("http://pbs.twimg.com/media/Dc7vHXdX0AESGub.jpg", "http://pbs.twimg.com/media/Dc7vHXdX0AESGub.jpg")</f>
        <v/>
      </c>
      <c r="G1120" t="s"/>
      <c r="H1120" t="s"/>
      <c r="I1120" t="s"/>
      <c r="J1120" t="n">
        <v>0.6114000000000001</v>
      </c>
      <c r="K1120" t="n">
        <v>0</v>
      </c>
      <c r="L1120" t="n">
        <v>0.6929999999999999</v>
      </c>
      <c r="M1120" t="n">
        <v>0.307</v>
      </c>
    </row>
    <row r="1121" spans="1:13">
      <c r="A1121" s="1">
        <f>HYPERLINK("http://www.twitter.com/NathanBLawrence/status/995011317755920384", "995011317755920384")</f>
        <v/>
      </c>
      <c r="B1121" s="2" t="n">
        <v>43231.77961805555</v>
      </c>
      <c r="C1121" t="n">
        <v>13</v>
      </c>
      <c r="D1121" t="n">
        <v>8</v>
      </c>
      <c r="E1121" t="s">
        <v>1132</v>
      </c>
      <c r="F1121" t="s"/>
      <c r="G1121" t="s"/>
      <c r="H1121" t="s"/>
      <c r="I1121" t="s"/>
      <c r="J1121" t="n">
        <v>0.373</v>
      </c>
      <c r="K1121" t="n">
        <v>0.158</v>
      </c>
      <c r="L1121" t="n">
        <v>0.725</v>
      </c>
      <c r="M1121" t="n">
        <v>0.117</v>
      </c>
    </row>
    <row r="1122" spans="1:13">
      <c r="A1122" s="1">
        <f>HYPERLINK("http://www.twitter.com/NathanBLawrence/status/995010879979597824", "995010879979597824")</f>
        <v/>
      </c>
      <c r="B1122" s="2" t="n">
        <v>43231.77840277777</v>
      </c>
      <c r="C1122" t="n">
        <v>10</v>
      </c>
      <c r="D1122" t="n">
        <v>5</v>
      </c>
      <c r="E1122" t="s">
        <v>1133</v>
      </c>
      <c r="F1122" t="s"/>
      <c r="G1122" t="s"/>
      <c r="H1122" t="s"/>
      <c r="I1122" t="s"/>
      <c r="J1122" t="n">
        <v>-0.5255</v>
      </c>
      <c r="K1122" t="n">
        <v>0.151</v>
      </c>
      <c r="L1122" t="n">
        <v>0.849</v>
      </c>
      <c r="M1122" t="n">
        <v>0</v>
      </c>
    </row>
    <row r="1123" spans="1:13">
      <c r="A1123" s="1">
        <f>HYPERLINK("http://www.twitter.com/NathanBLawrence/status/995003319587229697", "995003319587229697")</f>
        <v/>
      </c>
      <c r="B1123" s="2" t="n">
        <v>43231.7575462963</v>
      </c>
      <c r="C1123" t="n">
        <v>11</v>
      </c>
      <c r="D1123" t="n">
        <v>5</v>
      </c>
      <c r="E1123" t="s">
        <v>1134</v>
      </c>
      <c r="F1123" t="s"/>
      <c r="G1123" t="s"/>
      <c r="H1123" t="s"/>
      <c r="I1123" t="s"/>
      <c r="J1123" t="n">
        <v>0.296</v>
      </c>
      <c r="K1123" t="n">
        <v>0.185</v>
      </c>
      <c r="L1123" t="n">
        <v>0.556</v>
      </c>
      <c r="M1123" t="n">
        <v>0.259</v>
      </c>
    </row>
    <row r="1124" spans="1:13">
      <c r="A1124" s="1">
        <f>HYPERLINK("http://www.twitter.com/NathanBLawrence/status/995002556005793792", "995002556005793792")</f>
        <v/>
      </c>
      <c r="B1124" s="2" t="n">
        <v>43231.75543981481</v>
      </c>
      <c r="C1124" t="n">
        <v>6</v>
      </c>
      <c r="D1124" t="n">
        <v>2</v>
      </c>
      <c r="E1124" t="s">
        <v>1135</v>
      </c>
      <c r="F1124" t="s"/>
      <c r="G1124" t="s"/>
      <c r="H1124" t="s"/>
      <c r="I1124" t="s"/>
      <c r="J1124" t="n">
        <v>0</v>
      </c>
      <c r="K1124" t="n">
        <v>0</v>
      </c>
      <c r="L1124" t="n">
        <v>1</v>
      </c>
      <c r="M1124" t="n">
        <v>0</v>
      </c>
    </row>
    <row r="1125" spans="1:13">
      <c r="A1125" s="1">
        <f>HYPERLINK("http://www.twitter.com/NathanBLawrence/status/995002297674432512", "995002297674432512")</f>
        <v/>
      </c>
      <c r="B1125" s="2" t="n">
        <v>43231.75472222222</v>
      </c>
      <c r="C1125" t="n">
        <v>3</v>
      </c>
      <c r="D1125" t="n">
        <v>3</v>
      </c>
      <c r="E1125" t="s">
        <v>1136</v>
      </c>
      <c r="F1125" t="s"/>
      <c r="G1125" t="s"/>
      <c r="H1125" t="s"/>
      <c r="I1125" t="s"/>
      <c r="J1125" t="n">
        <v>0.5562</v>
      </c>
      <c r="K1125" t="n">
        <v>0</v>
      </c>
      <c r="L1125" t="n">
        <v>0.784</v>
      </c>
      <c r="M1125" t="n">
        <v>0.216</v>
      </c>
    </row>
    <row r="1126" spans="1:13">
      <c r="A1126" s="1">
        <f>HYPERLINK("http://www.twitter.com/NathanBLawrence/status/995002032116326400", "995002032116326400")</f>
        <v/>
      </c>
      <c r="B1126" s="2" t="n">
        <v>43231.75399305556</v>
      </c>
      <c r="C1126" t="n">
        <v>4</v>
      </c>
      <c r="D1126" t="n">
        <v>3</v>
      </c>
      <c r="E1126" t="s">
        <v>1137</v>
      </c>
      <c r="F1126" t="s"/>
      <c r="G1126" t="s"/>
      <c r="H1126" t="s"/>
      <c r="I1126" t="s"/>
      <c r="J1126" t="n">
        <v>0.6249</v>
      </c>
      <c r="K1126" t="n">
        <v>0</v>
      </c>
      <c r="L1126" t="n">
        <v>0.718</v>
      </c>
      <c r="M1126" t="n">
        <v>0.282</v>
      </c>
    </row>
    <row r="1127" spans="1:13">
      <c r="A1127" s="1">
        <f>HYPERLINK("http://www.twitter.com/NathanBLawrence/status/995001834405167104", "995001834405167104")</f>
        <v/>
      </c>
      <c r="B1127" s="2" t="n">
        <v>43231.75344907407</v>
      </c>
      <c r="C1127" t="n">
        <v>6</v>
      </c>
      <c r="D1127" t="n">
        <v>3</v>
      </c>
      <c r="E1127" t="s">
        <v>1138</v>
      </c>
      <c r="F1127" t="s"/>
      <c r="G1127" t="s"/>
      <c r="H1127" t="s"/>
      <c r="I1127" t="s"/>
      <c r="J1127" t="n">
        <v>-0.9565</v>
      </c>
      <c r="K1127" t="n">
        <v>0.363</v>
      </c>
      <c r="L1127" t="n">
        <v>0.637</v>
      </c>
      <c r="M1127" t="n">
        <v>0</v>
      </c>
    </row>
    <row r="1128" spans="1:13">
      <c r="A1128" s="1">
        <f>HYPERLINK("http://www.twitter.com/NathanBLawrence/status/995001527658995713", "995001527658995713")</f>
        <v/>
      </c>
      <c r="B1128" s="2" t="n">
        <v>43231.75260416666</v>
      </c>
      <c r="C1128" t="n">
        <v>25</v>
      </c>
      <c r="D1128" t="n">
        <v>14</v>
      </c>
      <c r="E1128" t="s">
        <v>1139</v>
      </c>
      <c r="F1128" t="s"/>
      <c r="G1128" t="s"/>
      <c r="H1128" t="s"/>
      <c r="I1128" t="s"/>
      <c r="J1128" t="n">
        <v>0</v>
      </c>
      <c r="K1128" t="n">
        <v>0.056</v>
      </c>
      <c r="L1128" t="n">
        <v>0.888</v>
      </c>
      <c r="M1128" t="n">
        <v>0.056</v>
      </c>
    </row>
    <row r="1129" spans="1:13">
      <c r="A1129" s="1">
        <f>HYPERLINK("http://www.twitter.com/NathanBLawrence/status/995001070140051456", "995001070140051456")</f>
        <v/>
      </c>
      <c r="B1129" s="2" t="n">
        <v>43231.75134259259</v>
      </c>
      <c r="C1129" t="n">
        <v>17</v>
      </c>
      <c r="D1129" t="n">
        <v>8</v>
      </c>
      <c r="E1129" t="s">
        <v>1140</v>
      </c>
      <c r="F1129" t="s"/>
      <c r="G1129" t="s"/>
      <c r="H1129" t="s"/>
      <c r="I1129" t="s"/>
      <c r="J1129" t="n">
        <v>-0.1548</v>
      </c>
      <c r="K1129" t="n">
        <v>0.115</v>
      </c>
      <c r="L1129" t="n">
        <v>0.782</v>
      </c>
      <c r="M1129" t="n">
        <v>0.104</v>
      </c>
    </row>
    <row r="1130" spans="1:13">
      <c r="A1130" s="1">
        <f>HYPERLINK("http://www.twitter.com/NathanBLawrence/status/995000453417988096", "995000453417988096")</f>
        <v/>
      </c>
      <c r="B1130" s="2" t="n">
        <v>43231.74962962963</v>
      </c>
      <c r="C1130" t="n">
        <v>2</v>
      </c>
      <c r="D1130" t="n">
        <v>1</v>
      </c>
      <c r="E1130" t="s">
        <v>1141</v>
      </c>
      <c r="F1130" t="s"/>
      <c r="G1130" t="s"/>
      <c r="H1130" t="s"/>
      <c r="I1130" t="s"/>
      <c r="J1130" t="n">
        <v>-0.25</v>
      </c>
      <c r="K1130" t="n">
        <v>0.133</v>
      </c>
      <c r="L1130" t="n">
        <v>0.867</v>
      </c>
      <c r="M1130" t="n">
        <v>0</v>
      </c>
    </row>
    <row r="1131" spans="1:13">
      <c r="A1131" s="1">
        <f>HYPERLINK("http://www.twitter.com/NathanBLawrence/status/995000297574486017", "995000297574486017")</f>
        <v/>
      </c>
      <c r="B1131" s="2" t="n">
        <v>43231.74920138889</v>
      </c>
      <c r="C1131" t="n">
        <v>3</v>
      </c>
      <c r="D1131" t="n">
        <v>2</v>
      </c>
      <c r="E1131" t="s">
        <v>1142</v>
      </c>
      <c r="F1131" t="s"/>
      <c r="G1131" t="s"/>
      <c r="H1131" t="s"/>
      <c r="I1131" t="s"/>
      <c r="J1131" t="n">
        <v>0</v>
      </c>
      <c r="K1131" t="n">
        <v>0</v>
      </c>
      <c r="L1131" t="n">
        <v>1</v>
      </c>
      <c r="M1131" t="n">
        <v>0</v>
      </c>
    </row>
    <row r="1132" spans="1:13">
      <c r="A1132" s="1">
        <f>HYPERLINK("http://www.twitter.com/NathanBLawrence/status/995000066040414208", "995000066040414208")</f>
        <v/>
      </c>
      <c r="B1132" s="2" t="n">
        <v>43231.74856481481</v>
      </c>
      <c r="C1132" t="n">
        <v>7</v>
      </c>
      <c r="D1132" t="n">
        <v>5</v>
      </c>
      <c r="E1132" t="s">
        <v>1143</v>
      </c>
      <c r="F1132" t="s"/>
      <c r="G1132" t="s"/>
      <c r="H1132" t="s"/>
      <c r="I1132" t="s"/>
      <c r="J1132" t="n">
        <v>0.0516</v>
      </c>
      <c r="K1132" t="n">
        <v>0.102</v>
      </c>
      <c r="L1132" t="n">
        <v>0.787</v>
      </c>
      <c r="M1132" t="n">
        <v>0.111</v>
      </c>
    </row>
    <row r="1133" spans="1:13">
      <c r="A1133" s="1">
        <f>HYPERLINK("http://www.twitter.com/NathanBLawrence/status/994999980254363648", "994999980254363648")</f>
        <v/>
      </c>
      <c r="B1133" s="2" t="n">
        <v>43231.74833333334</v>
      </c>
      <c r="C1133" t="n">
        <v>0</v>
      </c>
      <c r="D1133" t="n">
        <v>620</v>
      </c>
      <c r="E1133" t="s">
        <v>1144</v>
      </c>
      <c r="F1133">
        <f>HYPERLINK("http://pbs.twimg.com/media/DctIH9TU0AAL86N.jpg", "http://pbs.twimg.com/media/DctIH9TU0AAL86N.jpg")</f>
        <v/>
      </c>
      <c r="G1133" t="s"/>
      <c r="H1133" t="s"/>
      <c r="I1133" t="s"/>
      <c r="J1133" t="n">
        <v>0</v>
      </c>
      <c r="K1133" t="n">
        <v>0</v>
      </c>
      <c r="L1133" t="n">
        <v>1</v>
      </c>
      <c r="M1133" t="n">
        <v>0</v>
      </c>
    </row>
    <row r="1134" spans="1:13">
      <c r="A1134" s="1">
        <f>HYPERLINK("http://www.twitter.com/NathanBLawrence/status/994999879985344513", "994999879985344513")</f>
        <v/>
      </c>
      <c r="B1134" s="2" t="n">
        <v>43231.74805555555</v>
      </c>
      <c r="C1134" t="n">
        <v>1</v>
      </c>
      <c r="D1134" t="n">
        <v>0</v>
      </c>
      <c r="E1134" t="s">
        <v>1145</v>
      </c>
      <c r="F1134" t="s"/>
      <c r="G1134" t="s"/>
      <c r="H1134" t="s"/>
      <c r="I1134" t="s"/>
      <c r="J1134" t="n">
        <v>0.0772</v>
      </c>
      <c r="K1134" t="n">
        <v>0.13</v>
      </c>
      <c r="L1134" t="n">
        <v>0.725</v>
      </c>
      <c r="M1134" t="n">
        <v>0.145</v>
      </c>
    </row>
    <row r="1135" spans="1:13">
      <c r="A1135" s="1">
        <f>HYPERLINK("http://www.twitter.com/NathanBLawrence/status/994999788255920128", "994999788255920128")</f>
        <v/>
      </c>
      <c r="B1135" s="2" t="n">
        <v>43231.74780092593</v>
      </c>
      <c r="C1135" t="n">
        <v>3</v>
      </c>
      <c r="D1135" t="n">
        <v>0</v>
      </c>
      <c r="E1135" t="s">
        <v>1146</v>
      </c>
      <c r="F1135" t="s"/>
      <c r="G1135" t="s"/>
      <c r="H1135" t="s"/>
      <c r="I1135" t="s"/>
      <c r="J1135" t="n">
        <v>-0.6514</v>
      </c>
      <c r="K1135" t="n">
        <v>0.182</v>
      </c>
      <c r="L1135" t="n">
        <v>0.8179999999999999</v>
      </c>
      <c r="M1135" t="n">
        <v>0</v>
      </c>
    </row>
    <row r="1136" spans="1:13">
      <c r="A1136" s="1">
        <f>HYPERLINK("http://www.twitter.com/NathanBLawrence/status/994999448546656256", "994999448546656256")</f>
        <v/>
      </c>
      <c r="B1136" s="2" t="n">
        <v>43231.74686342593</v>
      </c>
      <c r="C1136" t="n">
        <v>2</v>
      </c>
      <c r="D1136" t="n">
        <v>0</v>
      </c>
      <c r="E1136" t="s">
        <v>1147</v>
      </c>
      <c r="F1136" t="s"/>
      <c r="G1136" t="s"/>
      <c r="H1136" t="s"/>
      <c r="I1136" t="s"/>
      <c r="J1136" t="n">
        <v>0.5707</v>
      </c>
      <c r="K1136" t="n">
        <v>0.094</v>
      </c>
      <c r="L1136" t="n">
        <v>0.663</v>
      </c>
      <c r="M1136" t="n">
        <v>0.243</v>
      </c>
    </row>
    <row r="1137" spans="1:13">
      <c r="A1137" s="1">
        <f>HYPERLINK("http://www.twitter.com/NathanBLawrence/status/994985041854787584", "994985041854787584")</f>
        <v/>
      </c>
      <c r="B1137" s="2" t="n">
        <v>43231.70710648148</v>
      </c>
      <c r="C1137" t="n">
        <v>3</v>
      </c>
      <c r="D1137" t="n">
        <v>1</v>
      </c>
      <c r="E1137" t="s">
        <v>1148</v>
      </c>
      <c r="F1137" t="s"/>
      <c r="G1137" t="s"/>
      <c r="H1137" t="s"/>
      <c r="I1137" t="s"/>
      <c r="J1137" t="n">
        <v>0.5574</v>
      </c>
      <c r="K1137" t="n">
        <v>0</v>
      </c>
      <c r="L1137" t="n">
        <v>0.783</v>
      </c>
      <c r="M1137" t="n">
        <v>0.217</v>
      </c>
    </row>
    <row r="1138" spans="1:13">
      <c r="A1138" s="1">
        <f>HYPERLINK("http://www.twitter.com/NathanBLawrence/status/994984758156320768", "994984758156320768")</f>
        <v/>
      </c>
      <c r="B1138" s="2" t="n">
        <v>43231.70631944444</v>
      </c>
      <c r="C1138" t="n">
        <v>6</v>
      </c>
      <c r="D1138" t="n">
        <v>4</v>
      </c>
      <c r="E1138" t="s">
        <v>1149</v>
      </c>
      <c r="F1138" t="s"/>
      <c r="G1138" t="s"/>
      <c r="H1138" t="s"/>
      <c r="I1138" t="s"/>
      <c r="J1138" t="n">
        <v>0</v>
      </c>
      <c r="K1138" t="n">
        <v>0</v>
      </c>
      <c r="L1138" t="n">
        <v>1</v>
      </c>
      <c r="M1138" t="n">
        <v>0</v>
      </c>
    </row>
    <row r="1139" spans="1:13">
      <c r="A1139" s="1">
        <f>HYPERLINK("http://www.twitter.com/NathanBLawrence/status/994984539251359744", "994984539251359744")</f>
        <v/>
      </c>
      <c r="B1139" s="2" t="n">
        <v>43231.70571759259</v>
      </c>
      <c r="C1139" t="n">
        <v>0</v>
      </c>
      <c r="D1139" t="n">
        <v>2180</v>
      </c>
      <c r="E1139" t="s">
        <v>1150</v>
      </c>
      <c r="F1139" t="s"/>
      <c r="G1139" t="s"/>
      <c r="H1139" t="s"/>
      <c r="I1139" t="s"/>
      <c r="J1139" t="n">
        <v>0.6486</v>
      </c>
      <c r="K1139" t="n">
        <v>0</v>
      </c>
      <c r="L1139" t="n">
        <v>0.762</v>
      </c>
      <c r="M1139" t="n">
        <v>0.238</v>
      </c>
    </row>
    <row r="1140" spans="1:13">
      <c r="A1140" s="1">
        <f>HYPERLINK("http://www.twitter.com/NathanBLawrence/status/994984444040691712", "994984444040691712")</f>
        <v/>
      </c>
      <c r="B1140" s="2" t="n">
        <v>43231.70546296296</v>
      </c>
      <c r="C1140" t="n">
        <v>0</v>
      </c>
      <c r="D1140" t="n">
        <v>906</v>
      </c>
      <c r="E1140" t="s">
        <v>1151</v>
      </c>
      <c r="F1140">
        <f>HYPERLINK("http://pbs.twimg.com/media/Dc7eyKiVQAAQGPw.jpg", "http://pbs.twimg.com/media/Dc7eyKiVQAAQGPw.jpg")</f>
        <v/>
      </c>
      <c r="G1140" t="s"/>
      <c r="H1140" t="s"/>
      <c r="I1140" t="s"/>
      <c r="J1140" t="n">
        <v>-0.3612</v>
      </c>
      <c r="K1140" t="n">
        <v>0.128</v>
      </c>
      <c r="L1140" t="n">
        <v>0.872</v>
      </c>
      <c r="M1140" t="n">
        <v>0</v>
      </c>
    </row>
    <row r="1141" spans="1:13">
      <c r="A1141" s="1">
        <f>HYPERLINK("http://www.twitter.com/NathanBLawrence/status/994984312586960896", "994984312586960896")</f>
        <v/>
      </c>
      <c r="B1141" s="2" t="n">
        <v>43231.70509259259</v>
      </c>
      <c r="C1141" t="n">
        <v>0</v>
      </c>
      <c r="D1141" t="n">
        <v>78</v>
      </c>
      <c r="E1141" t="s">
        <v>1152</v>
      </c>
      <c r="F1141" t="s"/>
      <c r="G1141" t="s"/>
      <c r="H1141" t="s"/>
      <c r="I1141" t="s"/>
      <c r="J1141" t="n">
        <v>0.5461</v>
      </c>
      <c r="K1141" t="n">
        <v>0</v>
      </c>
      <c r="L1141" t="n">
        <v>0.799</v>
      </c>
      <c r="M1141" t="n">
        <v>0.201</v>
      </c>
    </row>
    <row r="1142" spans="1:13">
      <c r="A1142" s="1">
        <f>HYPERLINK("http://www.twitter.com/NathanBLawrence/status/994984157871685632", "994984157871685632")</f>
        <v/>
      </c>
      <c r="B1142" s="2" t="n">
        <v>43231.70466435186</v>
      </c>
      <c r="C1142" t="n">
        <v>0</v>
      </c>
      <c r="D1142" t="n">
        <v>3687</v>
      </c>
      <c r="E1142" t="s">
        <v>1153</v>
      </c>
      <c r="F1142" t="s"/>
      <c r="G1142" t="s"/>
      <c r="H1142" t="s"/>
      <c r="I1142" t="s"/>
      <c r="J1142" t="n">
        <v>-0.3612</v>
      </c>
      <c r="K1142" t="n">
        <v>0.172</v>
      </c>
      <c r="L1142" t="n">
        <v>0.828</v>
      </c>
      <c r="M1142" t="n">
        <v>0</v>
      </c>
    </row>
    <row r="1143" spans="1:13">
      <c r="A1143" s="1">
        <f>HYPERLINK("http://www.twitter.com/NathanBLawrence/status/994984046512955392", "994984046512955392")</f>
        <v/>
      </c>
      <c r="B1143" s="2" t="n">
        <v>43231.70436342592</v>
      </c>
      <c r="C1143" t="n">
        <v>0</v>
      </c>
      <c r="D1143" t="n">
        <v>2484</v>
      </c>
      <c r="E1143" t="s">
        <v>1154</v>
      </c>
      <c r="F1143" t="s"/>
      <c r="G1143" t="s"/>
      <c r="H1143" t="s"/>
      <c r="I1143" t="s"/>
      <c r="J1143" t="n">
        <v>0.5266999999999999</v>
      </c>
      <c r="K1143" t="n">
        <v>0</v>
      </c>
      <c r="L1143" t="n">
        <v>0.848</v>
      </c>
      <c r="M1143" t="n">
        <v>0.152</v>
      </c>
    </row>
    <row r="1144" spans="1:13">
      <c r="A1144" s="1">
        <f>HYPERLINK("http://www.twitter.com/NathanBLawrence/status/994983999100473344", "994983999100473344")</f>
        <v/>
      </c>
      <c r="B1144" s="2" t="n">
        <v>43231.70422453704</v>
      </c>
      <c r="C1144" t="n">
        <v>10</v>
      </c>
      <c r="D1144" t="n">
        <v>12</v>
      </c>
      <c r="E1144" t="s">
        <v>1155</v>
      </c>
      <c r="F1144" t="s"/>
      <c r="G1144" t="s"/>
      <c r="H1144" t="s"/>
      <c r="I1144" t="s"/>
      <c r="J1144" t="n">
        <v>-0.7562</v>
      </c>
      <c r="K1144" t="n">
        <v>0.146</v>
      </c>
      <c r="L1144" t="n">
        <v>0.854</v>
      </c>
      <c r="M1144" t="n">
        <v>0</v>
      </c>
    </row>
    <row r="1145" spans="1:13">
      <c r="A1145" s="1">
        <f>HYPERLINK("http://www.twitter.com/NathanBLawrence/status/994983533167886338", "994983533167886338")</f>
        <v/>
      </c>
      <c r="B1145" s="2" t="n">
        <v>43231.70293981482</v>
      </c>
      <c r="C1145" t="n">
        <v>1</v>
      </c>
      <c r="D1145" t="n">
        <v>0</v>
      </c>
      <c r="E1145" t="s">
        <v>1156</v>
      </c>
      <c r="F1145" t="s"/>
      <c r="G1145" t="s"/>
      <c r="H1145" t="s"/>
      <c r="I1145" t="s"/>
      <c r="J1145" t="n">
        <v>-0.4019</v>
      </c>
      <c r="K1145" t="n">
        <v>0.213</v>
      </c>
      <c r="L1145" t="n">
        <v>0.787</v>
      </c>
      <c r="M1145" t="n">
        <v>0</v>
      </c>
    </row>
    <row r="1146" spans="1:13">
      <c r="A1146" s="1">
        <f>HYPERLINK("http://www.twitter.com/NathanBLawrence/status/994982428455223298", "994982428455223298")</f>
        <v/>
      </c>
      <c r="B1146" s="2" t="n">
        <v>43231.69989583334</v>
      </c>
      <c r="C1146" t="n">
        <v>0</v>
      </c>
      <c r="D1146" t="n">
        <v>1</v>
      </c>
      <c r="E1146" t="s">
        <v>1157</v>
      </c>
      <c r="F1146" t="s"/>
      <c r="G1146" t="s"/>
      <c r="H1146" t="s"/>
      <c r="I1146" t="s"/>
      <c r="J1146" t="n">
        <v>0</v>
      </c>
      <c r="K1146" t="n">
        <v>0</v>
      </c>
      <c r="L1146" t="n">
        <v>1</v>
      </c>
      <c r="M1146" t="n">
        <v>0</v>
      </c>
    </row>
    <row r="1147" spans="1:13">
      <c r="A1147" s="1">
        <f>HYPERLINK("http://www.twitter.com/NathanBLawrence/status/994982346305687552", "994982346305687552")</f>
        <v/>
      </c>
      <c r="B1147" s="2" t="n">
        <v>43231.69966435185</v>
      </c>
      <c r="C1147" t="n">
        <v>0</v>
      </c>
      <c r="D1147" t="n">
        <v>17</v>
      </c>
      <c r="E1147" t="s">
        <v>1158</v>
      </c>
      <c r="F1147" t="s"/>
      <c r="G1147" t="s"/>
      <c r="H1147" t="s"/>
      <c r="I1147" t="s"/>
      <c r="J1147" t="n">
        <v>0.0951</v>
      </c>
      <c r="K1147" t="n">
        <v>0.095</v>
      </c>
      <c r="L1147" t="n">
        <v>0.795</v>
      </c>
      <c r="M1147" t="n">
        <v>0.11</v>
      </c>
    </row>
    <row r="1148" spans="1:13">
      <c r="A1148" s="1">
        <f>HYPERLINK("http://www.twitter.com/NathanBLawrence/status/994982091178688512", "994982091178688512")</f>
        <v/>
      </c>
      <c r="B1148" s="2" t="n">
        <v>43231.6989699074</v>
      </c>
      <c r="C1148" t="n">
        <v>0</v>
      </c>
      <c r="D1148" t="n">
        <v>34</v>
      </c>
      <c r="E1148" t="s">
        <v>1159</v>
      </c>
      <c r="F1148" t="s"/>
      <c r="G1148" t="s"/>
      <c r="H1148" t="s"/>
      <c r="I1148" t="s"/>
      <c r="J1148" t="n">
        <v>-0.4404</v>
      </c>
      <c r="K1148" t="n">
        <v>0.195</v>
      </c>
      <c r="L1148" t="n">
        <v>0.805</v>
      </c>
      <c r="M1148" t="n">
        <v>0</v>
      </c>
    </row>
    <row r="1149" spans="1:13">
      <c r="A1149" s="1">
        <f>HYPERLINK("http://www.twitter.com/NathanBLawrence/status/994982048740790272", "994982048740790272")</f>
        <v/>
      </c>
      <c r="B1149" s="2" t="n">
        <v>43231.6988425926</v>
      </c>
      <c r="C1149" t="n">
        <v>0</v>
      </c>
      <c r="D1149" t="n">
        <v>29</v>
      </c>
      <c r="E1149" t="s">
        <v>1160</v>
      </c>
      <c r="F1149" t="s"/>
      <c r="G1149" t="s"/>
      <c r="H1149" t="s"/>
      <c r="I1149" t="s"/>
      <c r="J1149" t="n">
        <v>0</v>
      </c>
      <c r="K1149" t="n">
        <v>0</v>
      </c>
      <c r="L1149" t="n">
        <v>1</v>
      </c>
      <c r="M1149" t="n">
        <v>0</v>
      </c>
    </row>
    <row r="1150" spans="1:13">
      <c r="A1150" s="1">
        <f>HYPERLINK("http://www.twitter.com/NathanBLawrence/status/994981957975998464", "994981957975998464")</f>
        <v/>
      </c>
      <c r="B1150" s="2" t="n">
        <v>43231.69859953703</v>
      </c>
      <c r="C1150" t="n">
        <v>0</v>
      </c>
      <c r="D1150" t="n">
        <v>36</v>
      </c>
      <c r="E1150" t="s">
        <v>1161</v>
      </c>
      <c r="F1150" t="s"/>
      <c r="G1150" t="s"/>
      <c r="H1150" t="s"/>
      <c r="I1150" t="s"/>
      <c r="J1150" t="n">
        <v>0.3818</v>
      </c>
      <c r="K1150" t="n">
        <v>0</v>
      </c>
      <c r="L1150" t="n">
        <v>0.894</v>
      </c>
      <c r="M1150" t="n">
        <v>0.106</v>
      </c>
    </row>
    <row r="1151" spans="1:13">
      <c r="A1151" s="1">
        <f>HYPERLINK("http://www.twitter.com/NathanBLawrence/status/994981563480686593", "994981563480686593")</f>
        <v/>
      </c>
      <c r="B1151" s="2" t="n">
        <v>43231.69751157407</v>
      </c>
      <c r="C1151" t="n">
        <v>1</v>
      </c>
      <c r="D1151" t="n">
        <v>1</v>
      </c>
      <c r="E1151" t="s">
        <v>1162</v>
      </c>
      <c r="F1151" t="s"/>
      <c r="G1151" t="s"/>
      <c r="H1151" t="s"/>
      <c r="I1151" t="s"/>
      <c r="J1151" t="n">
        <v>-0.7579</v>
      </c>
      <c r="K1151" t="n">
        <v>0.247</v>
      </c>
      <c r="L1151" t="n">
        <v>0.6850000000000001</v>
      </c>
      <c r="M1151" t="n">
        <v>0.068</v>
      </c>
    </row>
    <row r="1152" spans="1:13">
      <c r="A1152" s="1">
        <f>HYPERLINK("http://www.twitter.com/NathanBLawrence/status/994981199457075200", "994981199457075200")</f>
        <v/>
      </c>
      <c r="B1152" s="2" t="n">
        <v>43231.69650462963</v>
      </c>
      <c r="C1152" t="n">
        <v>0</v>
      </c>
      <c r="D1152" t="n">
        <v>837</v>
      </c>
      <c r="E1152" t="s">
        <v>1163</v>
      </c>
      <c r="F1152">
        <f>HYPERLINK("http://pbs.twimg.com/media/Dc4f6QzV0AAmfVa.jpg", "http://pbs.twimg.com/media/Dc4f6QzV0AAmfVa.jpg")</f>
        <v/>
      </c>
      <c r="G1152" t="s"/>
      <c r="H1152" t="s"/>
      <c r="I1152" t="s"/>
      <c r="J1152" t="n">
        <v>0.7342</v>
      </c>
      <c r="K1152" t="n">
        <v>0</v>
      </c>
      <c r="L1152" t="n">
        <v>0.715</v>
      </c>
      <c r="M1152" t="n">
        <v>0.285</v>
      </c>
    </row>
    <row r="1153" spans="1:13">
      <c r="A1153" s="1">
        <f>HYPERLINK("http://www.twitter.com/NathanBLawrence/status/994979006784069633", "994979006784069633")</f>
        <v/>
      </c>
      <c r="B1153" s="2" t="n">
        <v>43231.69045138889</v>
      </c>
      <c r="C1153" t="n">
        <v>40</v>
      </c>
      <c r="D1153" t="n">
        <v>25</v>
      </c>
      <c r="E1153" t="s">
        <v>1164</v>
      </c>
      <c r="F1153" t="s"/>
      <c r="G1153" t="s"/>
      <c r="H1153" t="s"/>
      <c r="I1153" t="s"/>
      <c r="J1153" t="n">
        <v>-0.5313</v>
      </c>
      <c r="K1153" t="n">
        <v>0.137</v>
      </c>
      <c r="L1153" t="n">
        <v>0.863</v>
      </c>
      <c r="M1153" t="n">
        <v>0</v>
      </c>
    </row>
    <row r="1154" spans="1:13">
      <c r="A1154" s="1">
        <f>HYPERLINK("http://www.twitter.com/NathanBLawrence/status/994978690252472326", "994978690252472326")</f>
        <v/>
      </c>
      <c r="B1154" s="2" t="n">
        <v>43231.68958333333</v>
      </c>
      <c r="C1154" t="n">
        <v>0</v>
      </c>
      <c r="D1154" t="n">
        <v>2667</v>
      </c>
      <c r="E1154" t="s">
        <v>1165</v>
      </c>
      <c r="F1154">
        <f>HYPERLINK("http://pbs.twimg.com/media/Dc6XsZ0X0AAZXwt.jpg", "http://pbs.twimg.com/media/Dc6XsZ0X0AAZXwt.jpg")</f>
        <v/>
      </c>
      <c r="G1154" t="s"/>
      <c r="H1154" t="s"/>
      <c r="I1154" t="s"/>
      <c r="J1154" t="n">
        <v>0</v>
      </c>
      <c r="K1154" t="n">
        <v>0</v>
      </c>
      <c r="L1154" t="n">
        <v>1</v>
      </c>
      <c r="M1154" t="n">
        <v>0</v>
      </c>
    </row>
    <row r="1155" spans="1:13">
      <c r="A1155" s="1">
        <f>HYPERLINK("http://www.twitter.com/NathanBLawrence/status/994978569188134912", "994978569188134912")</f>
        <v/>
      </c>
      <c r="B1155" s="2" t="n">
        <v>43231.68924768519</v>
      </c>
      <c r="C1155" t="n">
        <v>0</v>
      </c>
      <c r="D1155" t="n">
        <v>1639</v>
      </c>
      <c r="E1155" t="s">
        <v>1166</v>
      </c>
      <c r="F1155" t="s"/>
      <c r="G1155" t="s"/>
      <c r="H1155" t="s"/>
      <c r="I1155" t="s"/>
      <c r="J1155" t="n">
        <v>0.5319</v>
      </c>
      <c r="K1155" t="n">
        <v>0</v>
      </c>
      <c r="L1155" t="n">
        <v>0.826</v>
      </c>
      <c r="M1155" t="n">
        <v>0.174</v>
      </c>
    </row>
    <row r="1156" spans="1:13">
      <c r="A1156" s="1">
        <f>HYPERLINK("http://www.twitter.com/NathanBLawrence/status/994794570151092224", "994794570151092224")</f>
        <v/>
      </c>
      <c r="B1156" s="2" t="n">
        <v>43231.18150462963</v>
      </c>
      <c r="C1156" t="n">
        <v>11</v>
      </c>
      <c r="D1156" t="n">
        <v>14</v>
      </c>
      <c r="E1156" t="s">
        <v>1167</v>
      </c>
      <c r="F1156">
        <f>HYPERLINK("http://pbs.twimg.com/media/Db4hr8IVQAAV7YA.jpg", "http://pbs.twimg.com/media/Db4hr8IVQAAV7YA.jpg")</f>
        <v/>
      </c>
      <c r="G1156" t="s"/>
      <c r="H1156" t="s"/>
      <c r="I1156" t="s"/>
      <c r="J1156" t="n">
        <v>-0.5859</v>
      </c>
      <c r="K1156" t="n">
        <v>0.226</v>
      </c>
      <c r="L1156" t="n">
        <v>0.774</v>
      </c>
      <c r="M1156" t="n">
        <v>0</v>
      </c>
    </row>
    <row r="1157" spans="1:13">
      <c r="A1157" s="1">
        <f>HYPERLINK("http://www.twitter.com/NathanBLawrence/status/994793819110629376", "994793819110629376")</f>
        <v/>
      </c>
      <c r="B1157" s="2" t="n">
        <v>43231.17943287037</v>
      </c>
      <c r="C1157" t="n">
        <v>0</v>
      </c>
      <c r="D1157" t="n">
        <v>6</v>
      </c>
      <c r="E1157" t="s">
        <v>1168</v>
      </c>
      <c r="F1157" t="s"/>
      <c r="G1157" t="s"/>
      <c r="H1157" t="s"/>
      <c r="I1157" t="s"/>
      <c r="J1157" t="n">
        <v>-0.25</v>
      </c>
      <c r="K1157" t="n">
        <v>0.149</v>
      </c>
      <c r="L1157" t="n">
        <v>0.746</v>
      </c>
      <c r="M1157" t="n">
        <v>0.105</v>
      </c>
    </row>
    <row r="1158" spans="1:13">
      <c r="A1158" s="1">
        <f>HYPERLINK("http://www.twitter.com/NathanBLawrence/status/994793736625446912", "994793736625446912")</f>
        <v/>
      </c>
      <c r="B1158" s="2" t="n">
        <v>43231.17920138889</v>
      </c>
      <c r="C1158" t="n">
        <v>0</v>
      </c>
      <c r="D1158" t="n">
        <v>197</v>
      </c>
      <c r="E1158" t="s">
        <v>1169</v>
      </c>
      <c r="F1158" t="s"/>
      <c r="G1158" t="s"/>
      <c r="H1158" t="s"/>
      <c r="I1158" t="s"/>
      <c r="J1158" t="n">
        <v>-0.128</v>
      </c>
      <c r="K1158" t="n">
        <v>0.076</v>
      </c>
      <c r="L1158" t="n">
        <v>0.866</v>
      </c>
      <c r="M1158" t="n">
        <v>0.058</v>
      </c>
    </row>
    <row r="1159" spans="1:13">
      <c r="A1159" s="1">
        <f>HYPERLINK("http://www.twitter.com/NathanBLawrence/status/994793524884398081", "994793524884398081")</f>
        <v/>
      </c>
      <c r="B1159" s="2" t="n">
        <v>43231.17862268518</v>
      </c>
      <c r="C1159" t="n">
        <v>6</v>
      </c>
      <c r="D1159" t="n">
        <v>5</v>
      </c>
      <c r="E1159" t="s">
        <v>1170</v>
      </c>
      <c r="F1159" t="s"/>
      <c r="G1159" t="s"/>
      <c r="H1159" t="s"/>
      <c r="I1159" t="s"/>
      <c r="J1159" t="n">
        <v>-0.9104</v>
      </c>
      <c r="K1159" t="n">
        <v>0.424</v>
      </c>
      <c r="L1159" t="n">
        <v>0.576</v>
      </c>
      <c r="M1159" t="n">
        <v>0</v>
      </c>
    </row>
    <row r="1160" spans="1:13">
      <c r="A1160" s="1">
        <f>HYPERLINK("http://www.twitter.com/NathanBLawrence/status/994792771562164224", "994792771562164224")</f>
        <v/>
      </c>
      <c r="B1160" s="2" t="n">
        <v>43231.17653935185</v>
      </c>
      <c r="C1160" t="n">
        <v>18</v>
      </c>
      <c r="D1160" t="n">
        <v>6</v>
      </c>
      <c r="E1160" t="s">
        <v>1171</v>
      </c>
      <c r="F1160" t="s"/>
      <c r="G1160" t="s"/>
      <c r="H1160" t="s"/>
      <c r="I1160" t="s"/>
      <c r="J1160" t="n">
        <v>0</v>
      </c>
      <c r="K1160" t="n">
        <v>0</v>
      </c>
      <c r="L1160" t="n">
        <v>1</v>
      </c>
      <c r="M1160" t="n">
        <v>0</v>
      </c>
    </row>
    <row r="1161" spans="1:13">
      <c r="A1161" s="1">
        <f>HYPERLINK("http://www.twitter.com/NathanBLawrence/status/994792473439494147", "994792473439494147")</f>
        <v/>
      </c>
      <c r="B1161" s="2" t="n">
        <v>43231.1757175926</v>
      </c>
      <c r="C1161" t="n">
        <v>4</v>
      </c>
      <c r="D1161" t="n">
        <v>0</v>
      </c>
      <c r="E1161" t="s">
        <v>1172</v>
      </c>
      <c r="F1161" t="s"/>
      <c r="G1161" t="s"/>
      <c r="H1161" t="s"/>
      <c r="I1161" t="s"/>
      <c r="J1161" t="n">
        <v>0</v>
      </c>
      <c r="K1161" t="n">
        <v>0</v>
      </c>
      <c r="L1161" t="n">
        <v>1</v>
      </c>
      <c r="M1161" t="n">
        <v>0</v>
      </c>
    </row>
    <row r="1162" spans="1:13">
      <c r="A1162" s="1">
        <f>HYPERLINK("http://www.twitter.com/NathanBLawrence/status/994791579486425089", "994791579486425089")</f>
        <v/>
      </c>
      <c r="B1162" s="2" t="n">
        <v>43231.17325231482</v>
      </c>
      <c r="C1162" t="n">
        <v>0</v>
      </c>
      <c r="D1162" t="n">
        <v>247</v>
      </c>
      <c r="E1162" t="s">
        <v>1173</v>
      </c>
      <c r="F1162" t="s"/>
      <c r="G1162" t="s"/>
      <c r="H1162" t="s"/>
      <c r="I1162" t="s"/>
      <c r="J1162" t="n">
        <v>-0.2263</v>
      </c>
      <c r="K1162" t="n">
        <v>0.08699999999999999</v>
      </c>
      <c r="L1162" t="n">
        <v>0.913</v>
      </c>
      <c r="M1162" t="n">
        <v>0</v>
      </c>
    </row>
    <row r="1163" spans="1:13">
      <c r="A1163" s="1">
        <f>HYPERLINK("http://www.twitter.com/NathanBLawrence/status/994791472657551360", "994791472657551360")</f>
        <v/>
      </c>
      <c r="B1163" s="2" t="n">
        <v>43231.17296296296</v>
      </c>
      <c r="C1163" t="n">
        <v>0</v>
      </c>
      <c r="D1163" t="n">
        <v>108</v>
      </c>
      <c r="E1163" t="s">
        <v>1174</v>
      </c>
      <c r="F1163">
        <f>HYPERLINK("http://pbs.twimg.com/media/DMwbBcxU8AEzYj-.jpg", "http://pbs.twimg.com/media/DMwbBcxU8AEzYj-.jpg")</f>
        <v/>
      </c>
      <c r="G1163" t="s"/>
      <c r="H1163" t="s"/>
      <c r="I1163" t="s"/>
      <c r="J1163" t="n">
        <v>-0.6486</v>
      </c>
      <c r="K1163" t="n">
        <v>0.163</v>
      </c>
      <c r="L1163" t="n">
        <v>0.837</v>
      </c>
      <c r="M1163" t="n">
        <v>0</v>
      </c>
    </row>
    <row r="1164" spans="1:13">
      <c r="A1164" s="1">
        <f>HYPERLINK("http://www.twitter.com/NathanBLawrence/status/994791187797209088", "994791187797209088")</f>
        <v/>
      </c>
      <c r="B1164" s="2" t="n">
        <v>43231.17217592592</v>
      </c>
      <c r="C1164" t="n">
        <v>0</v>
      </c>
      <c r="D1164" t="n">
        <v>787</v>
      </c>
      <c r="E1164" t="s">
        <v>1175</v>
      </c>
      <c r="F1164">
        <f>HYPERLINK("http://pbs.twimg.com/media/Dc1m_84UwAA8jlJ.jpg", "http://pbs.twimg.com/media/Dc1m_84UwAA8jlJ.jpg")</f>
        <v/>
      </c>
      <c r="G1164" t="s"/>
      <c r="H1164" t="s"/>
      <c r="I1164" t="s"/>
      <c r="J1164" t="n">
        <v>0</v>
      </c>
      <c r="K1164" t="n">
        <v>0</v>
      </c>
      <c r="L1164" t="n">
        <v>1</v>
      </c>
      <c r="M1164" t="n">
        <v>0</v>
      </c>
    </row>
    <row r="1165" spans="1:13">
      <c r="A1165" s="1">
        <f>HYPERLINK("http://www.twitter.com/NathanBLawrence/status/994791149520015360", "994791149520015360")</f>
        <v/>
      </c>
      <c r="B1165" s="2" t="n">
        <v>43231.17207175926</v>
      </c>
      <c r="C1165" t="n">
        <v>4</v>
      </c>
      <c r="D1165" t="n">
        <v>1</v>
      </c>
      <c r="E1165" t="s">
        <v>1176</v>
      </c>
      <c r="F1165" t="s"/>
      <c r="G1165" t="s"/>
      <c r="H1165" t="s"/>
      <c r="I1165" t="s"/>
      <c r="J1165" t="n">
        <v>0</v>
      </c>
      <c r="K1165" t="n">
        <v>0</v>
      </c>
      <c r="L1165" t="n">
        <v>1</v>
      </c>
      <c r="M1165" t="n">
        <v>0</v>
      </c>
    </row>
    <row r="1166" spans="1:13">
      <c r="A1166" s="1">
        <f>HYPERLINK("http://www.twitter.com/NathanBLawrence/status/994791076530712577", "994791076530712577")</f>
        <v/>
      </c>
      <c r="B1166" s="2" t="n">
        <v>43231.17186342592</v>
      </c>
      <c r="C1166" t="n">
        <v>0</v>
      </c>
      <c r="D1166" t="n">
        <v>77</v>
      </c>
      <c r="E1166" t="s">
        <v>1177</v>
      </c>
      <c r="F1166" t="s"/>
      <c r="G1166" t="s"/>
      <c r="H1166" t="s"/>
      <c r="I1166" t="s"/>
      <c r="J1166" t="n">
        <v>0.6486</v>
      </c>
      <c r="K1166" t="n">
        <v>0</v>
      </c>
      <c r="L1166" t="n">
        <v>0.725</v>
      </c>
      <c r="M1166" t="n">
        <v>0.275</v>
      </c>
    </row>
    <row r="1167" spans="1:13">
      <c r="A1167" s="1">
        <f>HYPERLINK("http://www.twitter.com/NathanBLawrence/status/994790400278884357", "994790400278884357")</f>
        <v/>
      </c>
      <c r="B1167" s="2" t="n">
        <v>43231.17</v>
      </c>
      <c r="C1167" t="n">
        <v>7</v>
      </c>
      <c r="D1167" t="n">
        <v>2</v>
      </c>
      <c r="E1167" t="s">
        <v>1178</v>
      </c>
      <c r="F1167" t="s"/>
      <c r="G1167" t="s"/>
      <c r="H1167" t="s"/>
      <c r="I1167" t="s"/>
      <c r="J1167" t="n">
        <v>0.7088</v>
      </c>
      <c r="K1167" t="n">
        <v>0.079</v>
      </c>
      <c r="L1167" t="n">
        <v>0.665</v>
      </c>
      <c r="M1167" t="n">
        <v>0.257</v>
      </c>
    </row>
    <row r="1168" spans="1:13">
      <c r="A1168" s="1">
        <f>HYPERLINK("http://www.twitter.com/NathanBLawrence/status/994789538940760064", "994789538940760064")</f>
        <v/>
      </c>
      <c r="B1168" s="2" t="n">
        <v>43231.16762731481</v>
      </c>
      <c r="C1168" t="n">
        <v>10</v>
      </c>
      <c r="D1168" t="n">
        <v>4</v>
      </c>
      <c r="E1168" t="s">
        <v>1179</v>
      </c>
      <c r="F1168" t="s"/>
      <c r="G1168" t="s"/>
      <c r="H1168" t="s"/>
      <c r="I1168" t="s"/>
      <c r="J1168" t="n">
        <v>0.2484</v>
      </c>
      <c r="K1168" t="n">
        <v>0.134</v>
      </c>
      <c r="L1168" t="n">
        <v>0.6899999999999999</v>
      </c>
      <c r="M1168" t="n">
        <v>0.176</v>
      </c>
    </row>
    <row r="1169" spans="1:13">
      <c r="A1169" s="1">
        <f>HYPERLINK("http://www.twitter.com/NathanBLawrence/status/994789171200917505", "994789171200917505")</f>
        <v/>
      </c>
      <c r="B1169" s="2" t="n">
        <v>43231.16660879629</v>
      </c>
      <c r="C1169" t="n">
        <v>8</v>
      </c>
      <c r="D1169" t="n">
        <v>4</v>
      </c>
      <c r="E1169" t="s">
        <v>1180</v>
      </c>
      <c r="F1169" t="s"/>
      <c r="G1169" t="s"/>
      <c r="H1169" t="s"/>
      <c r="I1169" t="s"/>
      <c r="J1169" t="n">
        <v>0</v>
      </c>
      <c r="K1169" t="n">
        <v>0</v>
      </c>
      <c r="L1169" t="n">
        <v>1</v>
      </c>
      <c r="M1169" t="n">
        <v>0</v>
      </c>
    </row>
    <row r="1170" spans="1:13">
      <c r="A1170" s="1">
        <f>HYPERLINK("http://www.twitter.com/NathanBLawrence/status/994788904346836992", "994788904346836992")</f>
        <v/>
      </c>
      <c r="B1170" s="2" t="n">
        <v>43231.16586805556</v>
      </c>
      <c r="C1170" t="n">
        <v>0</v>
      </c>
      <c r="D1170" t="n">
        <v>1438</v>
      </c>
      <c r="E1170" t="s">
        <v>1181</v>
      </c>
      <c r="F1170">
        <f>HYPERLINK("http://pbs.twimg.com/media/Dc1lkptUQAAAKC9.jpg", "http://pbs.twimg.com/media/Dc1lkptUQAAAKC9.jpg")</f>
        <v/>
      </c>
      <c r="G1170" t="s"/>
      <c r="H1170" t="s"/>
      <c r="I1170" t="s"/>
      <c r="J1170" t="n">
        <v>0</v>
      </c>
      <c r="K1170" t="n">
        <v>0</v>
      </c>
      <c r="L1170" t="n">
        <v>1</v>
      </c>
      <c r="M1170" t="n">
        <v>0</v>
      </c>
    </row>
    <row r="1171" spans="1:13">
      <c r="A1171" s="1">
        <f>HYPERLINK("http://www.twitter.com/NathanBLawrence/status/994788736687886336", "994788736687886336")</f>
        <v/>
      </c>
      <c r="B1171" s="2" t="n">
        <v>43231.16540509259</v>
      </c>
      <c r="C1171" t="n">
        <v>25</v>
      </c>
      <c r="D1171" t="n">
        <v>20</v>
      </c>
      <c r="E1171" t="s">
        <v>1182</v>
      </c>
      <c r="F1171" t="s"/>
      <c r="G1171" t="s"/>
      <c r="H1171" t="s"/>
      <c r="I1171" t="s"/>
      <c r="J1171" t="n">
        <v>0</v>
      </c>
      <c r="K1171" t="n">
        <v>0</v>
      </c>
      <c r="L1171" t="n">
        <v>1</v>
      </c>
      <c r="M1171" t="n">
        <v>0</v>
      </c>
    </row>
    <row r="1172" spans="1:13">
      <c r="A1172" s="1">
        <f>HYPERLINK("http://www.twitter.com/NathanBLawrence/status/994788017914236928", "994788017914236928")</f>
        <v/>
      </c>
      <c r="B1172" s="2" t="n">
        <v>43231.16342592592</v>
      </c>
      <c r="C1172" t="n">
        <v>0</v>
      </c>
      <c r="D1172" t="n">
        <v>30</v>
      </c>
      <c r="E1172" t="s">
        <v>1183</v>
      </c>
      <c r="F1172" t="s"/>
      <c r="G1172" t="s"/>
      <c r="H1172" t="s"/>
      <c r="I1172" t="s"/>
      <c r="J1172" t="n">
        <v>0.802</v>
      </c>
      <c r="K1172" t="n">
        <v>0.067</v>
      </c>
      <c r="L1172" t="n">
        <v>0.644</v>
      </c>
      <c r="M1172" t="n">
        <v>0.288</v>
      </c>
    </row>
    <row r="1173" spans="1:13">
      <c r="A1173" s="1">
        <f>HYPERLINK("http://www.twitter.com/NathanBLawrence/status/994787896514301952", "994787896514301952")</f>
        <v/>
      </c>
      <c r="B1173" s="2" t="n">
        <v>43231.16309027778</v>
      </c>
      <c r="C1173" t="n">
        <v>35</v>
      </c>
      <c r="D1173" t="n">
        <v>30</v>
      </c>
      <c r="E1173" t="s">
        <v>1184</v>
      </c>
      <c r="F1173" t="s"/>
      <c r="G1173" t="s"/>
      <c r="H1173" t="s"/>
      <c r="I1173" t="s"/>
      <c r="J1173" t="n">
        <v>0.802</v>
      </c>
      <c r="K1173" t="n">
        <v>0.062</v>
      </c>
      <c r="L1173" t="n">
        <v>0.674</v>
      </c>
      <c r="M1173" t="n">
        <v>0.264</v>
      </c>
    </row>
    <row r="1174" spans="1:13">
      <c r="A1174" s="1">
        <f>HYPERLINK("http://www.twitter.com/NathanBLawrence/status/994786601166352384", "994786601166352384")</f>
        <v/>
      </c>
      <c r="B1174" s="2" t="n">
        <v>43231.15951388889</v>
      </c>
      <c r="C1174" t="n">
        <v>7</v>
      </c>
      <c r="D1174" t="n">
        <v>3</v>
      </c>
      <c r="E1174" t="s">
        <v>1185</v>
      </c>
      <c r="F1174" t="s"/>
      <c r="G1174" t="s"/>
      <c r="H1174" t="s"/>
      <c r="I1174" t="s"/>
      <c r="J1174" t="n">
        <v>-0.5399</v>
      </c>
      <c r="K1174" t="n">
        <v>0.358</v>
      </c>
      <c r="L1174" t="n">
        <v>0.486</v>
      </c>
      <c r="M1174" t="n">
        <v>0.157</v>
      </c>
    </row>
    <row r="1175" spans="1:13">
      <c r="A1175" s="1">
        <f>HYPERLINK("http://www.twitter.com/NathanBLawrence/status/994786113792376834", "994786113792376834")</f>
        <v/>
      </c>
      <c r="B1175" s="2" t="n">
        <v>43231.15817129629</v>
      </c>
      <c r="C1175" t="n">
        <v>12</v>
      </c>
      <c r="D1175" t="n">
        <v>2</v>
      </c>
      <c r="E1175" t="s">
        <v>1186</v>
      </c>
      <c r="F1175" t="s"/>
      <c r="G1175" t="s"/>
      <c r="H1175" t="s"/>
      <c r="I1175" t="s"/>
      <c r="J1175" t="n">
        <v>0</v>
      </c>
      <c r="K1175" t="n">
        <v>0</v>
      </c>
      <c r="L1175" t="n">
        <v>1</v>
      </c>
      <c r="M1175" t="n">
        <v>0</v>
      </c>
    </row>
    <row r="1176" spans="1:13">
      <c r="A1176" s="1">
        <f>HYPERLINK("http://www.twitter.com/NathanBLawrence/status/994784556967440386", "994784556967440386")</f>
        <v/>
      </c>
      <c r="B1176" s="2" t="n">
        <v>43231.15387731481</v>
      </c>
      <c r="C1176" t="n">
        <v>10</v>
      </c>
      <c r="D1176" t="n">
        <v>5</v>
      </c>
      <c r="E1176" t="s">
        <v>1187</v>
      </c>
      <c r="F1176" t="s"/>
      <c r="G1176" t="s"/>
      <c r="H1176" t="s"/>
      <c r="I1176" t="s"/>
      <c r="J1176" t="n">
        <v>-0.944</v>
      </c>
      <c r="K1176" t="n">
        <v>0.388</v>
      </c>
      <c r="L1176" t="n">
        <v>0.612</v>
      </c>
      <c r="M1176" t="n">
        <v>0</v>
      </c>
    </row>
    <row r="1177" spans="1:13">
      <c r="A1177" s="1">
        <f>HYPERLINK("http://www.twitter.com/NathanBLawrence/status/994783918724407302", "994783918724407302")</f>
        <v/>
      </c>
      <c r="B1177" s="2" t="n">
        <v>43231.15211805556</v>
      </c>
      <c r="C1177" t="n">
        <v>12</v>
      </c>
      <c r="D1177" t="n">
        <v>4</v>
      </c>
      <c r="E1177" t="s">
        <v>1188</v>
      </c>
      <c r="F1177" t="s"/>
      <c r="G1177" t="s"/>
      <c r="H1177" t="s"/>
      <c r="I1177" t="s"/>
      <c r="J1177" t="n">
        <v>0</v>
      </c>
      <c r="K1177" t="n">
        <v>0</v>
      </c>
      <c r="L1177" t="n">
        <v>1</v>
      </c>
      <c r="M1177" t="n">
        <v>0</v>
      </c>
    </row>
    <row r="1178" spans="1:13">
      <c r="A1178" s="1">
        <f>HYPERLINK("http://www.twitter.com/NathanBLawrence/status/994782680897261569", "994782680897261569")</f>
        <v/>
      </c>
      <c r="B1178" s="2" t="n">
        <v>43231.14869212963</v>
      </c>
      <c r="C1178" t="n">
        <v>17</v>
      </c>
      <c r="D1178" t="n">
        <v>5</v>
      </c>
      <c r="E1178" t="s">
        <v>1189</v>
      </c>
      <c r="F1178" t="s"/>
      <c r="G1178" t="s"/>
      <c r="H1178" t="s"/>
      <c r="I1178" t="s"/>
      <c r="J1178" t="n">
        <v>0.7665999999999999</v>
      </c>
      <c r="K1178" t="n">
        <v>0.064</v>
      </c>
      <c r="L1178" t="n">
        <v>0.701</v>
      </c>
      <c r="M1178" t="n">
        <v>0.235</v>
      </c>
    </row>
    <row r="1179" spans="1:13">
      <c r="A1179" s="1">
        <f>HYPERLINK("http://www.twitter.com/NathanBLawrence/status/994779996332920832", "994779996332920832")</f>
        <v/>
      </c>
      <c r="B1179" s="2" t="n">
        <v>43231.14128472222</v>
      </c>
      <c r="C1179" t="n">
        <v>13</v>
      </c>
      <c r="D1179" t="n">
        <v>10</v>
      </c>
      <c r="E1179" t="s">
        <v>1190</v>
      </c>
      <c r="F1179" t="s"/>
      <c r="G1179" t="s"/>
      <c r="H1179" t="s"/>
      <c r="I1179" t="s"/>
      <c r="J1179" t="n">
        <v>-0.4912</v>
      </c>
      <c r="K1179" t="n">
        <v>0.129</v>
      </c>
      <c r="L1179" t="n">
        <v>0.788</v>
      </c>
      <c r="M1179" t="n">
        <v>0.083</v>
      </c>
    </row>
    <row r="1180" spans="1:13">
      <c r="A1180" s="1">
        <f>HYPERLINK("http://www.twitter.com/NathanBLawrence/status/994779387726884865", "994779387726884865")</f>
        <v/>
      </c>
      <c r="B1180" s="2" t="n">
        <v>43231.13960648148</v>
      </c>
      <c r="C1180" t="n">
        <v>0</v>
      </c>
      <c r="D1180" t="n">
        <v>16318</v>
      </c>
      <c r="E1180" t="s">
        <v>1191</v>
      </c>
      <c r="F1180" t="s"/>
      <c r="G1180" t="s"/>
      <c r="H1180" t="s"/>
      <c r="I1180" t="s"/>
      <c r="J1180" t="n">
        <v>0</v>
      </c>
      <c r="K1180" t="n">
        <v>0</v>
      </c>
      <c r="L1180" t="n">
        <v>1</v>
      </c>
      <c r="M1180" t="n">
        <v>0</v>
      </c>
    </row>
    <row r="1181" spans="1:13">
      <c r="A1181" s="1">
        <f>HYPERLINK("http://www.twitter.com/NathanBLawrence/status/994779248270376960", "994779248270376960")</f>
        <v/>
      </c>
      <c r="B1181" s="2" t="n">
        <v>43231.13922453704</v>
      </c>
      <c r="C1181" t="n">
        <v>0</v>
      </c>
      <c r="D1181" t="n">
        <v>21</v>
      </c>
      <c r="E1181" t="s">
        <v>1192</v>
      </c>
      <c r="F1181" t="s"/>
      <c r="G1181" t="s"/>
      <c r="H1181" t="s"/>
      <c r="I1181" t="s"/>
      <c r="J1181" t="n">
        <v>-0.8401999999999999</v>
      </c>
      <c r="K1181" t="n">
        <v>0.34</v>
      </c>
      <c r="L1181" t="n">
        <v>0.581</v>
      </c>
      <c r="M1181" t="n">
        <v>0.078</v>
      </c>
    </row>
    <row r="1182" spans="1:13">
      <c r="A1182" s="1">
        <f>HYPERLINK("http://www.twitter.com/NathanBLawrence/status/994778509745717249", "994778509745717249")</f>
        <v/>
      </c>
      <c r="B1182" s="2" t="n">
        <v>43231.1371875</v>
      </c>
      <c r="C1182" t="n">
        <v>0</v>
      </c>
      <c r="D1182" t="n">
        <v>5</v>
      </c>
      <c r="E1182" t="s">
        <v>1193</v>
      </c>
      <c r="F1182" t="s"/>
      <c r="G1182" t="s"/>
      <c r="H1182" t="s"/>
      <c r="I1182" t="s"/>
      <c r="J1182" t="n">
        <v>-0.7597</v>
      </c>
      <c r="K1182" t="n">
        <v>0.246</v>
      </c>
      <c r="L1182" t="n">
        <v>0.754</v>
      </c>
      <c r="M1182" t="n">
        <v>0</v>
      </c>
    </row>
    <row r="1183" spans="1:13">
      <c r="A1183" s="1">
        <f>HYPERLINK("http://www.twitter.com/NathanBLawrence/status/994778204190765067", "994778204190765067")</f>
        <v/>
      </c>
      <c r="B1183" s="2" t="n">
        <v>43231.1363425926</v>
      </c>
      <c r="C1183" t="n">
        <v>14</v>
      </c>
      <c r="D1183" t="n">
        <v>6</v>
      </c>
      <c r="E1183" t="s">
        <v>1194</v>
      </c>
      <c r="F1183" t="s"/>
      <c r="G1183" t="s"/>
      <c r="H1183" t="s"/>
      <c r="I1183" t="s"/>
      <c r="J1183" t="n">
        <v>0.9014</v>
      </c>
      <c r="K1183" t="n">
        <v>0</v>
      </c>
      <c r="L1183" t="n">
        <v>0.6830000000000001</v>
      </c>
      <c r="M1183" t="n">
        <v>0.317</v>
      </c>
    </row>
    <row r="1184" spans="1:13">
      <c r="A1184" s="1">
        <f>HYPERLINK("http://www.twitter.com/NathanBLawrence/status/994777683253977095", "994777683253977095")</f>
        <v/>
      </c>
      <c r="B1184" s="2" t="n">
        <v>43231.13490740741</v>
      </c>
      <c r="C1184" t="n">
        <v>0</v>
      </c>
      <c r="D1184" t="n">
        <v>1938</v>
      </c>
      <c r="E1184" t="s">
        <v>1195</v>
      </c>
      <c r="F1184">
        <f>HYPERLINK("https://video.twimg.com/amplify_video/994164309331730432/vid/1280x720/xO6U7UnHAtf5H72l.mp4?tag=2", "https://video.twimg.com/amplify_video/994164309331730432/vid/1280x720/xO6U7UnHAtf5H72l.mp4?tag=2")</f>
        <v/>
      </c>
      <c r="G1184" t="s"/>
      <c r="H1184" t="s"/>
      <c r="I1184" t="s"/>
      <c r="J1184" t="n">
        <v>-0.3593</v>
      </c>
      <c r="K1184" t="n">
        <v>0.177</v>
      </c>
      <c r="L1184" t="n">
        <v>0.711</v>
      </c>
      <c r="M1184" t="n">
        <v>0.111</v>
      </c>
    </row>
    <row r="1185" spans="1:13">
      <c r="A1185" s="1">
        <f>HYPERLINK("http://www.twitter.com/NathanBLawrence/status/994777337492377606", "994777337492377606")</f>
        <v/>
      </c>
      <c r="B1185" s="2" t="n">
        <v>43231.13394675926</v>
      </c>
      <c r="C1185" t="n">
        <v>0</v>
      </c>
      <c r="D1185" t="n">
        <v>8</v>
      </c>
      <c r="E1185" t="s">
        <v>1196</v>
      </c>
      <c r="F1185" t="s"/>
      <c r="G1185" t="s"/>
      <c r="H1185" t="s"/>
      <c r="I1185" t="s"/>
      <c r="J1185" t="n">
        <v>-0.06759999999999999</v>
      </c>
      <c r="K1185" t="n">
        <v>0.13</v>
      </c>
      <c r="L1185" t="n">
        <v>0.79</v>
      </c>
      <c r="M1185" t="n">
        <v>0.08</v>
      </c>
    </row>
    <row r="1186" spans="1:13">
      <c r="A1186" s="1">
        <f>HYPERLINK("http://www.twitter.com/NathanBLawrence/status/994777210061049856", "994777210061049856")</f>
        <v/>
      </c>
      <c r="B1186" s="2" t="n">
        <v>43231.13359953704</v>
      </c>
      <c r="C1186" t="n">
        <v>0</v>
      </c>
      <c r="D1186" t="n">
        <v>2296</v>
      </c>
      <c r="E1186" t="s">
        <v>1197</v>
      </c>
      <c r="F1186" t="s"/>
      <c r="G1186" t="s"/>
      <c r="H1186" t="s"/>
      <c r="I1186" t="s"/>
      <c r="J1186" t="n">
        <v>-0.9081</v>
      </c>
      <c r="K1186" t="n">
        <v>0.453</v>
      </c>
      <c r="L1186" t="n">
        <v>0.547</v>
      </c>
      <c r="M1186" t="n">
        <v>0</v>
      </c>
    </row>
    <row r="1187" spans="1:13">
      <c r="A1187" s="1">
        <f>HYPERLINK("http://www.twitter.com/NathanBLawrence/status/994777156969533440", "994777156969533440")</f>
        <v/>
      </c>
      <c r="B1187" s="2" t="n">
        <v>43231.13344907408</v>
      </c>
      <c r="C1187" t="n">
        <v>0</v>
      </c>
      <c r="D1187" t="n">
        <v>619</v>
      </c>
      <c r="E1187" t="s">
        <v>1198</v>
      </c>
      <c r="F1187" t="s"/>
      <c r="G1187" t="s"/>
      <c r="H1187" t="s"/>
      <c r="I1187" t="s"/>
      <c r="J1187" t="n">
        <v>0.5319</v>
      </c>
      <c r="K1187" t="n">
        <v>0</v>
      </c>
      <c r="L1187" t="n">
        <v>0.819</v>
      </c>
      <c r="M1187" t="n">
        <v>0.181</v>
      </c>
    </row>
    <row r="1188" spans="1:13">
      <c r="A1188" s="1">
        <f>HYPERLINK("http://www.twitter.com/NathanBLawrence/status/994776084745990144", "994776084745990144")</f>
        <v/>
      </c>
      <c r="B1188" s="2" t="n">
        <v>43231.13049768518</v>
      </c>
      <c r="C1188" t="n">
        <v>0</v>
      </c>
      <c r="D1188" t="n">
        <v>892</v>
      </c>
      <c r="E1188" t="s">
        <v>1199</v>
      </c>
      <c r="F1188" t="s"/>
      <c r="G1188" t="s"/>
      <c r="H1188" t="s"/>
      <c r="I1188" t="s"/>
      <c r="J1188" t="n">
        <v>0.4019</v>
      </c>
      <c r="K1188" t="n">
        <v>0</v>
      </c>
      <c r="L1188" t="n">
        <v>0.863</v>
      </c>
      <c r="M1188" t="n">
        <v>0.137</v>
      </c>
    </row>
    <row r="1189" spans="1:13">
      <c r="A1189" s="1">
        <f>HYPERLINK("http://www.twitter.com/NathanBLawrence/status/994776006941650950", "994776006941650950")</f>
        <v/>
      </c>
      <c r="B1189" s="2" t="n">
        <v>43231.13027777777</v>
      </c>
      <c r="C1189" t="n">
        <v>0</v>
      </c>
      <c r="D1189" t="n">
        <v>2280</v>
      </c>
      <c r="E1189" t="s">
        <v>1200</v>
      </c>
      <c r="F1189">
        <f>HYPERLINK("http://pbs.twimg.com/media/Dc3rAABW4AAMWw1.jpg", "http://pbs.twimg.com/media/Dc3rAABW4AAMWw1.jpg")</f>
        <v/>
      </c>
      <c r="G1189" t="s"/>
      <c r="H1189" t="s"/>
      <c r="I1189" t="s"/>
      <c r="J1189" t="n">
        <v>0.1326</v>
      </c>
      <c r="K1189" t="n">
        <v>0</v>
      </c>
      <c r="L1189" t="n">
        <v>0.929</v>
      </c>
      <c r="M1189" t="n">
        <v>0.07099999999999999</v>
      </c>
    </row>
    <row r="1190" spans="1:13">
      <c r="A1190" s="1">
        <f>HYPERLINK("http://www.twitter.com/NathanBLawrence/status/994775907838713857", "994775907838713857")</f>
        <v/>
      </c>
      <c r="B1190" s="2" t="n">
        <v>43231.13001157407</v>
      </c>
      <c r="C1190" t="n">
        <v>0</v>
      </c>
      <c r="D1190" t="n">
        <v>8779</v>
      </c>
      <c r="E1190" t="s">
        <v>1201</v>
      </c>
      <c r="F1190" t="s"/>
      <c r="G1190" t="s"/>
      <c r="H1190" t="s"/>
      <c r="I1190" t="s"/>
      <c r="J1190" t="n">
        <v>-0.128</v>
      </c>
      <c r="K1190" t="n">
        <v>0.067</v>
      </c>
      <c r="L1190" t="n">
        <v>0.9330000000000001</v>
      </c>
      <c r="M1190" t="n">
        <v>0</v>
      </c>
    </row>
    <row r="1191" spans="1:13">
      <c r="A1191" s="1">
        <f>HYPERLINK("http://www.twitter.com/NathanBLawrence/status/994775745414287360", "994775745414287360")</f>
        <v/>
      </c>
      <c r="B1191" s="2" t="n">
        <v>43231.12956018518</v>
      </c>
      <c r="C1191" t="n">
        <v>0</v>
      </c>
      <c r="D1191" t="n">
        <v>7084</v>
      </c>
      <c r="E1191" t="s">
        <v>1202</v>
      </c>
      <c r="F1191">
        <f>HYPERLINK("http://pbs.twimg.com/media/Dc2rrxjVQAEk0Ac.jpg", "http://pbs.twimg.com/media/Dc2rrxjVQAEk0Ac.jpg")</f>
        <v/>
      </c>
      <c r="G1191" t="s"/>
      <c r="H1191" t="s"/>
      <c r="I1191" t="s"/>
      <c r="J1191" t="n">
        <v>0</v>
      </c>
      <c r="K1191" t="n">
        <v>0</v>
      </c>
      <c r="L1191" t="n">
        <v>1</v>
      </c>
      <c r="M1191" t="n">
        <v>0</v>
      </c>
    </row>
    <row r="1192" spans="1:13">
      <c r="A1192" s="1">
        <f>HYPERLINK("http://www.twitter.com/NathanBLawrence/status/994775547321438208", "994775547321438208")</f>
        <v/>
      </c>
      <c r="B1192" s="2" t="n">
        <v>43231.1290162037</v>
      </c>
      <c r="C1192" t="n">
        <v>0</v>
      </c>
      <c r="D1192" t="n">
        <v>4828</v>
      </c>
      <c r="E1192" t="s">
        <v>1203</v>
      </c>
      <c r="F1192" t="s"/>
      <c r="G1192" t="s"/>
      <c r="H1192" t="s"/>
      <c r="I1192" t="s"/>
      <c r="J1192" t="n">
        <v>0.5719</v>
      </c>
      <c r="K1192" t="n">
        <v>0</v>
      </c>
      <c r="L1192" t="n">
        <v>0.856</v>
      </c>
      <c r="M1192" t="n">
        <v>0.144</v>
      </c>
    </row>
    <row r="1193" spans="1:13">
      <c r="A1193" s="1">
        <f>HYPERLINK("http://www.twitter.com/NathanBLawrence/status/994775107179511808", "994775107179511808")</f>
        <v/>
      </c>
      <c r="B1193" s="2" t="n">
        <v>43231.12780092593</v>
      </c>
      <c r="C1193" t="n">
        <v>18</v>
      </c>
      <c r="D1193" t="n">
        <v>14</v>
      </c>
      <c r="E1193" t="s">
        <v>1204</v>
      </c>
      <c r="F1193" t="s"/>
      <c r="G1193" t="s"/>
      <c r="H1193" t="s"/>
      <c r="I1193" t="s"/>
      <c r="J1193" t="n">
        <v>-0.6989</v>
      </c>
      <c r="K1193" t="n">
        <v>0.161</v>
      </c>
      <c r="L1193" t="n">
        <v>0.839</v>
      </c>
      <c r="M1193" t="n">
        <v>0</v>
      </c>
    </row>
    <row r="1194" spans="1:13">
      <c r="A1194" s="1">
        <f>HYPERLINK("http://www.twitter.com/NathanBLawrence/status/994774014785703936", "994774014785703936")</f>
        <v/>
      </c>
      <c r="B1194" s="2" t="n">
        <v>43231.12478009259</v>
      </c>
      <c r="C1194" t="n">
        <v>7</v>
      </c>
      <c r="D1194" t="n">
        <v>3</v>
      </c>
      <c r="E1194" t="s">
        <v>1205</v>
      </c>
      <c r="F1194" t="s"/>
      <c r="G1194" t="s"/>
      <c r="H1194" t="s"/>
      <c r="I1194" t="s"/>
      <c r="J1194" t="n">
        <v>-0.875</v>
      </c>
      <c r="K1194" t="n">
        <v>0.233</v>
      </c>
      <c r="L1194" t="n">
        <v>0.767</v>
      </c>
      <c r="M1194" t="n">
        <v>0</v>
      </c>
    </row>
    <row r="1195" spans="1:13">
      <c r="A1195" s="1">
        <f>HYPERLINK("http://www.twitter.com/NathanBLawrence/status/994773142206894087", "994773142206894087")</f>
        <v/>
      </c>
      <c r="B1195" s="2" t="n">
        <v>43231.12237268518</v>
      </c>
      <c r="C1195" t="n">
        <v>6</v>
      </c>
      <c r="D1195" t="n">
        <v>1</v>
      </c>
      <c r="E1195" t="s">
        <v>1206</v>
      </c>
      <c r="F1195" t="s"/>
      <c r="G1195" t="s"/>
      <c r="H1195" t="s"/>
      <c r="I1195" t="s"/>
      <c r="J1195" t="n">
        <v>0</v>
      </c>
      <c r="K1195" t="n">
        <v>0</v>
      </c>
      <c r="L1195" t="n">
        <v>1</v>
      </c>
      <c r="M1195" t="n">
        <v>0</v>
      </c>
    </row>
    <row r="1196" spans="1:13">
      <c r="A1196" s="1">
        <f>HYPERLINK("http://www.twitter.com/NathanBLawrence/status/994772077700886533", "994772077700886533")</f>
        <v/>
      </c>
      <c r="B1196" s="2" t="n">
        <v>43231.11943287037</v>
      </c>
      <c r="C1196" t="n">
        <v>12</v>
      </c>
      <c r="D1196" t="n">
        <v>3</v>
      </c>
      <c r="E1196" t="s">
        <v>1207</v>
      </c>
      <c r="F1196" t="s"/>
      <c r="G1196" t="s"/>
      <c r="H1196" t="s"/>
      <c r="I1196" t="s"/>
      <c r="J1196" t="n">
        <v>-0.2695</v>
      </c>
      <c r="K1196" t="n">
        <v>0.105</v>
      </c>
      <c r="L1196" t="n">
        <v>0.839</v>
      </c>
      <c r="M1196" t="n">
        <v>0.056</v>
      </c>
    </row>
    <row r="1197" spans="1:13">
      <c r="A1197" s="1">
        <f>HYPERLINK("http://www.twitter.com/NathanBLawrence/status/994770841798873088", "994770841798873088")</f>
        <v/>
      </c>
      <c r="B1197" s="2" t="n">
        <v>43231.11603009259</v>
      </c>
      <c r="C1197" t="n">
        <v>32</v>
      </c>
      <c r="D1197" t="n">
        <v>5</v>
      </c>
      <c r="E1197" t="s">
        <v>1208</v>
      </c>
      <c r="F1197" t="s"/>
      <c r="G1197" t="s"/>
      <c r="H1197" t="s"/>
      <c r="I1197" t="s"/>
      <c r="J1197" t="n">
        <v>0.7339</v>
      </c>
      <c r="K1197" t="n">
        <v>0</v>
      </c>
      <c r="L1197" t="n">
        <v>0.773</v>
      </c>
      <c r="M1197" t="n">
        <v>0.227</v>
      </c>
    </row>
    <row r="1198" spans="1:13">
      <c r="A1198" s="1">
        <f>HYPERLINK("http://www.twitter.com/NathanBLawrence/status/994767539740823553", "994767539740823553")</f>
        <v/>
      </c>
      <c r="B1198" s="2" t="n">
        <v>43231.1069212963</v>
      </c>
      <c r="C1198" t="n">
        <v>20</v>
      </c>
      <c r="D1198" t="n">
        <v>13</v>
      </c>
      <c r="E1198" t="s">
        <v>1209</v>
      </c>
      <c r="F1198" t="s"/>
      <c r="G1198" t="s"/>
      <c r="H1198" t="s"/>
      <c r="I1198" t="s"/>
      <c r="J1198" t="n">
        <v>0.7766999999999999</v>
      </c>
      <c r="K1198" t="n">
        <v>0</v>
      </c>
      <c r="L1198" t="n">
        <v>0.789</v>
      </c>
      <c r="M1198" t="n">
        <v>0.211</v>
      </c>
    </row>
    <row r="1199" spans="1:13">
      <c r="A1199" s="1">
        <f>HYPERLINK("http://www.twitter.com/NathanBLawrence/status/994766777195335680", "994766777195335680")</f>
        <v/>
      </c>
      <c r="B1199" s="2" t="n">
        <v>43231.10481481482</v>
      </c>
      <c r="C1199" t="n">
        <v>13</v>
      </c>
      <c r="D1199" t="n">
        <v>3</v>
      </c>
      <c r="E1199" t="s">
        <v>1210</v>
      </c>
      <c r="F1199" t="s"/>
      <c r="G1199" t="s"/>
      <c r="H1199" t="s"/>
      <c r="I1199" t="s"/>
      <c r="J1199" t="n">
        <v>0.7746</v>
      </c>
      <c r="K1199" t="n">
        <v>0.149</v>
      </c>
      <c r="L1199" t="n">
        <v>0.428</v>
      </c>
      <c r="M1199" t="n">
        <v>0.422</v>
      </c>
    </row>
    <row r="1200" spans="1:13">
      <c r="A1200" s="1">
        <f>HYPERLINK("http://www.twitter.com/NathanBLawrence/status/994706359944802305", "994706359944802305")</f>
        <v/>
      </c>
      <c r="B1200" s="2" t="n">
        <v>43230.93809027778</v>
      </c>
      <c r="C1200" t="n">
        <v>10</v>
      </c>
      <c r="D1200" t="n">
        <v>7</v>
      </c>
      <c r="E1200" t="s">
        <v>1211</v>
      </c>
      <c r="F1200" t="s"/>
      <c r="G1200" t="s"/>
      <c r="H1200" t="s"/>
      <c r="I1200" t="s"/>
      <c r="J1200" t="n">
        <v>-0.7184</v>
      </c>
      <c r="K1200" t="n">
        <v>0.221</v>
      </c>
      <c r="L1200" t="n">
        <v>0.645</v>
      </c>
      <c r="M1200" t="n">
        <v>0.134</v>
      </c>
    </row>
    <row r="1201" spans="1:13">
      <c r="A1201" s="1">
        <f>HYPERLINK("http://www.twitter.com/NathanBLawrence/status/994699738254528512", "994699738254528512")</f>
        <v/>
      </c>
      <c r="B1201" s="2" t="n">
        <v>43230.91981481481</v>
      </c>
      <c r="C1201" t="n">
        <v>0</v>
      </c>
      <c r="D1201" t="n">
        <v>3976</v>
      </c>
      <c r="E1201" t="s">
        <v>1212</v>
      </c>
      <c r="F1201" t="s"/>
      <c r="G1201" t="s"/>
      <c r="H1201" t="s"/>
      <c r="I1201" t="s"/>
      <c r="J1201" t="n">
        <v>-0.7003</v>
      </c>
      <c r="K1201" t="n">
        <v>0.363</v>
      </c>
      <c r="L1201" t="n">
        <v>0.442</v>
      </c>
      <c r="M1201" t="n">
        <v>0.195</v>
      </c>
    </row>
    <row r="1202" spans="1:13">
      <c r="A1202" s="1">
        <f>HYPERLINK("http://www.twitter.com/NathanBLawrence/status/994699596088553473", "994699596088553473")</f>
        <v/>
      </c>
      <c r="B1202" s="2" t="n">
        <v>43230.9194212963</v>
      </c>
      <c r="C1202" t="n">
        <v>0</v>
      </c>
      <c r="D1202" t="n">
        <v>422</v>
      </c>
      <c r="E1202" t="s">
        <v>1213</v>
      </c>
      <c r="F1202" t="s"/>
      <c r="G1202" t="s"/>
      <c r="H1202" t="s"/>
      <c r="I1202" t="s"/>
      <c r="J1202" t="n">
        <v>-0.5622</v>
      </c>
      <c r="K1202" t="n">
        <v>0.176</v>
      </c>
      <c r="L1202" t="n">
        <v>0.824</v>
      </c>
      <c r="M1202" t="n">
        <v>0</v>
      </c>
    </row>
    <row r="1203" spans="1:13">
      <c r="A1203" s="1">
        <f>HYPERLINK("http://www.twitter.com/NathanBLawrence/status/994699404102660101", "994699404102660101")</f>
        <v/>
      </c>
      <c r="B1203" s="2" t="n">
        <v>43230.91890046297</v>
      </c>
      <c r="C1203" t="n">
        <v>0</v>
      </c>
      <c r="D1203" t="n">
        <v>15</v>
      </c>
      <c r="E1203" t="s">
        <v>1214</v>
      </c>
      <c r="F1203" t="s"/>
      <c r="G1203" t="s"/>
      <c r="H1203" t="s"/>
      <c r="I1203" t="s"/>
      <c r="J1203" t="n">
        <v>0.7269</v>
      </c>
      <c r="K1203" t="n">
        <v>0</v>
      </c>
      <c r="L1203" t="n">
        <v>0.697</v>
      </c>
      <c r="M1203" t="n">
        <v>0.303</v>
      </c>
    </row>
    <row r="1204" spans="1:13">
      <c r="A1204" s="1">
        <f>HYPERLINK("http://www.twitter.com/NathanBLawrence/status/994699104818102272", "994699104818102272")</f>
        <v/>
      </c>
      <c r="B1204" s="2" t="n">
        <v>43230.91806712963</v>
      </c>
      <c r="C1204" t="n">
        <v>20</v>
      </c>
      <c r="D1204" t="n">
        <v>11</v>
      </c>
      <c r="E1204" t="s">
        <v>1215</v>
      </c>
      <c r="F1204" t="s"/>
      <c r="G1204" t="s"/>
      <c r="H1204" t="s"/>
      <c r="I1204" t="s"/>
      <c r="J1204" t="n">
        <v>-0.8633</v>
      </c>
      <c r="K1204" t="n">
        <v>0.282</v>
      </c>
      <c r="L1204" t="n">
        <v>0.718</v>
      </c>
      <c r="M1204" t="n">
        <v>0</v>
      </c>
    </row>
    <row r="1205" spans="1:13">
      <c r="A1205" s="1">
        <f>HYPERLINK("http://www.twitter.com/NathanBLawrence/status/994698553011290112", "994698553011290112")</f>
        <v/>
      </c>
      <c r="B1205" s="2" t="n">
        <v>43230.91655092593</v>
      </c>
      <c r="C1205" t="n">
        <v>0</v>
      </c>
      <c r="D1205" t="n">
        <v>666</v>
      </c>
      <c r="E1205" t="s">
        <v>1216</v>
      </c>
      <c r="F1205" t="s"/>
      <c r="G1205" t="s"/>
      <c r="H1205" t="s"/>
      <c r="I1205" t="s"/>
      <c r="J1205" t="n">
        <v>0</v>
      </c>
      <c r="K1205" t="n">
        <v>0</v>
      </c>
      <c r="L1205" t="n">
        <v>1</v>
      </c>
      <c r="M1205" t="n">
        <v>0</v>
      </c>
    </row>
    <row r="1206" spans="1:13">
      <c r="A1206" s="1">
        <f>HYPERLINK("http://www.twitter.com/NathanBLawrence/status/994698474095460352", "994698474095460352")</f>
        <v/>
      </c>
      <c r="B1206" s="2" t="n">
        <v>43230.91633101852</v>
      </c>
      <c r="C1206" t="n">
        <v>3</v>
      </c>
      <c r="D1206" t="n">
        <v>2</v>
      </c>
      <c r="E1206" t="s">
        <v>1217</v>
      </c>
      <c r="F1206" t="s"/>
      <c r="G1206" t="s"/>
      <c r="H1206" t="s"/>
      <c r="I1206" t="s"/>
      <c r="J1206" t="n">
        <v>-0.8070000000000001</v>
      </c>
      <c r="K1206" t="n">
        <v>0.211</v>
      </c>
      <c r="L1206" t="n">
        <v>0.789</v>
      </c>
      <c r="M1206" t="n">
        <v>0</v>
      </c>
    </row>
    <row r="1207" spans="1:13">
      <c r="A1207" s="1">
        <f>HYPERLINK("http://www.twitter.com/NathanBLawrence/status/994697665458794496", "994697665458794496")</f>
        <v/>
      </c>
      <c r="B1207" s="2" t="n">
        <v>43230.91409722222</v>
      </c>
      <c r="C1207" t="n">
        <v>1</v>
      </c>
      <c r="D1207" t="n">
        <v>1</v>
      </c>
      <c r="E1207" t="s">
        <v>1218</v>
      </c>
      <c r="F1207" t="s"/>
      <c r="G1207" t="s"/>
      <c r="H1207" t="s"/>
      <c r="I1207" t="s"/>
      <c r="J1207" t="n">
        <v>0.3382</v>
      </c>
      <c r="K1207" t="n">
        <v>0.179</v>
      </c>
      <c r="L1207" t="n">
        <v>0.629</v>
      </c>
      <c r="M1207" t="n">
        <v>0.192</v>
      </c>
    </row>
    <row r="1208" spans="1:13">
      <c r="A1208" s="1">
        <f>HYPERLINK("http://www.twitter.com/NathanBLawrence/status/994695364455219200", "994695364455219200")</f>
        <v/>
      </c>
      <c r="B1208" s="2" t="n">
        <v>43230.90775462963</v>
      </c>
      <c r="C1208" t="n">
        <v>0</v>
      </c>
      <c r="D1208" t="n">
        <v>41</v>
      </c>
      <c r="E1208" t="s">
        <v>1219</v>
      </c>
      <c r="F1208" t="s"/>
      <c r="G1208" t="s"/>
      <c r="H1208" t="s"/>
      <c r="I1208" t="s"/>
      <c r="J1208" t="n">
        <v>0.7339</v>
      </c>
      <c r="K1208" t="n">
        <v>0.183</v>
      </c>
      <c r="L1208" t="n">
        <v>0.457</v>
      </c>
      <c r="M1208" t="n">
        <v>0.36</v>
      </c>
    </row>
    <row r="1209" spans="1:13">
      <c r="A1209" s="1">
        <f>HYPERLINK("http://www.twitter.com/NathanBLawrence/status/994695210713018368", "994695210713018368")</f>
        <v/>
      </c>
      <c r="B1209" s="2" t="n">
        <v>43230.90732638889</v>
      </c>
      <c r="C1209" t="n">
        <v>0</v>
      </c>
      <c r="D1209" t="n">
        <v>3753</v>
      </c>
      <c r="E1209" t="s">
        <v>1220</v>
      </c>
      <c r="F1209">
        <f>HYPERLINK("http://pbs.twimg.com/media/DcS3-BQVMAARw26.jpg", "http://pbs.twimg.com/media/DcS3-BQVMAARw26.jpg")</f>
        <v/>
      </c>
      <c r="G1209" t="s"/>
      <c r="H1209" t="s"/>
      <c r="I1209" t="s"/>
      <c r="J1209" t="n">
        <v>0.5106000000000001</v>
      </c>
      <c r="K1209" t="n">
        <v>0</v>
      </c>
      <c r="L1209" t="n">
        <v>0.8149999999999999</v>
      </c>
      <c r="M1209" t="n">
        <v>0.185</v>
      </c>
    </row>
    <row r="1210" spans="1:13">
      <c r="A1210" s="1">
        <f>HYPERLINK("http://www.twitter.com/NathanBLawrence/status/994695131885223936", "994695131885223936")</f>
        <v/>
      </c>
      <c r="B1210" s="2" t="n">
        <v>43230.90710648148</v>
      </c>
      <c r="C1210" t="n">
        <v>0</v>
      </c>
      <c r="D1210" t="n">
        <v>14886</v>
      </c>
      <c r="E1210" t="s">
        <v>1221</v>
      </c>
      <c r="F1210" t="s"/>
      <c r="G1210" t="s"/>
      <c r="H1210" t="s"/>
      <c r="I1210" t="s"/>
      <c r="J1210" t="n">
        <v>-0.4767</v>
      </c>
      <c r="K1210" t="n">
        <v>0.124</v>
      </c>
      <c r="L1210" t="n">
        <v>0.876</v>
      </c>
      <c r="M1210" t="n">
        <v>0</v>
      </c>
    </row>
    <row r="1211" spans="1:13">
      <c r="A1211" s="1">
        <f>HYPERLINK("http://www.twitter.com/NathanBLawrence/status/994695097827577856", "994695097827577856")</f>
        <v/>
      </c>
      <c r="B1211" s="2" t="n">
        <v>43230.90701388889</v>
      </c>
      <c r="C1211" t="n">
        <v>0</v>
      </c>
      <c r="D1211" t="n">
        <v>1583</v>
      </c>
      <c r="E1211" t="s">
        <v>1222</v>
      </c>
      <c r="F1211" t="s"/>
      <c r="G1211" t="s"/>
      <c r="H1211" t="s"/>
      <c r="I1211" t="s"/>
      <c r="J1211" t="n">
        <v>0.3182</v>
      </c>
      <c r="K1211" t="n">
        <v>0</v>
      </c>
      <c r="L1211" t="n">
        <v>0.881</v>
      </c>
      <c r="M1211" t="n">
        <v>0.119</v>
      </c>
    </row>
    <row r="1212" spans="1:13">
      <c r="A1212" s="1">
        <f>HYPERLINK("http://www.twitter.com/NathanBLawrence/status/994695029594644480", "994695029594644480")</f>
        <v/>
      </c>
      <c r="B1212" s="2" t="n">
        <v>43230.9068287037</v>
      </c>
      <c r="C1212" t="n">
        <v>0</v>
      </c>
      <c r="D1212" t="n">
        <v>1841</v>
      </c>
      <c r="E1212" t="s">
        <v>1223</v>
      </c>
      <c r="F1212">
        <f>HYPERLINK("https://video.twimg.com/amplify_video/962009372426633216/vid/1280x720/CRRFtMNsgQFP2akC.mp4", "https://video.twimg.com/amplify_video/962009372426633216/vid/1280x720/CRRFtMNsgQFP2akC.mp4")</f>
        <v/>
      </c>
      <c r="G1212" t="s"/>
      <c r="H1212" t="s"/>
      <c r="I1212" t="s"/>
      <c r="J1212" t="n">
        <v>0</v>
      </c>
      <c r="K1212" t="n">
        <v>0</v>
      </c>
      <c r="L1212" t="n">
        <v>1</v>
      </c>
      <c r="M1212" t="n">
        <v>0</v>
      </c>
    </row>
    <row r="1213" spans="1:13">
      <c r="A1213" s="1">
        <f>HYPERLINK("http://www.twitter.com/NathanBLawrence/status/994695007599652864", "994695007599652864")</f>
        <v/>
      </c>
      <c r="B1213" s="2" t="n">
        <v>43230.90677083333</v>
      </c>
      <c r="C1213" t="n">
        <v>4</v>
      </c>
      <c r="D1213" t="n">
        <v>0</v>
      </c>
      <c r="E1213" t="s">
        <v>1224</v>
      </c>
      <c r="F1213" t="s"/>
      <c r="G1213" t="s"/>
      <c r="H1213" t="s"/>
      <c r="I1213" t="s"/>
      <c r="J1213" t="n">
        <v>0</v>
      </c>
      <c r="K1213" t="n">
        <v>0</v>
      </c>
      <c r="L1213" t="n">
        <v>1</v>
      </c>
      <c r="M1213" t="n">
        <v>0</v>
      </c>
    </row>
    <row r="1214" spans="1:13">
      <c r="A1214" s="1">
        <f>HYPERLINK("http://www.twitter.com/NathanBLawrence/status/994694798970830848", "994694798970830848")</f>
        <v/>
      </c>
      <c r="B1214" s="2" t="n">
        <v>43230.90619212963</v>
      </c>
      <c r="C1214" t="n">
        <v>0</v>
      </c>
      <c r="D1214" t="n">
        <v>2355</v>
      </c>
      <c r="E1214" t="s">
        <v>1225</v>
      </c>
      <c r="F1214" t="s"/>
      <c r="G1214" t="s"/>
      <c r="H1214" t="s"/>
      <c r="I1214" t="s"/>
      <c r="J1214" t="n">
        <v>-0.875</v>
      </c>
      <c r="K1214" t="n">
        <v>0.476</v>
      </c>
      <c r="L1214" t="n">
        <v>0.524</v>
      </c>
      <c r="M1214" t="n">
        <v>0</v>
      </c>
    </row>
    <row r="1215" spans="1:13">
      <c r="A1215" s="1">
        <f>HYPERLINK("http://www.twitter.com/NathanBLawrence/status/994694761813438464", "994694761813438464")</f>
        <v/>
      </c>
      <c r="B1215" s="2" t="n">
        <v>43230.90608796296</v>
      </c>
      <c r="C1215" t="n">
        <v>0</v>
      </c>
      <c r="D1215" t="n">
        <v>26905</v>
      </c>
      <c r="E1215" t="s">
        <v>1226</v>
      </c>
      <c r="F1215" t="s"/>
      <c r="G1215" t="s"/>
      <c r="H1215" t="s"/>
      <c r="I1215" t="s"/>
      <c r="J1215" t="n">
        <v>-0.7351</v>
      </c>
      <c r="K1215" t="n">
        <v>0.265</v>
      </c>
      <c r="L1215" t="n">
        <v>0.735</v>
      </c>
      <c r="M1215" t="n">
        <v>0</v>
      </c>
    </row>
    <row r="1216" spans="1:13">
      <c r="A1216" s="1">
        <f>HYPERLINK("http://www.twitter.com/NathanBLawrence/status/994694670117617664", "994694670117617664")</f>
        <v/>
      </c>
      <c r="B1216" s="2" t="n">
        <v>43230.90583333333</v>
      </c>
      <c r="C1216" t="n">
        <v>0</v>
      </c>
      <c r="D1216" t="n">
        <v>2704</v>
      </c>
      <c r="E1216" t="s">
        <v>1227</v>
      </c>
      <c r="F1216">
        <f>HYPERLINK("http://pbs.twimg.com/media/Dcta8lcVAAAHiV1.jpg", "http://pbs.twimg.com/media/Dcta8lcVAAAHiV1.jpg")</f>
        <v/>
      </c>
      <c r="G1216" t="s"/>
      <c r="H1216" t="s"/>
      <c r="I1216" t="s"/>
      <c r="J1216" t="n">
        <v>-0.296</v>
      </c>
      <c r="K1216" t="n">
        <v>0.08699999999999999</v>
      </c>
      <c r="L1216" t="n">
        <v>0.913</v>
      </c>
      <c r="M1216" t="n">
        <v>0</v>
      </c>
    </row>
    <row r="1217" spans="1:13">
      <c r="A1217" s="1">
        <f>HYPERLINK("http://www.twitter.com/NathanBLawrence/status/994694623359418369", "994694623359418369")</f>
        <v/>
      </c>
      <c r="B1217" s="2" t="n">
        <v>43230.90570601852</v>
      </c>
      <c r="C1217" t="n">
        <v>7</v>
      </c>
      <c r="D1217" t="n">
        <v>1</v>
      </c>
      <c r="E1217" t="s">
        <v>1228</v>
      </c>
      <c r="F1217" t="s"/>
      <c r="G1217" t="s"/>
      <c r="H1217" t="s"/>
      <c r="I1217" t="s"/>
      <c r="J1217" t="n">
        <v>-0.8858</v>
      </c>
      <c r="K1217" t="n">
        <v>0.259</v>
      </c>
      <c r="L1217" t="n">
        <v>0.652</v>
      </c>
      <c r="M1217" t="n">
        <v>0.089</v>
      </c>
    </row>
    <row r="1218" spans="1:13">
      <c r="A1218" s="1">
        <f>HYPERLINK("http://www.twitter.com/NathanBLawrence/status/994693859958439936", "994693859958439936")</f>
        <v/>
      </c>
      <c r="B1218" s="2" t="n">
        <v>43230.90359953704</v>
      </c>
      <c r="C1218" t="n">
        <v>19</v>
      </c>
      <c r="D1218" t="n">
        <v>6</v>
      </c>
      <c r="E1218" t="s">
        <v>1229</v>
      </c>
      <c r="F1218" t="s"/>
      <c r="G1218" t="s"/>
      <c r="H1218" t="s"/>
      <c r="I1218" t="s"/>
      <c r="J1218" t="n">
        <v>0.3612</v>
      </c>
      <c r="K1218" t="n">
        <v>0</v>
      </c>
      <c r="L1218" t="n">
        <v>0.828</v>
      </c>
      <c r="M1218" t="n">
        <v>0.172</v>
      </c>
    </row>
    <row r="1219" spans="1:13">
      <c r="A1219" s="1">
        <f>HYPERLINK("http://www.twitter.com/NathanBLawrence/status/994690346658316288", "994690346658316288")</f>
        <v/>
      </c>
      <c r="B1219" s="2" t="n">
        <v>43230.89390046296</v>
      </c>
      <c r="C1219" t="n">
        <v>4</v>
      </c>
      <c r="D1219" t="n">
        <v>3</v>
      </c>
      <c r="E1219" t="s">
        <v>1230</v>
      </c>
      <c r="F1219" t="s"/>
      <c r="G1219" t="s"/>
      <c r="H1219" t="s"/>
      <c r="I1219" t="s"/>
      <c r="J1219" t="n">
        <v>0.4019</v>
      </c>
      <c r="K1219" t="n">
        <v>0</v>
      </c>
      <c r="L1219" t="n">
        <v>0.87</v>
      </c>
      <c r="M1219" t="n">
        <v>0.13</v>
      </c>
    </row>
    <row r="1220" spans="1:13">
      <c r="A1220" s="1">
        <f>HYPERLINK("http://www.twitter.com/NathanBLawrence/status/994686970117873665", "994686970117873665")</f>
        <v/>
      </c>
      <c r="B1220" s="2" t="n">
        <v>43230.88458333333</v>
      </c>
      <c r="C1220" t="n">
        <v>10</v>
      </c>
      <c r="D1220" t="n">
        <v>9</v>
      </c>
      <c r="E1220" t="s">
        <v>1231</v>
      </c>
      <c r="F1220" t="s"/>
      <c r="G1220" t="s"/>
      <c r="H1220" t="s"/>
      <c r="I1220" t="s"/>
      <c r="J1220" t="n">
        <v>-0.5411</v>
      </c>
      <c r="K1220" t="n">
        <v>0.191</v>
      </c>
      <c r="L1220" t="n">
        <v>0.8090000000000001</v>
      </c>
      <c r="M1220" t="n">
        <v>0</v>
      </c>
    </row>
    <row r="1221" spans="1:13">
      <c r="A1221" s="1">
        <f>HYPERLINK("http://www.twitter.com/NathanBLawrence/status/994685151757062145", "994685151757062145")</f>
        <v/>
      </c>
      <c r="B1221" s="2" t="n">
        <v>43230.87957175926</v>
      </c>
      <c r="C1221" t="n">
        <v>2</v>
      </c>
      <c r="D1221" t="n">
        <v>5</v>
      </c>
      <c r="E1221" t="s">
        <v>1232</v>
      </c>
      <c r="F1221" t="s"/>
      <c r="G1221" t="s"/>
      <c r="H1221" t="s"/>
      <c r="I1221" t="s"/>
      <c r="J1221" t="n">
        <v>0.4201</v>
      </c>
      <c r="K1221" t="n">
        <v>0</v>
      </c>
      <c r="L1221" t="n">
        <v>0.8110000000000001</v>
      </c>
      <c r="M1221" t="n">
        <v>0.189</v>
      </c>
    </row>
    <row r="1222" spans="1:13">
      <c r="A1222" s="1">
        <f>HYPERLINK("http://www.twitter.com/NathanBLawrence/status/994638734883614720", "994638734883614720")</f>
        <v/>
      </c>
      <c r="B1222" s="2" t="n">
        <v>43230.75148148148</v>
      </c>
      <c r="C1222" t="n">
        <v>13</v>
      </c>
      <c r="D1222" t="n">
        <v>4</v>
      </c>
      <c r="E1222" t="s">
        <v>1233</v>
      </c>
      <c r="F1222" t="s"/>
      <c r="G1222" t="s"/>
      <c r="H1222" t="s"/>
      <c r="I1222" t="s"/>
      <c r="J1222" t="n">
        <v>-0.6899999999999999</v>
      </c>
      <c r="K1222" t="n">
        <v>0.289</v>
      </c>
      <c r="L1222" t="n">
        <v>0.711</v>
      </c>
      <c r="M1222" t="n">
        <v>0</v>
      </c>
    </row>
    <row r="1223" spans="1:13">
      <c r="A1223" s="1">
        <f>HYPERLINK("http://www.twitter.com/NathanBLawrence/status/994638414153531392", "994638414153531392")</f>
        <v/>
      </c>
      <c r="B1223" s="2" t="n">
        <v>43230.75060185185</v>
      </c>
      <c r="C1223" t="n">
        <v>6</v>
      </c>
      <c r="D1223" t="n">
        <v>6</v>
      </c>
      <c r="E1223" t="s">
        <v>1234</v>
      </c>
      <c r="F1223" t="s"/>
      <c r="G1223" t="s"/>
      <c r="H1223" t="s"/>
      <c r="I1223" t="s"/>
      <c r="J1223" t="n">
        <v>-0.6369</v>
      </c>
      <c r="K1223" t="n">
        <v>0.174</v>
      </c>
      <c r="L1223" t="n">
        <v>0.826</v>
      </c>
      <c r="M1223" t="n">
        <v>0</v>
      </c>
    </row>
    <row r="1224" spans="1:13">
      <c r="A1224" s="1">
        <f>HYPERLINK("http://www.twitter.com/NathanBLawrence/status/994637729274085377", "994637729274085377")</f>
        <v/>
      </c>
      <c r="B1224" s="2" t="n">
        <v>43230.74870370371</v>
      </c>
      <c r="C1224" t="n">
        <v>3</v>
      </c>
      <c r="D1224" t="n">
        <v>6</v>
      </c>
      <c r="E1224" t="s">
        <v>1235</v>
      </c>
      <c r="F1224" t="s"/>
      <c r="G1224" t="s"/>
      <c r="H1224" t="s"/>
      <c r="I1224" t="s"/>
      <c r="J1224" t="n">
        <v>-0.128</v>
      </c>
      <c r="K1224" t="n">
        <v>0.143</v>
      </c>
      <c r="L1224" t="n">
        <v>0.857</v>
      </c>
      <c r="M1224" t="n">
        <v>0</v>
      </c>
    </row>
    <row r="1225" spans="1:13">
      <c r="A1225" s="1">
        <f>HYPERLINK("http://www.twitter.com/NathanBLawrence/status/994634217706287106", "994634217706287106")</f>
        <v/>
      </c>
      <c r="B1225" s="2" t="n">
        <v>43230.7390162037</v>
      </c>
      <c r="C1225" t="n">
        <v>10</v>
      </c>
      <c r="D1225" t="n">
        <v>2</v>
      </c>
      <c r="E1225" t="s">
        <v>1236</v>
      </c>
      <c r="F1225" t="s"/>
      <c r="G1225" t="s"/>
      <c r="H1225" t="s"/>
      <c r="I1225" t="s"/>
      <c r="J1225" t="n">
        <v>0</v>
      </c>
      <c r="K1225" t="n">
        <v>0</v>
      </c>
      <c r="L1225" t="n">
        <v>1</v>
      </c>
      <c r="M1225" t="n">
        <v>0</v>
      </c>
    </row>
    <row r="1226" spans="1:13">
      <c r="A1226" s="1">
        <f>HYPERLINK("http://www.twitter.com/NathanBLawrence/status/994626072657387521", "994626072657387521")</f>
        <v/>
      </c>
      <c r="B1226" s="2" t="n">
        <v>43230.71653935185</v>
      </c>
      <c r="C1226" t="n">
        <v>0</v>
      </c>
      <c r="D1226" t="n">
        <v>68905</v>
      </c>
      <c r="E1226" t="s">
        <v>1237</v>
      </c>
      <c r="F1226" t="s"/>
      <c r="G1226" t="s"/>
      <c r="H1226" t="s"/>
      <c r="I1226" t="s"/>
      <c r="J1226" t="n">
        <v>0</v>
      </c>
      <c r="K1226" t="n">
        <v>0</v>
      </c>
      <c r="L1226" t="n">
        <v>1</v>
      </c>
      <c r="M1226" t="n">
        <v>0</v>
      </c>
    </row>
    <row r="1227" spans="1:13">
      <c r="A1227" s="1">
        <f>HYPERLINK("http://www.twitter.com/NathanBLawrence/status/994626026964582400", "994626026964582400")</f>
        <v/>
      </c>
      <c r="B1227" s="2" t="n">
        <v>43230.71641203704</v>
      </c>
      <c r="C1227" t="n">
        <v>0</v>
      </c>
      <c r="D1227" t="n">
        <v>10</v>
      </c>
      <c r="E1227" t="s">
        <v>1238</v>
      </c>
      <c r="F1227" t="s"/>
      <c r="G1227" t="s"/>
      <c r="H1227" t="s"/>
      <c r="I1227" t="s"/>
      <c r="J1227" t="n">
        <v>0.8834</v>
      </c>
      <c r="K1227" t="n">
        <v>0</v>
      </c>
      <c r="L1227" t="n">
        <v>0.66</v>
      </c>
      <c r="M1227" t="n">
        <v>0.34</v>
      </c>
    </row>
    <row r="1228" spans="1:13">
      <c r="A1228" s="1">
        <f>HYPERLINK("http://www.twitter.com/NathanBLawrence/status/994623178969268224", "994623178969268224")</f>
        <v/>
      </c>
      <c r="B1228" s="2" t="n">
        <v>43230.70855324074</v>
      </c>
      <c r="C1228" t="n">
        <v>0</v>
      </c>
      <c r="D1228" t="n">
        <v>1</v>
      </c>
      <c r="E1228" t="s">
        <v>1239</v>
      </c>
      <c r="F1228" t="s"/>
      <c r="G1228" t="s"/>
      <c r="H1228" t="s"/>
      <c r="I1228" t="s"/>
      <c r="J1228" t="n">
        <v>-0.75</v>
      </c>
      <c r="K1228" t="n">
        <v>0.176</v>
      </c>
      <c r="L1228" t="n">
        <v>0.722</v>
      </c>
      <c r="M1228" t="n">
        <v>0.102</v>
      </c>
    </row>
    <row r="1229" spans="1:13">
      <c r="A1229" s="1">
        <f>HYPERLINK("http://www.twitter.com/NathanBLawrence/status/994622671412314112", "994622671412314112")</f>
        <v/>
      </c>
      <c r="B1229" s="2" t="n">
        <v>43230.70715277778</v>
      </c>
      <c r="C1229" t="n">
        <v>13</v>
      </c>
      <c r="D1229" t="n">
        <v>8</v>
      </c>
      <c r="E1229" t="s">
        <v>1240</v>
      </c>
      <c r="F1229" t="s"/>
      <c r="G1229" t="s"/>
      <c r="H1229" t="s"/>
      <c r="I1229" t="s"/>
      <c r="J1229" t="n">
        <v>0</v>
      </c>
      <c r="K1229" t="n">
        <v>0</v>
      </c>
      <c r="L1229" t="n">
        <v>1</v>
      </c>
      <c r="M1229" t="n">
        <v>0</v>
      </c>
    </row>
    <row r="1230" spans="1:13">
      <c r="A1230" s="1">
        <f>HYPERLINK("http://www.twitter.com/NathanBLawrence/status/994622345984720896", "994622345984720896")</f>
        <v/>
      </c>
      <c r="B1230" s="2" t="n">
        <v>43230.70626157407</v>
      </c>
      <c r="C1230" t="n">
        <v>0</v>
      </c>
      <c r="D1230" t="n">
        <v>3</v>
      </c>
      <c r="E1230" t="s">
        <v>1241</v>
      </c>
      <c r="F1230" t="s"/>
      <c r="G1230" t="s"/>
      <c r="H1230" t="s"/>
      <c r="I1230" t="s"/>
      <c r="J1230" t="n">
        <v>0.3182</v>
      </c>
      <c r="K1230" t="n">
        <v>0</v>
      </c>
      <c r="L1230" t="n">
        <v>0.897</v>
      </c>
      <c r="M1230" t="n">
        <v>0.103</v>
      </c>
    </row>
    <row r="1231" spans="1:13">
      <c r="A1231" s="1">
        <f>HYPERLINK("http://www.twitter.com/NathanBLawrence/status/994622146910470144", "994622146910470144")</f>
        <v/>
      </c>
      <c r="B1231" s="2" t="n">
        <v>43230.70570601852</v>
      </c>
      <c r="C1231" t="n">
        <v>7</v>
      </c>
      <c r="D1231" t="n">
        <v>3</v>
      </c>
      <c r="E1231" t="s">
        <v>1242</v>
      </c>
      <c r="F1231" t="s"/>
      <c r="G1231" t="s"/>
      <c r="H1231" t="s"/>
      <c r="I1231" t="s"/>
      <c r="J1231" t="n">
        <v>-0.5266999999999999</v>
      </c>
      <c r="K1231" t="n">
        <v>0.101</v>
      </c>
      <c r="L1231" t="n">
        <v>0.899</v>
      </c>
      <c r="M1231" t="n">
        <v>0</v>
      </c>
    </row>
    <row r="1232" spans="1:13">
      <c r="A1232" s="1">
        <f>HYPERLINK("http://www.twitter.com/NathanBLawrence/status/994621698354757634", "994621698354757634")</f>
        <v/>
      </c>
      <c r="B1232" s="2" t="n">
        <v>43230.70446759259</v>
      </c>
      <c r="C1232" t="n">
        <v>9</v>
      </c>
      <c r="D1232" t="n">
        <v>4</v>
      </c>
      <c r="E1232" t="s">
        <v>1243</v>
      </c>
      <c r="F1232" t="s"/>
      <c r="G1232" t="s"/>
      <c r="H1232" t="s"/>
      <c r="I1232" t="s"/>
      <c r="J1232" t="n">
        <v>0.8847</v>
      </c>
      <c r="K1232" t="n">
        <v>0</v>
      </c>
      <c r="L1232" t="n">
        <v>0.802</v>
      </c>
      <c r="M1232" t="n">
        <v>0.198</v>
      </c>
    </row>
    <row r="1233" spans="1:13">
      <c r="A1233" s="1">
        <f>HYPERLINK("http://www.twitter.com/NathanBLawrence/status/994620899767676928", "994620899767676928")</f>
        <v/>
      </c>
      <c r="B1233" s="2" t="n">
        <v>43230.70226851852</v>
      </c>
      <c r="C1233" t="n">
        <v>2</v>
      </c>
      <c r="D1233" t="n">
        <v>3</v>
      </c>
      <c r="E1233" t="s">
        <v>1244</v>
      </c>
      <c r="F1233" t="s"/>
      <c r="G1233" t="s"/>
      <c r="H1233" t="s"/>
      <c r="I1233" t="s"/>
      <c r="J1233" t="n">
        <v>0.3034</v>
      </c>
      <c r="K1233" t="n">
        <v>0</v>
      </c>
      <c r="L1233" t="n">
        <v>0.843</v>
      </c>
      <c r="M1233" t="n">
        <v>0.157</v>
      </c>
    </row>
    <row r="1234" spans="1:13">
      <c r="A1234" s="1">
        <f>HYPERLINK("http://www.twitter.com/NathanBLawrence/status/994620606220926976", "994620606220926976")</f>
        <v/>
      </c>
      <c r="B1234" s="2" t="n">
        <v>43230.70145833334</v>
      </c>
      <c r="C1234" t="n">
        <v>6</v>
      </c>
      <c r="D1234" t="n">
        <v>4</v>
      </c>
      <c r="E1234" t="s">
        <v>1245</v>
      </c>
      <c r="F1234" t="s"/>
      <c r="G1234" t="s"/>
      <c r="H1234" t="s"/>
      <c r="I1234" t="s"/>
      <c r="J1234" t="n">
        <v>0</v>
      </c>
      <c r="K1234" t="n">
        <v>0</v>
      </c>
      <c r="L1234" t="n">
        <v>1</v>
      </c>
      <c r="M1234" t="n">
        <v>0</v>
      </c>
    </row>
    <row r="1235" spans="1:13">
      <c r="A1235" s="1">
        <f>HYPERLINK("http://www.twitter.com/NathanBLawrence/status/994619515202822145", "994619515202822145")</f>
        <v/>
      </c>
      <c r="B1235" s="2" t="n">
        <v>43230.69844907407</v>
      </c>
      <c r="C1235" t="n">
        <v>0</v>
      </c>
      <c r="D1235" t="n">
        <v>169</v>
      </c>
      <c r="E1235" t="s">
        <v>1246</v>
      </c>
      <c r="F1235">
        <f>HYPERLINK("http://pbs.twimg.com/media/Dc1AG-7VAAEP2Kw.jpg", "http://pbs.twimg.com/media/Dc1AG-7VAAEP2Kw.jpg")</f>
        <v/>
      </c>
      <c r="G1235">
        <f>HYPERLINK("http://pbs.twimg.com/media/Dc1AG-8VMAAs2ID.jpg", "http://pbs.twimg.com/media/Dc1AG-8VMAAs2ID.jpg")</f>
        <v/>
      </c>
      <c r="H1235" t="s"/>
      <c r="I1235" t="s"/>
      <c r="J1235" t="n">
        <v>-0.296</v>
      </c>
      <c r="K1235" t="n">
        <v>0.128</v>
      </c>
      <c r="L1235" t="n">
        <v>0.872</v>
      </c>
      <c r="M1235" t="n">
        <v>0</v>
      </c>
    </row>
    <row r="1236" spans="1:13">
      <c r="A1236" s="1">
        <f>HYPERLINK("http://www.twitter.com/NathanBLawrence/status/994619379395383296", "994619379395383296")</f>
        <v/>
      </c>
      <c r="B1236" s="2" t="n">
        <v>43230.69806712963</v>
      </c>
      <c r="C1236" t="n">
        <v>5</v>
      </c>
      <c r="D1236" t="n">
        <v>2</v>
      </c>
      <c r="E1236" t="s">
        <v>1247</v>
      </c>
      <c r="F1236" t="s"/>
      <c r="G1236" t="s"/>
      <c r="H1236" t="s"/>
      <c r="I1236" t="s"/>
      <c r="J1236" t="n">
        <v>0</v>
      </c>
      <c r="K1236" t="n">
        <v>0</v>
      </c>
      <c r="L1236" t="n">
        <v>1</v>
      </c>
      <c r="M1236" t="n">
        <v>0</v>
      </c>
    </row>
    <row r="1237" spans="1:13">
      <c r="A1237" s="1">
        <f>HYPERLINK("http://www.twitter.com/NathanBLawrence/status/994619130320904192", "994619130320904192")</f>
        <v/>
      </c>
      <c r="B1237" s="2" t="n">
        <v>43230.69738425926</v>
      </c>
      <c r="C1237" t="n">
        <v>0</v>
      </c>
      <c r="D1237" t="n">
        <v>661</v>
      </c>
      <c r="E1237" t="s">
        <v>1248</v>
      </c>
      <c r="F1237">
        <f>HYPERLINK("http://pbs.twimg.com/media/Dc0FDswXkAAnkIs.jpg", "http://pbs.twimg.com/media/Dc0FDswXkAAnkIs.jpg")</f>
        <v/>
      </c>
      <c r="G1237" t="s"/>
      <c r="H1237" t="s"/>
      <c r="I1237" t="s"/>
      <c r="J1237" t="n">
        <v>0.824</v>
      </c>
      <c r="K1237" t="n">
        <v>0</v>
      </c>
      <c r="L1237" t="n">
        <v>0.635</v>
      </c>
      <c r="M1237" t="n">
        <v>0.365</v>
      </c>
    </row>
    <row r="1238" spans="1:13">
      <c r="A1238" s="1">
        <f>HYPERLINK("http://www.twitter.com/NathanBLawrence/status/994619076965122048", "994619076965122048")</f>
        <v/>
      </c>
      <c r="B1238" s="2" t="n">
        <v>43230.69723379629</v>
      </c>
      <c r="C1238" t="n">
        <v>0</v>
      </c>
      <c r="D1238" t="n">
        <v>2</v>
      </c>
      <c r="E1238" t="s">
        <v>1249</v>
      </c>
      <c r="F1238" t="s"/>
      <c r="G1238" t="s"/>
      <c r="H1238" t="s"/>
      <c r="I1238" t="s"/>
      <c r="J1238" t="n">
        <v>0</v>
      </c>
      <c r="K1238" t="n">
        <v>0</v>
      </c>
      <c r="L1238" t="n">
        <v>1</v>
      </c>
      <c r="M1238" t="n">
        <v>0</v>
      </c>
    </row>
    <row r="1239" spans="1:13">
      <c r="A1239" s="1">
        <f>HYPERLINK("http://www.twitter.com/NathanBLawrence/status/994619013400481792", "994619013400481792")</f>
        <v/>
      </c>
      <c r="B1239" s="2" t="n">
        <v>43230.69706018519</v>
      </c>
      <c r="C1239" t="n">
        <v>3</v>
      </c>
      <c r="D1239" t="n">
        <v>0</v>
      </c>
      <c r="E1239" t="s">
        <v>1250</v>
      </c>
      <c r="F1239" t="s"/>
      <c r="G1239" t="s"/>
      <c r="H1239" t="s"/>
      <c r="I1239" t="s"/>
      <c r="J1239" t="n">
        <v>0</v>
      </c>
      <c r="K1239" t="n">
        <v>0</v>
      </c>
      <c r="L1239" t="n">
        <v>1</v>
      </c>
      <c r="M1239" t="n">
        <v>0</v>
      </c>
    </row>
    <row r="1240" spans="1:13">
      <c r="A1240" s="1">
        <f>HYPERLINK("http://www.twitter.com/NathanBLawrence/status/994618821305487360", "994618821305487360")</f>
        <v/>
      </c>
      <c r="B1240" s="2" t="n">
        <v>43230.69652777778</v>
      </c>
      <c r="C1240" t="n">
        <v>0</v>
      </c>
      <c r="D1240" t="n">
        <v>547</v>
      </c>
      <c r="E1240" t="s">
        <v>1251</v>
      </c>
      <c r="F1240">
        <f>HYPERLINK("https://video.twimg.com/ext_tw_video/994473952855580672/pu/vid/1280x720/dNbHMlmTM64TwUUM.mp4?tag=3", "https://video.twimg.com/ext_tw_video/994473952855580672/pu/vid/1280x720/dNbHMlmTM64TwUUM.mp4?tag=3")</f>
        <v/>
      </c>
      <c r="G1240" t="s"/>
      <c r="H1240" t="s"/>
      <c r="I1240" t="s"/>
      <c r="J1240" t="n">
        <v>0.4404</v>
      </c>
      <c r="K1240" t="n">
        <v>0.105</v>
      </c>
      <c r="L1240" t="n">
        <v>0.667</v>
      </c>
      <c r="M1240" t="n">
        <v>0.229</v>
      </c>
    </row>
    <row r="1241" spans="1:13">
      <c r="A1241" s="1">
        <f>HYPERLINK("http://www.twitter.com/NathanBLawrence/status/994618769958879232", "994618769958879232")</f>
        <v/>
      </c>
      <c r="B1241" s="2" t="n">
        <v>43230.69638888889</v>
      </c>
      <c r="C1241" t="n">
        <v>0</v>
      </c>
      <c r="D1241" t="n">
        <v>3</v>
      </c>
      <c r="E1241" t="s">
        <v>1252</v>
      </c>
      <c r="F1241" t="s"/>
      <c r="G1241" t="s"/>
      <c r="H1241" t="s"/>
      <c r="I1241" t="s"/>
      <c r="J1241" t="n">
        <v>0.4588</v>
      </c>
      <c r="K1241" t="n">
        <v>0.128</v>
      </c>
      <c r="L1241" t="n">
        <v>0.612</v>
      </c>
      <c r="M1241" t="n">
        <v>0.259</v>
      </c>
    </row>
    <row r="1242" spans="1:13">
      <c r="A1242" s="1">
        <f>HYPERLINK("http://www.twitter.com/NathanBLawrence/status/994618731547447296", "994618731547447296")</f>
        <v/>
      </c>
      <c r="B1242" s="2" t="n">
        <v>43230.69628472222</v>
      </c>
      <c r="C1242" t="n">
        <v>0</v>
      </c>
      <c r="D1242" t="n">
        <v>231</v>
      </c>
      <c r="E1242" t="s">
        <v>1253</v>
      </c>
      <c r="F1242">
        <f>HYPERLINK("http://pbs.twimg.com/media/Dc2GmlAXUAUgYDA.jpg", "http://pbs.twimg.com/media/Dc2GmlAXUAUgYDA.jpg")</f>
        <v/>
      </c>
      <c r="G1242" t="s"/>
      <c r="H1242" t="s"/>
      <c r="I1242" t="s"/>
      <c r="J1242" t="n">
        <v>0.5266999999999999</v>
      </c>
      <c r="K1242" t="n">
        <v>0</v>
      </c>
      <c r="L1242" t="n">
        <v>0.876</v>
      </c>
      <c r="M1242" t="n">
        <v>0.124</v>
      </c>
    </row>
    <row r="1243" spans="1:13">
      <c r="A1243" s="1">
        <f>HYPERLINK("http://www.twitter.com/NathanBLawrence/status/994618227576553472", "994618227576553472")</f>
        <v/>
      </c>
      <c r="B1243" s="2" t="n">
        <v>43230.69489583333</v>
      </c>
      <c r="C1243" t="n">
        <v>16</v>
      </c>
      <c r="D1243" t="n">
        <v>18</v>
      </c>
      <c r="E1243" t="s">
        <v>1254</v>
      </c>
      <c r="F1243" t="s"/>
      <c r="G1243" t="s"/>
      <c r="H1243" t="s"/>
      <c r="I1243" t="s"/>
      <c r="J1243" t="n">
        <v>-0.5707</v>
      </c>
      <c r="K1243" t="n">
        <v>0.135</v>
      </c>
      <c r="L1243" t="n">
        <v>0.865</v>
      </c>
      <c r="M1243" t="n">
        <v>0</v>
      </c>
    </row>
    <row r="1244" spans="1:13">
      <c r="A1244" s="1">
        <f>HYPERLINK("http://www.twitter.com/NathanBLawrence/status/994617911795896320", "994617911795896320")</f>
        <v/>
      </c>
      <c r="B1244" s="2" t="n">
        <v>43230.69401620371</v>
      </c>
      <c r="C1244" t="n">
        <v>0</v>
      </c>
      <c r="D1244" t="n">
        <v>206</v>
      </c>
      <c r="E1244" t="s">
        <v>1255</v>
      </c>
      <c r="F1244">
        <f>HYPERLINK("http://pbs.twimg.com/media/Db-N_pNX0AcOVdC.jpg", "http://pbs.twimg.com/media/Db-N_pNX0AcOVdC.jpg")</f>
        <v/>
      </c>
      <c r="G1244" t="s"/>
      <c r="H1244" t="s"/>
      <c r="I1244" t="s"/>
      <c r="J1244" t="n">
        <v>0</v>
      </c>
      <c r="K1244" t="n">
        <v>0</v>
      </c>
      <c r="L1244" t="n">
        <v>1</v>
      </c>
      <c r="M1244" t="n">
        <v>0</v>
      </c>
    </row>
    <row r="1245" spans="1:13">
      <c r="A1245" s="1">
        <f>HYPERLINK("http://www.twitter.com/NathanBLawrence/status/994617292427161600", "994617292427161600")</f>
        <v/>
      </c>
      <c r="B1245" s="2" t="n">
        <v>43230.69231481481</v>
      </c>
      <c r="C1245" t="n">
        <v>0</v>
      </c>
      <c r="D1245" t="n">
        <v>228</v>
      </c>
      <c r="E1245" t="s">
        <v>1256</v>
      </c>
      <c r="F1245">
        <f>HYPERLINK("http://pbs.twimg.com/media/Dc15P67VwAAJA6b.jpg", "http://pbs.twimg.com/media/Dc15P67VwAAJA6b.jpg")</f>
        <v/>
      </c>
      <c r="G1245" t="s"/>
      <c r="H1245" t="s"/>
      <c r="I1245" t="s"/>
      <c r="J1245" t="n">
        <v>-0.6486</v>
      </c>
      <c r="K1245" t="n">
        <v>0.227</v>
      </c>
      <c r="L1245" t="n">
        <v>0.773</v>
      </c>
      <c r="M1245" t="n">
        <v>0</v>
      </c>
    </row>
    <row r="1246" spans="1:13">
      <c r="A1246" s="1">
        <f>HYPERLINK("http://www.twitter.com/NathanBLawrence/status/994616977208426496", "994616977208426496")</f>
        <v/>
      </c>
      <c r="B1246" s="2" t="n">
        <v>43230.69144675926</v>
      </c>
      <c r="C1246" t="n">
        <v>4</v>
      </c>
      <c r="D1246" t="n">
        <v>1</v>
      </c>
      <c r="E1246" t="s">
        <v>1257</v>
      </c>
      <c r="F1246" t="s"/>
      <c r="G1246" t="s"/>
      <c r="H1246" t="s"/>
      <c r="I1246" t="s"/>
      <c r="J1246" t="n">
        <v>0.09660000000000001</v>
      </c>
      <c r="K1246" t="n">
        <v>0.126</v>
      </c>
      <c r="L1246" t="n">
        <v>0.6840000000000001</v>
      </c>
      <c r="M1246" t="n">
        <v>0.191</v>
      </c>
    </row>
    <row r="1247" spans="1:13">
      <c r="A1247" s="1">
        <f>HYPERLINK("http://www.twitter.com/NathanBLawrence/status/994612658228707328", "994612658228707328")</f>
        <v/>
      </c>
      <c r="B1247" s="2" t="n">
        <v>43230.67952546296</v>
      </c>
      <c r="C1247" t="n">
        <v>7</v>
      </c>
      <c r="D1247" t="n">
        <v>4</v>
      </c>
      <c r="E1247" t="s">
        <v>1258</v>
      </c>
      <c r="F1247" t="s"/>
      <c r="G1247" t="s"/>
      <c r="H1247" t="s"/>
      <c r="I1247" t="s"/>
      <c r="J1247" t="n">
        <v>-0.4939</v>
      </c>
      <c r="K1247" t="n">
        <v>0.286</v>
      </c>
      <c r="L1247" t="n">
        <v>0.714</v>
      </c>
      <c r="M1247" t="n">
        <v>0</v>
      </c>
    </row>
    <row r="1248" spans="1:13">
      <c r="A1248" s="1">
        <f>HYPERLINK("http://www.twitter.com/NathanBLawrence/status/994610795517435904", "994610795517435904")</f>
        <v/>
      </c>
      <c r="B1248" s="2" t="n">
        <v>43230.67438657407</v>
      </c>
      <c r="C1248" t="n">
        <v>8</v>
      </c>
      <c r="D1248" t="n">
        <v>5</v>
      </c>
      <c r="E1248" t="s">
        <v>1259</v>
      </c>
      <c r="F1248" t="s"/>
      <c r="G1248" t="s"/>
      <c r="H1248" t="s"/>
      <c r="I1248" t="s"/>
      <c r="J1248" t="n">
        <v>-0.6408</v>
      </c>
      <c r="K1248" t="n">
        <v>0.127</v>
      </c>
      <c r="L1248" t="n">
        <v>0.873</v>
      </c>
      <c r="M1248" t="n">
        <v>0</v>
      </c>
    </row>
    <row r="1249" spans="1:13">
      <c r="A1249" s="1">
        <f>HYPERLINK("http://www.twitter.com/NathanBLawrence/status/994610390309814272", "994610390309814272")</f>
        <v/>
      </c>
      <c r="B1249" s="2" t="n">
        <v>43230.67326388889</v>
      </c>
      <c r="C1249" t="n">
        <v>9</v>
      </c>
      <c r="D1249" t="n">
        <v>5</v>
      </c>
      <c r="E1249" t="s">
        <v>1260</v>
      </c>
      <c r="F1249" t="s"/>
      <c r="G1249" t="s"/>
      <c r="H1249" t="s"/>
      <c r="I1249" t="s"/>
      <c r="J1249" t="n">
        <v>0.1027</v>
      </c>
      <c r="K1249" t="n">
        <v>0.08599999999999999</v>
      </c>
      <c r="L1249" t="n">
        <v>0.801</v>
      </c>
      <c r="M1249" t="n">
        <v>0.113</v>
      </c>
    </row>
    <row r="1250" spans="1:13">
      <c r="A1250" s="1">
        <f>HYPERLINK("http://www.twitter.com/NathanBLawrence/status/994609721012203520", "994609721012203520")</f>
        <v/>
      </c>
      <c r="B1250" s="2" t="n">
        <v>43230.67142361111</v>
      </c>
      <c r="C1250" t="n">
        <v>1</v>
      </c>
      <c r="D1250" t="n">
        <v>0</v>
      </c>
      <c r="E1250" t="s">
        <v>1261</v>
      </c>
      <c r="F1250" t="s"/>
      <c r="G1250" t="s"/>
      <c r="H1250" t="s"/>
      <c r="I1250" t="s"/>
      <c r="J1250" t="n">
        <v>-0.765</v>
      </c>
      <c r="K1250" t="n">
        <v>0.398</v>
      </c>
      <c r="L1250" t="n">
        <v>0.602</v>
      </c>
      <c r="M1250" t="n">
        <v>0</v>
      </c>
    </row>
    <row r="1251" spans="1:13">
      <c r="A1251" s="1">
        <f>HYPERLINK("http://www.twitter.com/NathanBLawrence/status/994608567687655430", "994608567687655430")</f>
        <v/>
      </c>
      <c r="B1251" s="2" t="n">
        <v>43230.66824074074</v>
      </c>
      <c r="C1251" t="n">
        <v>0</v>
      </c>
      <c r="D1251" t="n">
        <v>1</v>
      </c>
      <c r="E1251" t="s">
        <v>1262</v>
      </c>
      <c r="F1251" t="s"/>
      <c r="G1251" t="s"/>
      <c r="H1251" t="s"/>
      <c r="I1251" t="s"/>
      <c r="J1251" t="n">
        <v>-0.4215</v>
      </c>
      <c r="K1251" t="n">
        <v>0.177</v>
      </c>
      <c r="L1251" t="n">
        <v>0.823</v>
      </c>
      <c r="M1251" t="n">
        <v>0</v>
      </c>
    </row>
    <row r="1252" spans="1:13">
      <c r="A1252" s="1">
        <f>HYPERLINK("http://www.twitter.com/NathanBLawrence/status/994608332466929664", "994608332466929664")</f>
        <v/>
      </c>
      <c r="B1252" s="2" t="n">
        <v>43230.6675925926</v>
      </c>
      <c r="C1252" t="n">
        <v>12</v>
      </c>
      <c r="D1252" t="n">
        <v>5</v>
      </c>
      <c r="E1252" t="s">
        <v>1263</v>
      </c>
      <c r="F1252" t="s"/>
      <c r="G1252" t="s"/>
      <c r="H1252" t="s"/>
      <c r="I1252" t="s"/>
      <c r="J1252" t="n">
        <v>0.3387</v>
      </c>
      <c r="K1252" t="n">
        <v>0.145</v>
      </c>
      <c r="L1252" t="n">
        <v>0.674</v>
      </c>
      <c r="M1252" t="n">
        <v>0.181</v>
      </c>
    </row>
    <row r="1253" spans="1:13">
      <c r="A1253" s="1">
        <f>HYPERLINK("http://www.twitter.com/NathanBLawrence/status/994607312928034817", "994607312928034817")</f>
        <v/>
      </c>
      <c r="B1253" s="2" t="n">
        <v>43230.66476851852</v>
      </c>
      <c r="C1253" t="n">
        <v>8</v>
      </c>
      <c r="D1253" t="n">
        <v>2</v>
      </c>
      <c r="E1253" t="s">
        <v>1264</v>
      </c>
      <c r="F1253" t="s"/>
      <c r="G1253" t="s"/>
      <c r="H1253" t="s"/>
      <c r="I1253" t="s"/>
      <c r="J1253" t="n">
        <v>-0.3382</v>
      </c>
      <c r="K1253" t="n">
        <v>0.123</v>
      </c>
      <c r="L1253" t="n">
        <v>0.877</v>
      </c>
      <c r="M1253" t="n">
        <v>0</v>
      </c>
    </row>
    <row r="1254" spans="1:13">
      <c r="A1254" s="1">
        <f>HYPERLINK("http://www.twitter.com/NathanBLawrence/status/994607094895591424", "994607094895591424")</f>
        <v/>
      </c>
      <c r="B1254" s="2" t="n">
        <v>43230.66416666667</v>
      </c>
      <c r="C1254" t="n">
        <v>6</v>
      </c>
      <c r="D1254" t="n">
        <v>2</v>
      </c>
      <c r="E1254" t="s">
        <v>1265</v>
      </c>
      <c r="F1254" t="s"/>
      <c r="G1254" t="s"/>
      <c r="H1254" t="s"/>
      <c r="I1254" t="s"/>
      <c r="J1254" t="n">
        <v>0.4926</v>
      </c>
      <c r="K1254" t="n">
        <v>0</v>
      </c>
      <c r="L1254" t="n">
        <v>0.929</v>
      </c>
      <c r="M1254" t="n">
        <v>0.07099999999999999</v>
      </c>
    </row>
    <row r="1255" spans="1:13">
      <c r="A1255" s="1">
        <f>HYPERLINK("http://www.twitter.com/NathanBLawrence/status/994606805983444992", "994606805983444992")</f>
        <v/>
      </c>
      <c r="B1255" s="2" t="n">
        <v>43230.66337962963</v>
      </c>
      <c r="C1255" t="n">
        <v>1</v>
      </c>
      <c r="D1255" t="n">
        <v>1</v>
      </c>
      <c r="E1255" t="s">
        <v>1266</v>
      </c>
      <c r="F1255" t="s"/>
      <c r="G1255" t="s"/>
      <c r="H1255" t="s"/>
      <c r="I1255" t="s"/>
      <c r="J1255" t="n">
        <v>0</v>
      </c>
      <c r="K1255" t="n">
        <v>0</v>
      </c>
      <c r="L1255" t="n">
        <v>1</v>
      </c>
      <c r="M1255" t="n">
        <v>0</v>
      </c>
    </row>
    <row r="1256" spans="1:13">
      <c r="A1256" s="1">
        <f>HYPERLINK("http://www.twitter.com/NathanBLawrence/status/994606438319177728", "994606438319177728")</f>
        <v/>
      </c>
      <c r="B1256" s="2" t="n">
        <v>43230.66236111111</v>
      </c>
      <c r="C1256" t="n">
        <v>2</v>
      </c>
      <c r="D1256" t="n">
        <v>2</v>
      </c>
      <c r="E1256" t="s">
        <v>1267</v>
      </c>
      <c r="F1256" t="s"/>
      <c r="G1256" t="s"/>
      <c r="H1256" t="s"/>
      <c r="I1256" t="s"/>
      <c r="J1256" t="n">
        <v>0.3182</v>
      </c>
      <c r="K1256" t="n">
        <v>0.055</v>
      </c>
      <c r="L1256" t="n">
        <v>0.842</v>
      </c>
      <c r="M1256" t="n">
        <v>0.103</v>
      </c>
    </row>
    <row r="1257" spans="1:13">
      <c r="A1257" s="1">
        <f>HYPERLINK("http://www.twitter.com/NathanBLawrence/status/994602742491500544", "994602742491500544")</f>
        <v/>
      </c>
      <c r="B1257" s="2" t="n">
        <v>43230.65216435185</v>
      </c>
      <c r="C1257" t="n">
        <v>10</v>
      </c>
      <c r="D1257" t="n">
        <v>6</v>
      </c>
      <c r="E1257" t="s">
        <v>1268</v>
      </c>
      <c r="F1257" t="s"/>
      <c r="G1257" t="s"/>
      <c r="H1257" t="s"/>
      <c r="I1257" t="s"/>
      <c r="J1257" t="n">
        <v>0.7269</v>
      </c>
      <c r="K1257" t="n">
        <v>0.127</v>
      </c>
      <c r="L1257" t="n">
        <v>0.644</v>
      </c>
      <c r="M1257" t="n">
        <v>0.229</v>
      </c>
    </row>
    <row r="1258" spans="1:13">
      <c r="A1258" s="1">
        <f>HYPERLINK("http://www.twitter.com/NathanBLawrence/status/994601910987509760", "994601910987509760")</f>
        <v/>
      </c>
      <c r="B1258" s="2" t="n">
        <v>43230.64987268519</v>
      </c>
      <c r="C1258" t="n">
        <v>12</v>
      </c>
      <c r="D1258" t="n">
        <v>9</v>
      </c>
      <c r="E1258" t="s">
        <v>1269</v>
      </c>
      <c r="F1258" t="s"/>
      <c r="G1258" t="s"/>
      <c r="H1258" t="s"/>
      <c r="I1258" t="s"/>
      <c r="J1258" t="n">
        <v>0.8126</v>
      </c>
      <c r="K1258" t="n">
        <v>0.073</v>
      </c>
      <c r="L1258" t="n">
        <v>0.646</v>
      </c>
      <c r="M1258" t="n">
        <v>0.281</v>
      </c>
    </row>
    <row r="1259" spans="1:13">
      <c r="A1259" s="1">
        <f>HYPERLINK("http://www.twitter.com/NathanBLawrence/status/994596566529859584", "994596566529859584")</f>
        <v/>
      </c>
      <c r="B1259" s="2" t="n">
        <v>43230.63511574074</v>
      </c>
      <c r="C1259" t="n">
        <v>0</v>
      </c>
      <c r="D1259" t="n">
        <v>11371</v>
      </c>
      <c r="E1259" t="s">
        <v>1270</v>
      </c>
      <c r="F1259" t="s"/>
      <c r="G1259" t="s"/>
      <c r="H1259" t="s"/>
      <c r="I1259" t="s"/>
      <c r="J1259" t="n">
        <v>-0.3818</v>
      </c>
      <c r="K1259" t="n">
        <v>0.126</v>
      </c>
      <c r="L1259" t="n">
        <v>0.874</v>
      </c>
      <c r="M1259" t="n">
        <v>0</v>
      </c>
    </row>
    <row r="1260" spans="1:13">
      <c r="A1260" s="1">
        <f>HYPERLINK("http://www.twitter.com/NathanBLawrence/status/994596516835704833", "994596516835704833")</f>
        <v/>
      </c>
      <c r="B1260" s="2" t="n">
        <v>43230.63497685185</v>
      </c>
      <c r="C1260" t="n">
        <v>0</v>
      </c>
      <c r="D1260" t="n">
        <v>14313</v>
      </c>
      <c r="E1260" t="s">
        <v>1271</v>
      </c>
      <c r="F1260" t="s"/>
      <c r="G1260" t="s"/>
      <c r="H1260" t="s"/>
      <c r="I1260" t="s"/>
      <c r="J1260" t="n">
        <v>0.128</v>
      </c>
      <c r="K1260" t="n">
        <v>0</v>
      </c>
      <c r="L1260" t="n">
        <v>0.9360000000000001</v>
      </c>
      <c r="M1260" t="n">
        <v>0.064</v>
      </c>
    </row>
    <row r="1261" spans="1:13">
      <c r="A1261" s="1">
        <f>HYPERLINK("http://www.twitter.com/NathanBLawrence/status/994596061908942848", "994596061908942848")</f>
        <v/>
      </c>
      <c r="B1261" s="2" t="n">
        <v>43230.63372685185</v>
      </c>
      <c r="C1261" t="n">
        <v>4</v>
      </c>
      <c r="D1261" t="n">
        <v>4</v>
      </c>
      <c r="E1261" t="s">
        <v>1272</v>
      </c>
      <c r="F1261" t="s"/>
      <c r="G1261" t="s"/>
      <c r="H1261" t="s"/>
      <c r="I1261" t="s"/>
      <c r="J1261" t="n">
        <v>-0.3182</v>
      </c>
      <c r="K1261" t="n">
        <v>0.161</v>
      </c>
      <c r="L1261" t="n">
        <v>0.839</v>
      </c>
      <c r="M1261" t="n">
        <v>0</v>
      </c>
    </row>
    <row r="1262" spans="1:13">
      <c r="A1262" s="1">
        <f>HYPERLINK("http://www.twitter.com/NathanBLawrence/status/994595864101335040", "994595864101335040")</f>
        <v/>
      </c>
      <c r="B1262" s="2" t="n">
        <v>43230.63318287037</v>
      </c>
      <c r="C1262" t="n">
        <v>14</v>
      </c>
      <c r="D1262" t="n">
        <v>6</v>
      </c>
      <c r="E1262" t="s">
        <v>1273</v>
      </c>
      <c r="F1262" t="s"/>
      <c r="G1262" t="s"/>
      <c r="H1262" t="s"/>
      <c r="I1262" t="s"/>
      <c r="J1262" t="n">
        <v>0.3164</v>
      </c>
      <c r="K1262" t="n">
        <v>0.138</v>
      </c>
      <c r="L1262" t="n">
        <v>0.667</v>
      </c>
      <c r="M1262" t="n">
        <v>0.195</v>
      </c>
    </row>
    <row r="1263" spans="1:13">
      <c r="A1263" s="1">
        <f>HYPERLINK("http://www.twitter.com/NathanBLawrence/status/994595017246167040", "994595017246167040")</f>
        <v/>
      </c>
      <c r="B1263" s="2" t="n">
        <v>43230.63084490741</v>
      </c>
      <c r="C1263" t="n">
        <v>8</v>
      </c>
      <c r="D1263" t="n">
        <v>7</v>
      </c>
      <c r="E1263" t="s">
        <v>1274</v>
      </c>
      <c r="F1263" t="s"/>
      <c r="G1263" t="s"/>
      <c r="H1263" t="s"/>
      <c r="I1263" t="s"/>
      <c r="J1263" t="n">
        <v>-0.2023</v>
      </c>
      <c r="K1263" t="n">
        <v>0.134</v>
      </c>
      <c r="L1263" t="n">
        <v>0.761</v>
      </c>
      <c r="M1263" t="n">
        <v>0.105</v>
      </c>
    </row>
    <row r="1264" spans="1:13">
      <c r="A1264" s="1">
        <f>HYPERLINK("http://www.twitter.com/NathanBLawrence/status/994594697401122816", "994594697401122816")</f>
        <v/>
      </c>
      <c r="B1264" s="2" t="n">
        <v>43230.62996527777</v>
      </c>
      <c r="C1264" t="n">
        <v>4</v>
      </c>
      <c r="D1264" t="n">
        <v>0</v>
      </c>
      <c r="E1264" t="s">
        <v>1275</v>
      </c>
      <c r="F1264" t="s"/>
      <c r="G1264" t="s"/>
      <c r="H1264" t="s"/>
      <c r="I1264" t="s"/>
      <c r="J1264" t="n">
        <v>-0.4767</v>
      </c>
      <c r="K1264" t="n">
        <v>0.129</v>
      </c>
      <c r="L1264" t="n">
        <v>0.871</v>
      </c>
      <c r="M1264" t="n">
        <v>0</v>
      </c>
    </row>
    <row r="1265" spans="1:13">
      <c r="A1265" s="1">
        <f>HYPERLINK("http://www.twitter.com/NathanBLawrence/status/994594627482140679", "994594627482140679")</f>
        <v/>
      </c>
      <c r="B1265" s="2" t="n">
        <v>43230.62976851852</v>
      </c>
      <c r="C1265" t="n">
        <v>3</v>
      </c>
      <c r="D1265" t="n">
        <v>1</v>
      </c>
      <c r="E1265" t="s">
        <v>1276</v>
      </c>
      <c r="F1265" t="s"/>
      <c r="G1265" t="s"/>
      <c r="H1265" t="s"/>
      <c r="I1265" t="s"/>
      <c r="J1265" t="n">
        <v>0.5719</v>
      </c>
      <c r="K1265" t="n">
        <v>0.136</v>
      </c>
      <c r="L1265" t="n">
        <v>0.576</v>
      </c>
      <c r="M1265" t="n">
        <v>0.288</v>
      </c>
    </row>
    <row r="1266" spans="1:13">
      <c r="A1266" s="1">
        <f>HYPERLINK("http://www.twitter.com/NathanBLawrence/status/994594523064889346", "994594523064889346")</f>
        <v/>
      </c>
      <c r="B1266" s="2" t="n">
        <v>43230.62947916667</v>
      </c>
      <c r="C1266" t="n">
        <v>6</v>
      </c>
      <c r="D1266" t="n">
        <v>3</v>
      </c>
      <c r="E1266" t="s">
        <v>1277</v>
      </c>
      <c r="F1266" t="s"/>
      <c r="G1266" t="s"/>
      <c r="H1266" t="s"/>
      <c r="I1266" t="s"/>
      <c r="J1266" t="n">
        <v>0.784</v>
      </c>
      <c r="K1266" t="n">
        <v>0</v>
      </c>
      <c r="L1266" t="n">
        <v>0.533</v>
      </c>
      <c r="M1266" t="n">
        <v>0.467</v>
      </c>
    </row>
    <row r="1267" spans="1:13">
      <c r="A1267" s="1">
        <f>HYPERLINK("http://www.twitter.com/NathanBLawrence/status/994589977785782272", "994589977785782272")</f>
        <v/>
      </c>
      <c r="B1267" s="2" t="n">
        <v>43230.61693287037</v>
      </c>
      <c r="C1267" t="n">
        <v>0</v>
      </c>
      <c r="D1267" t="n">
        <v>16</v>
      </c>
      <c r="E1267" t="s">
        <v>1278</v>
      </c>
      <c r="F1267" t="s"/>
      <c r="G1267" t="s"/>
      <c r="H1267" t="s"/>
      <c r="I1267" t="s"/>
      <c r="J1267" t="n">
        <v>-0.7269</v>
      </c>
      <c r="K1267" t="n">
        <v>0.289</v>
      </c>
      <c r="L1267" t="n">
        <v>0.711</v>
      </c>
      <c r="M1267" t="n">
        <v>0</v>
      </c>
    </row>
    <row r="1268" spans="1:13">
      <c r="A1268" s="1">
        <f>HYPERLINK("http://www.twitter.com/NathanBLawrence/status/994589824785924096", "994589824785924096")</f>
        <v/>
      </c>
      <c r="B1268" s="2" t="n">
        <v>43230.61651620371</v>
      </c>
      <c r="C1268" t="n">
        <v>0</v>
      </c>
      <c r="D1268" t="n">
        <v>12</v>
      </c>
      <c r="E1268" t="s">
        <v>1279</v>
      </c>
      <c r="F1268">
        <f>HYPERLINK("http://pbs.twimg.com/media/Dc0YjGzVAAEpRZd.jpg", "http://pbs.twimg.com/media/Dc0YjGzVAAEpRZd.jpg")</f>
        <v/>
      </c>
      <c r="G1268" t="s"/>
      <c r="H1268" t="s"/>
      <c r="I1268" t="s"/>
      <c r="J1268" t="n">
        <v>0.4374</v>
      </c>
      <c r="K1268" t="n">
        <v>0</v>
      </c>
      <c r="L1268" t="n">
        <v>0.893</v>
      </c>
      <c r="M1268" t="n">
        <v>0.107</v>
      </c>
    </row>
    <row r="1269" spans="1:13">
      <c r="A1269" s="1">
        <f>HYPERLINK("http://www.twitter.com/NathanBLawrence/status/994482390889218048", "994482390889218048")</f>
        <v/>
      </c>
      <c r="B1269" s="2" t="n">
        <v>43230.32005787037</v>
      </c>
      <c r="C1269" t="n">
        <v>8</v>
      </c>
      <c r="D1269" t="n">
        <v>2</v>
      </c>
      <c r="E1269" t="s">
        <v>1280</v>
      </c>
      <c r="F1269" t="s"/>
      <c r="G1269" t="s"/>
      <c r="H1269" t="s"/>
      <c r="I1269" t="s"/>
      <c r="J1269" t="n">
        <v>0</v>
      </c>
      <c r="K1269" t="n">
        <v>0</v>
      </c>
      <c r="L1269" t="n">
        <v>1</v>
      </c>
      <c r="M1269" t="n">
        <v>0</v>
      </c>
    </row>
    <row r="1270" spans="1:13">
      <c r="A1270" s="1">
        <f>HYPERLINK("http://www.twitter.com/NathanBLawrence/status/994480970488164352", "994480970488164352")</f>
        <v/>
      </c>
      <c r="B1270" s="2" t="n">
        <v>43230.31613425926</v>
      </c>
      <c r="C1270" t="n">
        <v>7</v>
      </c>
      <c r="D1270" t="n">
        <v>2</v>
      </c>
      <c r="E1270" t="s">
        <v>1281</v>
      </c>
      <c r="F1270" t="s"/>
      <c r="G1270" t="s"/>
      <c r="H1270" t="s"/>
      <c r="I1270" t="s"/>
      <c r="J1270" t="n">
        <v>-0.8061</v>
      </c>
      <c r="K1270" t="n">
        <v>0.207</v>
      </c>
      <c r="L1270" t="n">
        <v>0.755</v>
      </c>
      <c r="M1270" t="n">
        <v>0.038</v>
      </c>
    </row>
    <row r="1271" spans="1:13">
      <c r="A1271" s="1">
        <f>HYPERLINK("http://www.twitter.com/NathanBLawrence/status/994478095791869953", "994478095791869953")</f>
        <v/>
      </c>
      <c r="B1271" s="2" t="n">
        <v>43230.30820601852</v>
      </c>
      <c r="C1271" t="n">
        <v>28</v>
      </c>
      <c r="D1271" t="n">
        <v>12</v>
      </c>
      <c r="E1271" t="s">
        <v>1282</v>
      </c>
      <c r="F1271">
        <f>HYPERLINK("http://pbs.twimg.com/media/Dc0YjGzVAAEpRZd.jpg", "http://pbs.twimg.com/media/Dc0YjGzVAAEpRZd.jpg")</f>
        <v/>
      </c>
      <c r="G1271" t="s"/>
      <c r="H1271" t="s"/>
      <c r="I1271" t="s"/>
      <c r="J1271" t="n">
        <v>0.9056</v>
      </c>
      <c r="K1271" t="n">
        <v>0</v>
      </c>
      <c r="L1271" t="n">
        <v>0.735</v>
      </c>
      <c r="M1271" t="n">
        <v>0.265</v>
      </c>
    </row>
    <row r="1272" spans="1:13">
      <c r="A1272" s="1">
        <f>HYPERLINK("http://www.twitter.com/NathanBLawrence/status/994476024522981376", "994476024522981376")</f>
        <v/>
      </c>
      <c r="B1272" s="2" t="n">
        <v>43230.30248842593</v>
      </c>
      <c r="C1272" t="n">
        <v>28</v>
      </c>
      <c r="D1272" t="n">
        <v>16</v>
      </c>
      <c r="E1272" t="s">
        <v>1283</v>
      </c>
      <c r="F1272" t="s"/>
      <c r="G1272" t="s"/>
      <c r="H1272" t="s"/>
      <c r="I1272" t="s"/>
      <c r="J1272" t="n">
        <v>-0.7269</v>
      </c>
      <c r="K1272" t="n">
        <v>0.319</v>
      </c>
      <c r="L1272" t="n">
        <v>0.681</v>
      </c>
      <c r="M1272" t="n">
        <v>0</v>
      </c>
    </row>
    <row r="1273" spans="1:13">
      <c r="A1273" s="1">
        <f>HYPERLINK("http://www.twitter.com/NathanBLawrence/status/994475920877539329", "994475920877539329")</f>
        <v/>
      </c>
      <c r="B1273" s="2" t="n">
        <v>43230.30219907407</v>
      </c>
      <c r="C1273" t="n">
        <v>1</v>
      </c>
      <c r="D1273" t="n">
        <v>1</v>
      </c>
      <c r="E1273" t="s">
        <v>1284</v>
      </c>
      <c r="F1273" t="s"/>
      <c r="G1273" t="s"/>
      <c r="H1273" t="s"/>
      <c r="I1273" t="s"/>
      <c r="J1273" t="n">
        <v>0.2235</v>
      </c>
      <c r="K1273" t="n">
        <v>0</v>
      </c>
      <c r="L1273" t="n">
        <v>0.864</v>
      </c>
      <c r="M1273" t="n">
        <v>0.136</v>
      </c>
    </row>
    <row r="1274" spans="1:13">
      <c r="A1274" s="1">
        <f>HYPERLINK("http://www.twitter.com/NathanBLawrence/status/994475509441425408", "994475509441425408")</f>
        <v/>
      </c>
      <c r="B1274" s="2" t="n">
        <v>43230.30106481481</v>
      </c>
      <c r="C1274" t="n">
        <v>6</v>
      </c>
      <c r="D1274" t="n">
        <v>2</v>
      </c>
      <c r="E1274" t="s">
        <v>1285</v>
      </c>
      <c r="F1274" t="s"/>
      <c r="G1274" t="s"/>
      <c r="H1274" t="s"/>
      <c r="I1274" t="s"/>
      <c r="J1274" t="n">
        <v>0</v>
      </c>
      <c r="K1274" t="n">
        <v>0</v>
      </c>
      <c r="L1274" t="n">
        <v>1</v>
      </c>
      <c r="M1274" t="n">
        <v>0</v>
      </c>
    </row>
    <row r="1275" spans="1:13">
      <c r="A1275" s="1">
        <f>HYPERLINK("http://www.twitter.com/NathanBLawrence/status/994468801432305664", "994468801432305664")</f>
        <v/>
      </c>
      <c r="B1275" s="2" t="n">
        <v>43230.28255787037</v>
      </c>
      <c r="C1275" t="n">
        <v>8</v>
      </c>
      <c r="D1275" t="n">
        <v>3</v>
      </c>
      <c r="E1275" t="s">
        <v>1286</v>
      </c>
      <c r="F1275" t="s"/>
      <c r="G1275" t="s"/>
      <c r="H1275" t="s"/>
      <c r="I1275" t="s"/>
      <c r="J1275" t="n">
        <v>0.8605</v>
      </c>
      <c r="K1275" t="n">
        <v>0</v>
      </c>
      <c r="L1275" t="n">
        <v>0.789</v>
      </c>
      <c r="M1275" t="n">
        <v>0.211</v>
      </c>
    </row>
    <row r="1276" spans="1:13">
      <c r="A1276" s="1">
        <f>HYPERLINK("http://www.twitter.com/NathanBLawrence/status/994466765819162624", "994466765819162624")</f>
        <v/>
      </c>
      <c r="B1276" s="2" t="n">
        <v>43230.27693287037</v>
      </c>
      <c r="C1276" t="n">
        <v>0</v>
      </c>
      <c r="D1276" t="n">
        <v>134</v>
      </c>
      <c r="E1276" t="s">
        <v>1287</v>
      </c>
      <c r="F1276" t="s"/>
      <c r="G1276" t="s"/>
      <c r="H1276" t="s"/>
      <c r="I1276" t="s"/>
      <c r="J1276" t="n">
        <v>0.3818</v>
      </c>
      <c r="K1276" t="n">
        <v>0</v>
      </c>
      <c r="L1276" t="n">
        <v>0.843</v>
      </c>
      <c r="M1276" t="n">
        <v>0.157</v>
      </c>
    </row>
    <row r="1277" spans="1:13">
      <c r="A1277" s="1">
        <f>HYPERLINK("http://www.twitter.com/NathanBLawrence/status/994466673154441216", "994466673154441216")</f>
        <v/>
      </c>
      <c r="B1277" s="2" t="n">
        <v>43230.27667824074</v>
      </c>
      <c r="C1277" t="n">
        <v>0</v>
      </c>
      <c r="D1277" t="n">
        <v>28</v>
      </c>
      <c r="E1277" t="s">
        <v>1288</v>
      </c>
      <c r="F1277">
        <f>HYPERLINK("http://pbs.twimg.com/media/DcQ82wgX0AA3OdB.jpg", "http://pbs.twimg.com/media/DcQ82wgX0AA3OdB.jpg")</f>
        <v/>
      </c>
      <c r="G1277" t="s"/>
      <c r="H1277" t="s"/>
      <c r="I1277" t="s"/>
      <c r="J1277" t="n">
        <v>0.8172</v>
      </c>
      <c r="K1277" t="n">
        <v>0</v>
      </c>
      <c r="L1277" t="n">
        <v>0.667</v>
      </c>
      <c r="M1277" t="n">
        <v>0.333</v>
      </c>
    </row>
    <row r="1278" spans="1:13">
      <c r="A1278" s="1">
        <f>HYPERLINK("http://www.twitter.com/NathanBLawrence/status/994461934484271105", "994461934484271105")</f>
        <v/>
      </c>
      <c r="B1278" s="2" t="n">
        <v>43230.26361111111</v>
      </c>
      <c r="C1278" t="n">
        <v>0</v>
      </c>
      <c r="D1278" t="n">
        <v>655</v>
      </c>
      <c r="E1278" t="s">
        <v>1289</v>
      </c>
      <c r="F1278" t="s"/>
      <c r="G1278" t="s"/>
      <c r="H1278" t="s"/>
      <c r="I1278" t="s"/>
      <c r="J1278" t="n">
        <v>0</v>
      </c>
      <c r="K1278" t="n">
        <v>0</v>
      </c>
      <c r="L1278" t="n">
        <v>1</v>
      </c>
      <c r="M1278" t="n">
        <v>0</v>
      </c>
    </row>
    <row r="1279" spans="1:13">
      <c r="A1279" s="1">
        <f>HYPERLINK("http://www.twitter.com/NathanBLawrence/status/994461848979161088", "994461848979161088")</f>
        <v/>
      </c>
      <c r="B1279" s="2" t="n">
        <v>43230.26336805556</v>
      </c>
      <c r="C1279" t="n">
        <v>3</v>
      </c>
      <c r="D1279" t="n">
        <v>0</v>
      </c>
      <c r="E1279" t="s">
        <v>1290</v>
      </c>
      <c r="F1279" t="s"/>
      <c r="G1279" t="s"/>
      <c r="H1279" t="s"/>
      <c r="I1279" t="s"/>
      <c r="J1279" t="n">
        <v>-0.966</v>
      </c>
      <c r="K1279" t="n">
        <v>0.386</v>
      </c>
      <c r="L1279" t="n">
        <v>0.574</v>
      </c>
      <c r="M1279" t="n">
        <v>0.04</v>
      </c>
    </row>
    <row r="1280" spans="1:13">
      <c r="A1280" s="1">
        <f>HYPERLINK("http://www.twitter.com/NathanBLawrence/status/994461548335710208", "994461548335710208")</f>
        <v/>
      </c>
      <c r="B1280" s="2" t="n">
        <v>43230.26253472222</v>
      </c>
      <c r="C1280" t="n">
        <v>5</v>
      </c>
      <c r="D1280" t="n">
        <v>1</v>
      </c>
      <c r="E1280" t="s">
        <v>1291</v>
      </c>
      <c r="F1280" t="s"/>
      <c r="G1280" t="s"/>
      <c r="H1280" t="s"/>
      <c r="I1280" t="s"/>
      <c r="J1280" t="n">
        <v>0.4404</v>
      </c>
      <c r="K1280" t="n">
        <v>0.153</v>
      </c>
      <c r="L1280" t="n">
        <v>0.611</v>
      </c>
      <c r="M1280" t="n">
        <v>0.236</v>
      </c>
    </row>
    <row r="1281" spans="1:13">
      <c r="A1281" s="1">
        <f>HYPERLINK("http://www.twitter.com/NathanBLawrence/status/994461435462758400", "994461435462758400")</f>
        <v/>
      </c>
      <c r="B1281" s="2" t="n">
        <v>43230.2622337963</v>
      </c>
      <c r="C1281" t="n">
        <v>0</v>
      </c>
      <c r="D1281" t="n">
        <v>12</v>
      </c>
      <c r="E1281" t="s">
        <v>1292</v>
      </c>
      <c r="F1281" t="s"/>
      <c r="G1281" t="s"/>
      <c r="H1281" t="s"/>
      <c r="I1281" t="s"/>
      <c r="J1281" t="n">
        <v>0.7301</v>
      </c>
      <c r="K1281" t="n">
        <v>0</v>
      </c>
      <c r="L1281" t="n">
        <v>0.735</v>
      </c>
      <c r="M1281" t="n">
        <v>0.265</v>
      </c>
    </row>
    <row r="1282" spans="1:13">
      <c r="A1282" s="1">
        <f>HYPERLINK("http://www.twitter.com/NathanBLawrence/status/994460784003444736", "994460784003444736")</f>
        <v/>
      </c>
      <c r="B1282" s="2" t="n">
        <v>43230.26042824074</v>
      </c>
      <c r="C1282" t="n">
        <v>5</v>
      </c>
      <c r="D1282" t="n">
        <v>6</v>
      </c>
      <c r="E1282" t="s">
        <v>1293</v>
      </c>
      <c r="F1282" t="s"/>
      <c r="G1282" t="s"/>
      <c r="H1282" t="s"/>
      <c r="I1282" t="s"/>
      <c r="J1282" t="n">
        <v>0</v>
      </c>
      <c r="K1282" t="n">
        <v>0</v>
      </c>
      <c r="L1282" t="n">
        <v>1</v>
      </c>
      <c r="M1282" t="n">
        <v>0</v>
      </c>
    </row>
    <row r="1283" spans="1:13">
      <c r="A1283" s="1">
        <f>HYPERLINK("http://www.twitter.com/NathanBLawrence/status/994460683281432576", "994460683281432576")</f>
        <v/>
      </c>
      <c r="B1283" s="2" t="n">
        <v>43230.26015046296</v>
      </c>
      <c r="C1283" t="n">
        <v>6</v>
      </c>
      <c r="D1283" t="n">
        <v>3</v>
      </c>
      <c r="E1283" t="s">
        <v>1294</v>
      </c>
      <c r="F1283" t="s"/>
      <c r="G1283" t="s"/>
      <c r="H1283" t="s"/>
      <c r="I1283" t="s"/>
      <c r="J1283" t="n">
        <v>0.5719</v>
      </c>
      <c r="K1283" t="n">
        <v>0.136</v>
      </c>
      <c r="L1283" t="n">
        <v>0.576</v>
      </c>
      <c r="M1283" t="n">
        <v>0.288</v>
      </c>
    </row>
    <row r="1284" spans="1:13">
      <c r="A1284" s="1">
        <f>HYPERLINK("http://www.twitter.com/NathanBLawrence/status/994460209341857792", "994460209341857792")</f>
        <v/>
      </c>
      <c r="B1284" s="2" t="n">
        <v>43230.25884259259</v>
      </c>
      <c r="C1284" t="n">
        <v>11</v>
      </c>
      <c r="D1284" t="n">
        <v>5</v>
      </c>
      <c r="E1284" t="s">
        <v>1295</v>
      </c>
      <c r="F1284" t="s"/>
      <c r="G1284" t="s"/>
      <c r="H1284" t="s"/>
      <c r="I1284" t="s"/>
      <c r="J1284" t="n">
        <v>0.6892</v>
      </c>
      <c r="K1284" t="n">
        <v>0</v>
      </c>
      <c r="L1284" t="n">
        <v>0.794</v>
      </c>
      <c r="M1284" t="n">
        <v>0.206</v>
      </c>
    </row>
    <row r="1285" spans="1:13">
      <c r="A1285" s="1">
        <f>HYPERLINK("http://www.twitter.com/NathanBLawrence/status/994451689364119555", "994451689364119555")</f>
        <v/>
      </c>
      <c r="B1285" s="2" t="n">
        <v>43230.23533564815</v>
      </c>
      <c r="C1285" t="n">
        <v>0</v>
      </c>
      <c r="D1285" t="n">
        <v>1627</v>
      </c>
      <c r="E1285" t="s">
        <v>1296</v>
      </c>
      <c r="F1285">
        <f>HYPERLINK("https://video.twimg.com/ext_tw_video/994349276527452161/pu/vid/638x360/cFjfM4X9XECzZPfd.mp4?tag=3", "https://video.twimg.com/ext_tw_video/994349276527452161/pu/vid/638x360/cFjfM4X9XECzZPfd.mp4?tag=3")</f>
        <v/>
      </c>
      <c r="G1285" t="s"/>
      <c r="H1285" t="s"/>
      <c r="I1285" t="s"/>
      <c r="J1285" t="n">
        <v>-0.6808</v>
      </c>
      <c r="K1285" t="n">
        <v>0.228</v>
      </c>
      <c r="L1285" t="n">
        <v>0.772</v>
      </c>
      <c r="M1285" t="n">
        <v>0</v>
      </c>
    </row>
    <row r="1286" spans="1:13">
      <c r="A1286" s="1">
        <f>HYPERLINK("http://www.twitter.com/NathanBLawrence/status/994451161393475585", "994451161393475585")</f>
        <v/>
      </c>
      <c r="B1286" s="2" t="n">
        <v>43230.23387731481</v>
      </c>
      <c r="C1286" t="n">
        <v>9</v>
      </c>
      <c r="D1286" t="n">
        <v>3</v>
      </c>
      <c r="E1286" t="s">
        <v>1297</v>
      </c>
      <c r="F1286" t="s"/>
      <c r="G1286" t="s"/>
      <c r="H1286" t="s"/>
      <c r="I1286" t="s"/>
      <c r="J1286" t="n">
        <v>0.9358</v>
      </c>
      <c r="K1286" t="n">
        <v>0</v>
      </c>
      <c r="L1286" t="n">
        <v>0.5580000000000001</v>
      </c>
      <c r="M1286" t="n">
        <v>0.442</v>
      </c>
    </row>
    <row r="1287" spans="1:13">
      <c r="A1287" s="1">
        <f>HYPERLINK("http://www.twitter.com/NathanBLawrence/status/994448948394803200", "994448948394803200")</f>
        <v/>
      </c>
      <c r="B1287" s="2" t="n">
        <v>43230.2277662037</v>
      </c>
      <c r="C1287" t="n">
        <v>10</v>
      </c>
      <c r="D1287" t="n">
        <v>6</v>
      </c>
      <c r="E1287" t="s">
        <v>1298</v>
      </c>
      <c r="F1287" t="s"/>
      <c r="G1287" t="s"/>
      <c r="H1287" t="s"/>
      <c r="I1287" t="s"/>
      <c r="J1287" t="n">
        <v>-0.802</v>
      </c>
      <c r="K1287" t="n">
        <v>0.311</v>
      </c>
      <c r="L1287" t="n">
        <v>0.518</v>
      </c>
      <c r="M1287" t="n">
        <v>0.171</v>
      </c>
    </row>
    <row r="1288" spans="1:13">
      <c r="A1288" s="1">
        <f>HYPERLINK("http://www.twitter.com/NathanBLawrence/status/994446270126215168", "994446270126215168")</f>
        <v/>
      </c>
      <c r="B1288" s="2" t="n">
        <v>43230.22038194445</v>
      </c>
      <c r="C1288" t="n">
        <v>4</v>
      </c>
      <c r="D1288" t="n">
        <v>1</v>
      </c>
      <c r="E1288" t="s">
        <v>1299</v>
      </c>
      <c r="F1288" t="s"/>
      <c r="G1288" t="s"/>
      <c r="H1288" t="s"/>
      <c r="I1288" t="s"/>
      <c r="J1288" t="n">
        <v>0</v>
      </c>
      <c r="K1288" t="n">
        <v>0</v>
      </c>
      <c r="L1288" t="n">
        <v>1</v>
      </c>
      <c r="M1288" t="n">
        <v>0</v>
      </c>
    </row>
    <row r="1289" spans="1:13">
      <c r="A1289" s="1">
        <f>HYPERLINK("http://www.twitter.com/NathanBLawrence/status/994446121723285505", "994446121723285505")</f>
        <v/>
      </c>
      <c r="B1289" s="2" t="n">
        <v>43230.21996527778</v>
      </c>
      <c r="C1289" t="n">
        <v>11</v>
      </c>
      <c r="D1289" t="n">
        <v>3</v>
      </c>
      <c r="E1289" t="s">
        <v>1300</v>
      </c>
      <c r="F1289" t="s"/>
      <c r="G1289" t="s"/>
      <c r="H1289" t="s"/>
      <c r="I1289" t="s"/>
      <c r="J1289" t="n">
        <v>0.5719</v>
      </c>
      <c r="K1289" t="n">
        <v>0</v>
      </c>
      <c r="L1289" t="n">
        <v>0.73</v>
      </c>
      <c r="M1289" t="n">
        <v>0.27</v>
      </c>
    </row>
    <row r="1290" spans="1:13">
      <c r="A1290" s="1">
        <f>HYPERLINK("http://www.twitter.com/NathanBLawrence/status/994446003477467137", "994446003477467137")</f>
        <v/>
      </c>
      <c r="B1290" s="2" t="n">
        <v>43230.2196412037</v>
      </c>
      <c r="C1290" t="n">
        <v>3</v>
      </c>
      <c r="D1290" t="n">
        <v>3</v>
      </c>
      <c r="E1290" t="s">
        <v>1301</v>
      </c>
      <c r="F1290" t="s"/>
      <c r="G1290" t="s"/>
      <c r="H1290" t="s"/>
      <c r="I1290" t="s"/>
      <c r="J1290" t="n">
        <v>0</v>
      </c>
      <c r="K1290" t="n">
        <v>0</v>
      </c>
      <c r="L1290" t="n">
        <v>1</v>
      </c>
      <c r="M1290" t="n">
        <v>0</v>
      </c>
    </row>
    <row r="1291" spans="1:13">
      <c r="A1291" s="1">
        <f>HYPERLINK("http://www.twitter.com/NathanBLawrence/status/994445815731994625", "994445815731994625")</f>
        <v/>
      </c>
      <c r="B1291" s="2" t="n">
        <v>43230.21913194445</v>
      </c>
      <c r="C1291" t="n">
        <v>4</v>
      </c>
      <c r="D1291" t="n">
        <v>1</v>
      </c>
      <c r="E1291" t="s">
        <v>1302</v>
      </c>
      <c r="F1291" t="s"/>
      <c r="G1291" t="s"/>
      <c r="H1291" t="s"/>
      <c r="I1291" t="s"/>
      <c r="J1291" t="n">
        <v>0.5719</v>
      </c>
      <c r="K1291" t="n">
        <v>0</v>
      </c>
      <c r="L1291" t="n">
        <v>0.791</v>
      </c>
      <c r="M1291" t="n">
        <v>0.209</v>
      </c>
    </row>
    <row r="1292" spans="1:13">
      <c r="A1292" s="1">
        <f>HYPERLINK("http://www.twitter.com/NathanBLawrence/status/994445647171411968", "994445647171411968")</f>
        <v/>
      </c>
      <c r="B1292" s="2" t="n">
        <v>43230.21865740741</v>
      </c>
      <c r="C1292" t="n">
        <v>1</v>
      </c>
      <c r="D1292" t="n">
        <v>3</v>
      </c>
      <c r="E1292" t="s">
        <v>1303</v>
      </c>
      <c r="F1292" t="s"/>
      <c r="G1292" t="s"/>
      <c r="H1292" t="s"/>
      <c r="I1292" t="s"/>
      <c r="J1292" t="n">
        <v>-0.4939</v>
      </c>
      <c r="K1292" t="n">
        <v>0.211</v>
      </c>
      <c r="L1292" t="n">
        <v>0.789</v>
      </c>
      <c r="M1292" t="n">
        <v>0</v>
      </c>
    </row>
    <row r="1293" spans="1:13">
      <c r="A1293" s="1">
        <f>HYPERLINK("http://www.twitter.com/NathanBLawrence/status/994445453369397248", "994445453369397248")</f>
        <v/>
      </c>
      <c r="B1293" s="2" t="n">
        <v>43230.218125</v>
      </c>
      <c r="C1293" t="n">
        <v>6</v>
      </c>
      <c r="D1293" t="n">
        <v>10</v>
      </c>
      <c r="E1293" t="s">
        <v>1304</v>
      </c>
      <c r="F1293" t="s"/>
      <c r="G1293" t="s"/>
      <c r="H1293" t="s"/>
      <c r="I1293" t="s"/>
      <c r="J1293" t="n">
        <v>-0.6523</v>
      </c>
      <c r="K1293" t="n">
        <v>0.182</v>
      </c>
      <c r="L1293" t="n">
        <v>0.8179999999999999</v>
      </c>
      <c r="M1293" t="n">
        <v>0</v>
      </c>
    </row>
    <row r="1294" spans="1:13">
      <c r="A1294" s="1">
        <f>HYPERLINK("http://www.twitter.com/NathanBLawrence/status/994434074910457856", "994434074910457856")</f>
        <v/>
      </c>
      <c r="B1294" s="2" t="n">
        <v>43230.18672453704</v>
      </c>
      <c r="C1294" t="n">
        <v>10</v>
      </c>
      <c r="D1294" t="n">
        <v>7</v>
      </c>
      <c r="E1294" t="s">
        <v>1305</v>
      </c>
      <c r="F1294" t="s"/>
      <c r="G1294" t="s"/>
      <c r="H1294" t="s"/>
      <c r="I1294" t="s"/>
      <c r="J1294" t="n">
        <v>-0.4767</v>
      </c>
      <c r="K1294" t="n">
        <v>0.256</v>
      </c>
      <c r="L1294" t="n">
        <v>0.744</v>
      </c>
      <c r="M1294" t="n">
        <v>0</v>
      </c>
    </row>
    <row r="1295" spans="1:13">
      <c r="A1295" s="1">
        <f>HYPERLINK("http://www.twitter.com/NathanBLawrence/status/994433622131204098", "994433622131204098")</f>
        <v/>
      </c>
      <c r="B1295" s="2" t="n">
        <v>43230.18547453704</v>
      </c>
      <c r="C1295" t="n">
        <v>8</v>
      </c>
      <c r="D1295" t="n">
        <v>6</v>
      </c>
      <c r="E1295" t="s">
        <v>1306</v>
      </c>
      <c r="F1295" t="s"/>
      <c r="G1295" t="s"/>
      <c r="H1295" t="s"/>
      <c r="I1295" t="s"/>
      <c r="J1295" t="n">
        <v>-0.6089</v>
      </c>
      <c r="K1295" t="n">
        <v>0.153</v>
      </c>
      <c r="L1295" t="n">
        <v>0.847</v>
      </c>
      <c r="M1295" t="n">
        <v>0</v>
      </c>
    </row>
    <row r="1296" spans="1:13">
      <c r="A1296" s="1">
        <f>HYPERLINK("http://www.twitter.com/NathanBLawrence/status/994432979270221825", "994432979270221825")</f>
        <v/>
      </c>
      <c r="B1296" s="2" t="n">
        <v>43230.1837037037</v>
      </c>
      <c r="C1296" t="n">
        <v>15</v>
      </c>
      <c r="D1296" t="n">
        <v>9</v>
      </c>
      <c r="E1296" t="s">
        <v>1307</v>
      </c>
      <c r="F1296" t="s"/>
      <c r="G1296" t="s"/>
      <c r="H1296" t="s"/>
      <c r="I1296" t="s"/>
      <c r="J1296" t="n">
        <v>-0.4767</v>
      </c>
      <c r="K1296" t="n">
        <v>0.237</v>
      </c>
      <c r="L1296" t="n">
        <v>0.763</v>
      </c>
      <c r="M1296" t="n">
        <v>0</v>
      </c>
    </row>
    <row r="1297" spans="1:13">
      <c r="A1297" s="1">
        <f>HYPERLINK("http://www.twitter.com/NathanBLawrence/status/994431640448286720", "994431640448286720")</f>
        <v/>
      </c>
      <c r="B1297" s="2" t="n">
        <v>43230.18001157408</v>
      </c>
      <c r="C1297" t="n">
        <v>9</v>
      </c>
      <c r="D1297" t="n">
        <v>9</v>
      </c>
      <c r="E1297" t="s">
        <v>1308</v>
      </c>
      <c r="F1297" t="s"/>
      <c r="G1297" t="s"/>
      <c r="H1297" t="s"/>
      <c r="I1297" t="s"/>
      <c r="J1297" t="n">
        <v>0.2732</v>
      </c>
      <c r="K1297" t="n">
        <v>0.047</v>
      </c>
      <c r="L1297" t="n">
        <v>0.882</v>
      </c>
      <c r="M1297" t="n">
        <v>0.07099999999999999</v>
      </c>
    </row>
    <row r="1298" spans="1:13">
      <c r="A1298" s="1">
        <f>HYPERLINK("http://www.twitter.com/NathanBLawrence/status/994431286600126464", "994431286600126464")</f>
        <v/>
      </c>
      <c r="B1298" s="2" t="n">
        <v>43230.17903935185</v>
      </c>
      <c r="C1298" t="n">
        <v>13</v>
      </c>
      <c r="D1298" t="n">
        <v>16</v>
      </c>
      <c r="E1298" t="s">
        <v>1309</v>
      </c>
      <c r="F1298" t="s"/>
      <c r="G1298" t="s"/>
      <c r="H1298" t="s"/>
      <c r="I1298" t="s"/>
      <c r="J1298" t="n">
        <v>-0.7003</v>
      </c>
      <c r="K1298" t="n">
        <v>0.127</v>
      </c>
      <c r="L1298" t="n">
        <v>0.873</v>
      </c>
      <c r="M1298" t="n">
        <v>0</v>
      </c>
    </row>
    <row r="1299" spans="1:13">
      <c r="A1299" s="1">
        <f>HYPERLINK("http://www.twitter.com/NathanBLawrence/status/994430829546782721", "994430829546782721")</f>
        <v/>
      </c>
      <c r="B1299" s="2" t="n">
        <v>43230.17777777778</v>
      </c>
      <c r="C1299" t="n">
        <v>6</v>
      </c>
      <c r="D1299" t="n">
        <v>4</v>
      </c>
      <c r="E1299" t="s">
        <v>1310</v>
      </c>
      <c r="F1299" t="s"/>
      <c r="G1299" t="s"/>
      <c r="H1299" t="s"/>
      <c r="I1299" t="s"/>
      <c r="J1299" t="n">
        <v>-0.3612</v>
      </c>
      <c r="K1299" t="n">
        <v>0.143</v>
      </c>
      <c r="L1299" t="n">
        <v>0.857</v>
      </c>
      <c r="M1299" t="n">
        <v>0</v>
      </c>
    </row>
    <row r="1300" spans="1:13">
      <c r="A1300" s="1">
        <f>HYPERLINK("http://www.twitter.com/NathanBLawrence/status/994430304994512896", "994430304994512896")</f>
        <v/>
      </c>
      <c r="B1300" s="2" t="n">
        <v>43230.17631944444</v>
      </c>
      <c r="C1300" t="n">
        <v>4</v>
      </c>
      <c r="D1300" t="n">
        <v>4</v>
      </c>
      <c r="E1300" t="s">
        <v>1311</v>
      </c>
      <c r="F1300" t="s"/>
      <c r="G1300" t="s"/>
      <c r="H1300" t="s"/>
      <c r="I1300" t="s"/>
      <c r="J1300" t="n">
        <v>0</v>
      </c>
      <c r="K1300" t="n">
        <v>0</v>
      </c>
      <c r="L1300" t="n">
        <v>1</v>
      </c>
      <c r="M1300" t="n">
        <v>0</v>
      </c>
    </row>
    <row r="1301" spans="1:13">
      <c r="A1301" s="1">
        <f>HYPERLINK("http://www.twitter.com/NathanBLawrence/status/994429693678923776", "994429693678923776")</f>
        <v/>
      </c>
      <c r="B1301" s="2" t="n">
        <v>43230.1746412037</v>
      </c>
      <c r="C1301" t="n">
        <v>0</v>
      </c>
      <c r="D1301" t="n">
        <v>934</v>
      </c>
      <c r="E1301" t="s">
        <v>1312</v>
      </c>
      <c r="F1301" t="s"/>
      <c r="G1301" t="s"/>
      <c r="H1301" t="s"/>
      <c r="I1301" t="s"/>
      <c r="J1301" t="n">
        <v>0.2023</v>
      </c>
      <c r="K1301" t="n">
        <v>0</v>
      </c>
      <c r="L1301" t="n">
        <v>0.917</v>
      </c>
      <c r="M1301" t="n">
        <v>0.083</v>
      </c>
    </row>
    <row r="1302" spans="1:13">
      <c r="A1302" s="1">
        <f>HYPERLINK("http://www.twitter.com/NathanBLawrence/status/994429598296227840", "994429598296227840")</f>
        <v/>
      </c>
      <c r="B1302" s="2" t="n">
        <v>43230.174375</v>
      </c>
      <c r="C1302" t="n">
        <v>0</v>
      </c>
      <c r="D1302" t="n">
        <v>106</v>
      </c>
      <c r="E1302" t="s">
        <v>1313</v>
      </c>
      <c r="F1302">
        <f>HYPERLINK("http://pbs.twimg.com/media/DcyLI7hXUAA2P5y.jpg", "http://pbs.twimg.com/media/DcyLI7hXUAA2P5y.jpg")</f>
        <v/>
      </c>
      <c r="G1302" t="s"/>
      <c r="H1302" t="s"/>
      <c r="I1302" t="s"/>
      <c r="J1302" t="n">
        <v>-0.3182</v>
      </c>
      <c r="K1302" t="n">
        <v>0.173</v>
      </c>
      <c r="L1302" t="n">
        <v>0.827</v>
      </c>
      <c r="M1302" t="n">
        <v>0</v>
      </c>
    </row>
    <row r="1303" spans="1:13">
      <c r="A1303" s="1">
        <f>HYPERLINK("http://www.twitter.com/NathanBLawrence/status/994429430838652929", "994429430838652929")</f>
        <v/>
      </c>
      <c r="B1303" s="2" t="n">
        <v>43230.17391203704</v>
      </c>
      <c r="C1303" t="n">
        <v>12</v>
      </c>
      <c r="D1303" t="n">
        <v>4</v>
      </c>
      <c r="E1303" t="s">
        <v>1314</v>
      </c>
      <c r="F1303" t="s"/>
      <c r="G1303" t="s"/>
      <c r="H1303" t="s"/>
      <c r="I1303" t="s"/>
      <c r="J1303" t="n">
        <v>0.4404</v>
      </c>
      <c r="K1303" t="n">
        <v>0</v>
      </c>
      <c r="L1303" t="n">
        <v>0.927</v>
      </c>
      <c r="M1303" t="n">
        <v>0.073</v>
      </c>
    </row>
    <row r="1304" spans="1:13">
      <c r="A1304" s="1">
        <f>HYPERLINK("http://www.twitter.com/NathanBLawrence/status/994429048364326912", "994429048364326912")</f>
        <v/>
      </c>
      <c r="B1304" s="2" t="n">
        <v>43230.17285879629</v>
      </c>
      <c r="C1304" t="n">
        <v>0</v>
      </c>
      <c r="D1304" t="n">
        <v>5</v>
      </c>
      <c r="E1304" t="s">
        <v>1315</v>
      </c>
      <c r="F1304">
        <f>HYPERLINK("http://pbs.twimg.com/media/DczqsFVVQAALTyX.jpg", "http://pbs.twimg.com/media/DczqsFVVQAALTyX.jpg")</f>
        <v/>
      </c>
      <c r="G1304">
        <f>HYPERLINK("http://pbs.twimg.com/media/DczqsFXVQAAb1Gv.jpg", "http://pbs.twimg.com/media/DczqsFXVQAAb1Gv.jpg")</f>
        <v/>
      </c>
      <c r="H1304">
        <f>HYPERLINK("http://pbs.twimg.com/media/DczqsFPUwAAKUca.jpg", "http://pbs.twimg.com/media/DczqsFPUwAAKUca.jpg")</f>
        <v/>
      </c>
      <c r="I1304" t="s"/>
      <c r="J1304" t="n">
        <v>0</v>
      </c>
      <c r="K1304" t="n">
        <v>0</v>
      </c>
      <c r="L1304" t="n">
        <v>1</v>
      </c>
      <c r="M1304" t="n">
        <v>0</v>
      </c>
    </row>
    <row r="1305" spans="1:13">
      <c r="A1305" s="1">
        <f>HYPERLINK("http://www.twitter.com/NathanBLawrence/status/994429022493855744", "994429022493855744")</f>
        <v/>
      </c>
      <c r="B1305" s="2" t="n">
        <v>43230.17278935185</v>
      </c>
      <c r="C1305" t="n">
        <v>0</v>
      </c>
      <c r="D1305" t="n">
        <v>14</v>
      </c>
      <c r="E1305" t="s">
        <v>1316</v>
      </c>
      <c r="F1305">
        <f>HYPERLINK("http://pbs.twimg.com/media/DczqOgrU0AAD0j6.jpg", "http://pbs.twimg.com/media/DczqOgrU0AAD0j6.jpg")</f>
        <v/>
      </c>
      <c r="G1305" t="s"/>
      <c r="H1305" t="s"/>
      <c r="I1305" t="s"/>
      <c r="J1305" t="n">
        <v>-0.1027</v>
      </c>
      <c r="K1305" t="n">
        <v>0.118</v>
      </c>
      <c r="L1305" t="n">
        <v>0.784</v>
      </c>
      <c r="M1305" t="n">
        <v>0.098</v>
      </c>
    </row>
    <row r="1306" spans="1:13">
      <c r="A1306" s="1">
        <f>HYPERLINK("http://www.twitter.com/NathanBLawrence/status/994428763466219520", "994428763466219520")</f>
        <v/>
      </c>
      <c r="B1306" s="2" t="n">
        <v>43230.17207175926</v>
      </c>
      <c r="C1306" t="n">
        <v>10</v>
      </c>
      <c r="D1306" t="n">
        <v>6</v>
      </c>
      <c r="E1306" t="s">
        <v>1317</v>
      </c>
      <c r="F1306" t="s"/>
      <c r="G1306" t="s"/>
      <c r="H1306" t="s"/>
      <c r="I1306" t="s"/>
      <c r="J1306" t="n">
        <v>-0.8264</v>
      </c>
      <c r="K1306" t="n">
        <v>0.25</v>
      </c>
      <c r="L1306" t="n">
        <v>0.75</v>
      </c>
      <c r="M1306" t="n">
        <v>0</v>
      </c>
    </row>
    <row r="1307" spans="1:13">
      <c r="A1307" s="1">
        <f>HYPERLINK("http://www.twitter.com/NathanBLawrence/status/994428446703996930", "994428446703996930")</f>
        <v/>
      </c>
      <c r="B1307" s="2" t="n">
        <v>43230.17119212963</v>
      </c>
      <c r="C1307" t="n">
        <v>0</v>
      </c>
      <c r="D1307" t="n">
        <v>3</v>
      </c>
      <c r="E1307" t="s">
        <v>1318</v>
      </c>
      <c r="F1307" t="s"/>
      <c r="G1307" t="s"/>
      <c r="H1307" t="s"/>
      <c r="I1307" t="s"/>
      <c r="J1307" t="n">
        <v>-0.4466</v>
      </c>
      <c r="K1307" t="n">
        <v>0.184</v>
      </c>
      <c r="L1307" t="n">
        <v>0.8159999999999999</v>
      </c>
      <c r="M1307" t="n">
        <v>0</v>
      </c>
    </row>
    <row r="1308" spans="1:13">
      <c r="A1308" s="1">
        <f>HYPERLINK("http://www.twitter.com/NathanBLawrence/status/994428084680970240", "994428084680970240")</f>
        <v/>
      </c>
      <c r="B1308" s="2" t="n">
        <v>43230.17019675926</v>
      </c>
      <c r="C1308" t="n">
        <v>0</v>
      </c>
      <c r="D1308" t="n">
        <v>2761</v>
      </c>
      <c r="E1308" t="s">
        <v>1319</v>
      </c>
      <c r="F1308" t="s"/>
      <c r="G1308" t="s"/>
      <c r="H1308" t="s"/>
      <c r="I1308" t="s"/>
      <c r="J1308" t="n">
        <v>-0.5266999999999999</v>
      </c>
      <c r="K1308" t="n">
        <v>0.173</v>
      </c>
      <c r="L1308" t="n">
        <v>0.827</v>
      </c>
      <c r="M1308" t="n">
        <v>0</v>
      </c>
    </row>
    <row r="1309" spans="1:13">
      <c r="A1309" s="1">
        <f>HYPERLINK("http://www.twitter.com/NathanBLawrence/status/994426350223085568", "994426350223085568")</f>
        <v/>
      </c>
      <c r="B1309" s="2" t="n">
        <v>43230.16541666666</v>
      </c>
      <c r="C1309" t="n">
        <v>0</v>
      </c>
      <c r="D1309" t="n">
        <v>2286</v>
      </c>
      <c r="E1309" t="s">
        <v>1320</v>
      </c>
      <c r="F1309" t="s"/>
      <c r="G1309" t="s"/>
      <c r="H1309" t="s"/>
      <c r="I1309" t="s"/>
      <c r="J1309" t="n">
        <v>-0.2023</v>
      </c>
      <c r="K1309" t="n">
        <v>0.175</v>
      </c>
      <c r="L1309" t="n">
        <v>0.6840000000000001</v>
      </c>
      <c r="M1309" t="n">
        <v>0.141</v>
      </c>
    </row>
    <row r="1310" spans="1:13">
      <c r="A1310" s="1">
        <f>HYPERLINK("http://www.twitter.com/NathanBLawrence/status/994426253766606848", "994426253766606848")</f>
        <v/>
      </c>
      <c r="B1310" s="2" t="n">
        <v>43230.16515046296</v>
      </c>
      <c r="C1310" t="n">
        <v>0</v>
      </c>
      <c r="D1310" t="n">
        <v>19147</v>
      </c>
      <c r="E1310" t="s">
        <v>1321</v>
      </c>
      <c r="F1310" t="s"/>
      <c r="G1310" t="s"/>
      <c r="H1310" t="s"/>
      <c r="I1310" t="s"/>
      <c r="J1310" t="n">
        <v>0</v>
      </c>
      <c r="K1310" t="n">
        <v>0</v>
      </c>
      <c r="L1310" t="n">
        <v>1</v>
      </c>
      <c r="M1310" t="n">
        <v>0</v>
      </c>
    </row>
    <row r="1311" spans="1:13">
      <c r="A1311" s="1">
        <f>HYPERLINK("http://www.twitter.com/NathanBLawrence/status/994426231394189312", "994426231394189312")</f>
        <v/>
      </c>
      <c r="B1311" s="2" t="n">
        <v>43230.16508101852</v>
      </c>
      <c r="C1311" t="n">
        <v>0</v>
      </c>
      <c r="D1311" t="n">
        <v>11700</v>
      </c>
      <c r="E1311" t="s">
        <v>1322</v>
      </c>
      <c r="F1311" t="s"/>
      <c r="G1311" t="s"/>
      <c r="H1311" t="s"/>
      <c r="I1311" t="s"/>
      <c r="J1311" t="n">
        <v>-0.8316</v>
      </c>
      <c r="K1311" t="n">
        <v>0.371</v>
      </c>
      <c r="L1311" t="n">
        <v>0.54</v>
      </c>
      <c r="M1311" t="n">
        <v>0.09</v>
      </c>
    </row>
    <row r="1312" spans="1:13">
      <c r="A1312" s="1">
        <f>HYPERLINK("http://www.twitter.com/NathanBLawrence/status/994426190839468032", "994426190839468032")</f>
        <v/>
      </c>
      <c r="B1312" s="2" t="n">
        <v>43230.16497685185</v>
      </c>
      <c r="C1312" t="n">
        <v>0</v>
      </c>
      <c r="D1312" t="n">
        <v>1464</v>
      </c>
      <c r="E1312" t="s">
        <v>1323</v>
      </c>
      <c r="F1312" t="s"/>
      <c r="G1312" t="s"/>
      <c r="H1312" t="s"/>
      <c r="I1312" t="s"/>
      <c r="J1312" t="n">
        <v>0</v>
      </c>
      <c r="K1312" t="n">
        <v>0</v>
      </c>
      <c r="L1312" t="n">
        <v>1</v>
      </c>
      <c r="M1312" t="n">
        <v>0</v>
      </c>
    </row>
    <row r="1313" spans="1:13">
      <c r="A1313" s="1">
        <f>HYPERLINK("http://www.twitter.com/NathanBLawrence/status/994380589644922880", "994380589644922880")</f>
        <v/>
      </c>
      <c r="B1313" s="2" t="n">
        <v>43230.03913194445</v>
      </c>
      <c r="C1313" t="n">
        <v>0</v>
      </c>
      <c r="D1313" t="n">
        <v>473</v>
      </c>
      <c r="E1313" t="s">
        <v>1324</v>
      </c>
      <c r="F1313" t="s"/>
      <c r="G1313" t="s"/>
      <c r="H1313" t="s"/>
      <c r="I1313" t="s"/>
      <c r="J1313" t="n">
        <v>0.6249</v>
      </c>
      <c r="K1313" t="n">
        <v>0</v>
      </c>
      <c r="L1313" t="n">
        <v>0.745</v>
      </c>
      <c r="M1313" t="n">
        <v>0.255</v>
      </c>
    </row>
    <row r="1314" spans="1:13">
      <c r="A1314" s="1">
        <f>HYPERLINK("http://www.twitter.com/NathanBLawrence/status/994380203005640704", "994380203005640704")</f>
        <v/>
      </c>
      <c r="B1314" s="2" t="n">
        <v>43230.03806712963</v>
      </c>
      <c r="C1314" t="n">
        <v>0</v>
      </c>
      <c r="D1314" t="n">
        <v>11290</v>
      </c>
      <c r="E1314" t="s">
        <v>1325</v>
      </c>
      <c r="F1314">
        <f>HYPERLINK("http://pbs.twimg.com/media/DZEGdRJW4AwfZeq.jpg", "http://pbs.twimg.com/media/DZEGdRJW4AwfZeq.jpg")</f>
        <v/>
      </c>
      <c r="G1314" t="s"/>
      <c r="H1314" t="s"/>
      <c r="I1314" t="s"/>
      <c r="J1314" t="n">
        <v>0</v>
      </c>
      <c r="K1314" t="n">
        <v>0</v>
      </c>
      <c r="L1314" t="n">
        <v>1</v>
      </c>
      <c r="M1314" t="n">
        <v>0</v>
      </c>
    </row>
    <row r="1315" spans="1:13">
      <c r="A1315" s="1">
        <f>HYPERLINK("http://www.twitter.com/NathanBLawrence/status/994380104804388864", "994380104804388864")</f>
        <v/>
      </c>
      <c r="B1315" s="2" t="n">
        <v>43230.03780092593</v>
      </c>
      <c r="C1315" t="n">
        <v>11</v>
      </c>
      <c r="D1315" t="n">
        <v>8</v>
      </c>
      <c r="E1315" t="s">
        <v>1326</v>
      </c>
      <c r="F1315" t="s"/>
      <c r="G1315" t="s"/>
      <c r="H1315" t="s"/>
      <c r="I1315" t="s"/>
      <c r="J1315" t="n">
        <v>0.607</v>
      </c>
      <c r="K1315" t="n">
        <v>0.051</v>
      </c>
      <c r="L1315" t="n">
        <v>0.749</v>
      </c>
      <c r="M1315" t="n">
        <v>0.2</v>
      </c>
    </row>
    <row r="1316" spans="1:13">
      <c r="A1316" s="1">
        <f>HYPERLINK("http://www.twitter.com/NathanBLawrence/status/994379651316269057", "994379651316269057")</f>
        <v/>
      </c>
      <c r="B1316" s="2" t="n">
        <v>43230.03655092593</v>
      </c>
      <c r="C1316" t="n">
        <v>0</v>
      </c>
      <c r="D1316" t="n">
        <v>14</v>
      </c>
      <c r="E1316" t="s">
        <v>1327</v>
      </c>
      <c r="F1316" t="s"/>
      <c r="G1316" t="s"/>
      <c r="H1316" t="s"/>
      <c r="I1316" t="s"/>
      <c r="J1316" t="n">
        <v>0</v>
      </c>
      <c r="K1316" t="n">
        <v>0</v>
      </c>
      <c r="L1316" t="n">
        <v>1</v>
      </c>
      <c r="M1316" t="n">
        <v>0</v>
      </c>
    </row>
    <row r="1317" spans="1:13">
      <c r="A1317" s="1">
        <f>HYPERLINK("http://www.twitter.com/NathanBLawrence/status/994379598539321345", "994379598539321345")</f>
        <v/>
      </c>
      <c r="B1317" s="2" t="n">
        <v>43230.03640046297</v>
      </c>
      <c r="C1317" t="n">
        <v>0</v>
      </c>
      <c r="D1317" t="n">
        <v>4542</v>
      </c>
      <c r="E1317" t="s">
        <v>1328</v>
      </c>
      <c r="F1317" t="s"/>
      <c r="G1317" t="s"/>
      <c r="H1317" t="s"/>
      <c r="I1317" t="s"/>
      <c r="J1317" t="n">
        <v>-0.2023</v>
      </c>
      <c r="K1317" t="n">
        <v>0.186</v>
      </c>
      <c r="L1317" t="n">
        <v>0.6860000000000001</v>
      </c>
      <c r="M1317" t="n">
        <v>0.127</v>
      </c>
    </row>
    <row r="1318" spans="1:13">
      <c r="A1318" s="1">
        <f>HYPERLINK("http://www.twitter.com/NathanBLawrence/status/994362668868775937", "994362668868775937")</f>
        <v/>
      </c>
      <c r="B1318" s="2" t="n">
        <v>43229.9896875</v>
      </c>
      <c r="C1318" t="n">
        <v>2</v>
      </c>
      <c r="D1318" t="n">
        <v>0</v>
      </c>
      <c r="E1318" t="s">
        <v>1329</v>
      </c>
      <c r="F1318" t="s"/>
      <c r="G1318" t="s"/>
      <c r="H1318" t="s"/>
      <c r="I1318" t="s"/>
      <c r="J1318" t="n">
        <v>-0.3453</v>
      </c>
      <c r="K1318" t="n">
        <v>0.447</v>
      </c>
      <c r="L1318" t="n">
        <v>0.553</v>
      </c>
      <c r="M1318" t="n">
        <v>0</v>
      </c>
    </row>
    <row r="1319" spans="1:13">
      <c r="A1319" s="1">
        <f>HYPERLINK("http://www.twitter.com/NathanBLawrence/status/994361866687135745", "994361866687135745")</f>
        <v/>
      </c>
      <c r="B1319" s="2" t="n">
        <v>43229.98747685185</v>
      </c>
      <c r="C1319" t="n">
        <v>0</v>
      </c>
      <c r="D1319" t="n">
        <v>53</v>
      </c>
      <c r="E1319" t="s">
        <v>1330</v>
      </c>
      <c r="F1319">
        <f>HYPERLINK("http://pbs.twimg.com/media/DcizGFxU0AAZjkf.jpg", "http://pbs.twimg.com/media/DcizGFxU0AAZjkf.jpg")</f>
        <v/>
      </c>
      <c r="G1319" t="s"/>
      <c r="H1319" t="s"/>
      <c r="I1319" t="s"/>
      <c r="J1319" t="n">
        <v>0</v>
      </c>
      <c r="K1319" t="n">
        <v>0</v>
      </c>
      <c r="L1319" t="n">
        <v>1</v>
      </c>
      <c r="M1319" t="n">
        <v>0</v>
      </c>
    </row>
    <row r="1320" spans="1:13">
      <c r="A1320" s="1">
        <f>HYPERLINK("http://www.twitter.com/NathanBLawrence/status/994361670708355072", "994361670708355072")</f>
        <v/>
      </c>
      <c r="B1320" s="2" t="n">
        <v>43229.98693287037</v>
      </c>
      <c r="C1320" t="n">
        <v>16</v>
      </c>
      <c r="D1320" t="n">
        <v>9</v>
      </c>
      <c r="E1320" t="s">
        <v>1331</v>
      </c>
      <c r="F1320" t="s"/>
      <c r="G1320" t="s"/>
      <c r="H1320" t="s"/>
      <c r="I1320" t="s"/>
      <c r="J1320" t="n">
        <v>-0.4981</v>
      </c>
      <c r="K1320" t="n">
        <v>0.089</v>
      </c>
      <c r="L1320" t="n">
        <v>0.911</v>
      </c>
      <c r="M1320" t="n">
        <v>0</v>
      </c>
    </row>
    <row r="1321" spans="1:13">
      <c r="A1321" s="1">
        <f>HYPERLINK("http://www.twitter.com/NathanBLawrence/status/994360917474226176", "994360917474226176")</f>
        <v/>
      </c>
      <c r="B1321" s="2" t="n">
        <v>43229.98484953704</v>
      </c>
      <c r="C1321" t="n">
        <v>0</v>
      </c>
      <c r="D1321" t="n">
        <v>518</v>
      </c>
      <c r="E1321" t="s">
        <v>1332</v>
      </c>
      <c r="F1321" t="s"/>
      <c r="G1321" t="s"/>
      <c r="H1321" t="s"/>
      <c r="I1321" t="s"/>
      <c r="J1321" t="n">
        <v>0.3109</v>
      </c>
      <c r="K1321" t="n">
        <v>0.104</v>
      </c>
      <c r="L1321" t="n">
        <v>0.746</v>
      </c>
      <c r="M1321" t="n">
        <v>0.149</v>
      </c>
    </row>
    <row r="1322" spans="1:13">
      <c r="A1322" s="1">
        <f>HYPERLINK("http://www.twitter.com/NathanBLawrence/status/994360841808920576", "994360841808920576")</f>
        <v/>
      </c>
      <c r="B1322" s="2" t="n">
        <v>43229.9846412037</v>
      </c>
      <c r="C1322" t="n">
        <v>4</v>
      </c>
      <c r="D1322" t="n">
        <v>4</v>
      </c>
      <c r="E1322" t="s">
        <v>1333</v>
      </c>
      <c r="F1322" t="s"/>
      <c r="G1322" t="s"/>
      <c r="H1322" t="s"/>
      <c r="I1322" t="s"/>
      <c r="J1322" t="n">
        <v>-0.7096</v>
      </c>
      <c r="K1322" t="n">
        <v>0.307</v>
      </c>
      <c r="L1322" t="n">
        <v>0.619</v>
      </c>
      <c r="M1322" t="n">
        <v>0.074</v>
      </c>
    </row>
    <row r="1323" spans="1:13">
      <c r="A1323" s="1">
        <f>HYPERLINK("http://www.twitter.com/NathanBLawrence/status/994360637168861184", "994360637168861184")</f>
        <v/>
      </c>
      <c r="B1323" s="2" t="n">
        <v>43229.98407407408</v>
      </c>
      <c r="C1323" t="n">
        <v>2</v>
      </c>
      <c r="D1323" t="n">
        <v>2</v>
      </c>
      <c r="E1323" t="s">
        <v>1334</v>
      </c>
      <c r="F1323" t="s"/>
      <c r="G1323" t="s"/>
      <c r="H1323" t="s"/>
      <c r="I1323" t="s"/>
      <c r="J1323" t="n">
        <v>0.6239</v>
      </c>
      <c r="K1323" t="n">
        <v>0</v>
      </c>
      <c r="L1323" t="n">
        <v>0.83</v>
      </c>
      <c r="M1323" t="n">
        <v>0.17</v>
      </c>
    </row>
    <row r="1324" spans="1:13">
      <c r="A1324" s="1">
        <f>HYPERLINK("http://www.twitter.com/NathanBLawrence/status/994360336089149440", "994360336089149440")</f>
        <v/>
      </c>
      <c r="B1324" s="2" t="n">
        <v>43229.98325231481</v>
      </c>
      <c r="C1324" t="n">
        <v>3</v>
      </c>
      <c r="D1324" t="n">
        <v>2</v>
      </c>
      <c r="E1324" t="s">
        <v>1335</v>
      </c>
      <c r="F1324" t="s"/>
      <c r="G1324" t="s"/>
      <c r="H1324" t="s"/>
      <c r="I1324" t="s"/>
      <c r="J1324" t="n">
        <v>-0.4912</v>
      </c>
      <c r="K1324" t="n">
        <v>0.294</v>
      </c>
      <c r="L1324" t="n">
        <v>0.548</v>
      </c>
      <c r="M1324" t="n">
        <v>0.159</v>
      </c>
    </row>
    <row r="1325" spans="1:13">
      <c r="A1325" s="1">
        <f>HYPERLINK("http://www.twitter.com/NathanBLawrence/status/994360132736696320", "994360132736696320")</f>
        <v/>
      </c>
      <c r="B1325" s="2" t="n">
        <v>43229.98268518518</v>
      </c>
      <c r="C1325" t="n">
        <v>10</v>
      </c>
      <c r="D1325" t="n">
        <v>6</v>
      </c>
      <c r="E1325" t="s">
        <v>1336</v>
      </c>
      <c r="F1325" t="s"/>
      <c r="G1325" t="s"/>
      <c r="H1325" t="s"/>
      <c r="I1325" t="s"/>
      <c r="J1325" t="n">
        <v>0.0818</v>
      </c>
      <c r="K1325" t="n">
        <v>0.138</v>
      </c>
      <c r="L1325" t="n">
        <v>0.708</v>
      </c>
      <c r="M1325" t="n">
        <v>0.153</v>
      </c>
    </row>
    <row r="1326" spans="1:13">
      <c r="A1326" s="1">
        <f>HYPERLINK("http://www.twitter.com/NathanBLawrence/status/994359961160372225", "994359961160372225")</f>
        <v/>
      </c>
      <c r="B1326" s="2" t="n">
        <v>43229.98221064815</v>
      </c>
      <c r="C1326" t="n">
        <v>0</v>
      </c>
      <c r="D1326" t="n">
        <v>20705</v>
      </c>
      <c r="E1326" t="s">
        <v>1337</v>
      </c>
      <c r="F1326" t="s"/>
      <c r="G1326" t="s"/>
      <c r="H1326" t="s"/>
      <c r="I1326" t="s"/>
      <c r="J1326" t="n">
        <v>0.7645</v>
      </c>
      <c r="K1326" t="n">
        <v>0</v>
      </c>
      <c r="L1326" t="n">
        <v>0.777</v>
      </c>
      <c r="M1326" t="n">
        <v>0.223</v>
      </c>
    </row>
    <row r="1327" spans="1:13">
      <c r="A1327" s="1">
        <f>HYPERLINK("http://www.twitter.com/NathanBLawrence/status/994359894005366784", "994359894005366784")</f>
        <v/>
      </c>
      <c r="B1327" s="2" t="n">
        <v>43229.98202546296</v>
      </c>
      <c r="C1327" t="n">
        <v>0</v>
      </c>
      <c r="D1327" t="n">
        <v>14098</v>
      </c>
      <c r="E1327" t="s">
        <v>1338</v>
      </c>
      <c r="F1327">
        <f>HYPERLINK("https://video.twimg.com/amplify_video/993928565832876033/vid/1280x720/BoaHiydQj1tcBUon.mp4?tag=2", "https://video.twimg.com/amplify_video/993928565832876033/vid/1280x720/BoaHiydQj1tcBUon.mp4?tag=2")</f>
        <v/>
      </c>
      <c r="G1327" t="s"/>
      <c r="H1327" t="s"/>
      <c r="I1327" t="s"/>
      <c r="J1327" t="n">
        <v>0.296</v>
      </c>
      <c r="K1327" t="n">
        <v>0.147</v>
      </c>
      <c r="L1327" t="n">
        <v>0.594</v>
      </c>
      <c r="M1327" t="n">
        <v>0.259</v>
      </c>
    </row>
    <row r="1328" spans="1:13">
      <c r="A1328" s="1">
        <f>HYPERLINK("http://www.twitter.com/NathanBLawrence/status/994359840477622272", "994359840477622272")</f>
        <v/>
      </c>
      <c r="B1328" s="2" t="n">
        <v>43229.981875</v>
      </c>
      <c r="C1328" t="n">
        <v>0</v>
      </c>
      <c r="D1328" t="n">
        <v>14497</v>
      </c>
      <c r="E1328" t="s">
        <v>1339</v>
      </c>
      <c r="F1328">
        <f>HYPERLINK("https://video.twimg.com/amplify_video/993927430128652289/vid/1280x720/0afuOa9Cpe6dn8-y.mp4?tag=2", "https://video.twimg.com/amplify_video/993927430128652289/vid/1280x720/0afuOa9Cpe6dn8-y.mp4?tag=2")</f>
        <v/>
      </c>
      <c r="G1328" t="s"/>
      <c r="H1328" t="s"/>
      <c r="I1328" t="s"/>
      <c r="J1328" t="n">
        <v>0.0772</v>
      </c>
      <c r="K1328" t="n">
        <v>0</v>
      </c>
      <c r="L1328" t="n">
        <v>0.9389999999999999</v>
      </c>
      <c r="M1328" t="n">
        <v>0.061</v>
      </c>
    </row>
    <row r="1329" spans="1:13">
      <c r="A1329" s="1">
        <f>HYPERLINK("http://www.twitter.com/NathanBLawrence/status/994359805010526208", "994359805010526208")</f>
        <v/>
      </c>
      <c r="B1329" s="2" t="n">
        <v>43229.98178240741</v>
      </c>
      <c r="C1329" t="n">
        <v>0</v>
      </c>
      <c r="D1329" t="n">
        <v>24482</v>
      </c>
      <c r="E1329" t="s">
        <v>1340</v>
      </c>
      <c r="F1329">
        <f>HYPERLINK("https://video.twimg.com/ext_tw_video/993976473718407168/pu/vid/1280x720/M0zSm_QFjmwF6vqj.mp4?tag=3", "https://video.twimg.com/ext_tw_video/993976473718407168/pu/vid/1280x720/M0zSm_QFjmwF6vqj.mp4?tag=3")</f>
        <v/>
      </c>
      <c r="G1329" t="s"/>
      <c r="H1329" t="s"/>
      <c r="I1329" t="s"/>
      <c r="J1329" t="n">
        <v>-0.4404</v>
      </c>
      <c r="K1329" t="n">
        <v>0.108</v>
      </c>
      <c r="L1329" t="n">
        <v>0.892</v>
      </c>
      <c r="M1329" t="n">
        <v>0</v>
      </c>
    </row>
    <row r="1330" spans="1:13">
      <c r="A1330" s="1">
        <f>HYPERLINK("http://www.twitter.com/NathanBLawrence/status/994359730481987584", "994359730481987584")</f>
        <v/>
      </c>
      <c r="B1330" s="2" t="n">
        <v>43229.98157407407</v>
      </c>
      <c r="C1330" t="n">
        <v>0</v>
      </c>
      <c r="D1330" t="n">
        <v>19225</v>
      </c>
      <c r="E1330" t="s">
        <v>1341</v>
      </c>
      <c r="F1330" t="s"/>
      <c r="G1330" t="s"/>
      <c r="H1330" t="s"/>
      <c r="I1330" t="s"/>
      <c r="J1330" t="n">
        <v>0.9022</v>
      </c>
      <c r="K1330" t="n">
        <v>0</v>
      </c>
      <c r="L1330" t="n">
        <v>0.569</v>
      </c>
      <c r="M1330" t="n">
        <v>0.431</v>
      </c>
    </row>
    <row r="1331" spans="1:13">
      <c r="A1331" s="1">
        <f>HYPERLINK("http://www.twitter.com/NathanBLawrence/status/994359654590304256", "994359654590304256")</f>
        <v/>
      </c>
      <c r="B1331" s="2" t="n">
        <v>43229.98136574074</v>
      </c>
      <c r="C1331" t="n">
        <v>0</v>
      </c>
      <c r="D1331" t="n">
        <v>33570</v>
      </c>
      <c r="E1331" t="s">
        <v>1342</v>
      </c>
      <c r="F1331" t="s"/>
      <c r="G1331" t="s"/>
      <c r="H1331" t="s"/>
      <c r="I1331" t="s"/>
      <c r="J1331" t="n">
        <v>0</v>
      </c>
      <c r="K1331" t="n">
        <v>0</v>
      </c>
      <c r="L1331" t="n">
        <v>1</v>
      </c>
      <c r="M1331" t="n">
        <v>0</v>
      </c>
    </row>
    <row r="1332" spans="1:13">
      <c r="A1332" s="1">
        <f>HYPERLINK("http://www.twitter.com/NathanBLawrence/status/994359602144661504", "994359602144661504")</f>
        <v/>
      </c>
      <c r="B1332" s="2" t="n">
        <v>43229.98122685185</v>
      </c>
      <c r="C1332" t="n">
        <v>0</v>
      </c>
      <c r="D1332" t="n">
        <v>13653</v>
      </c>
      <c r="E1332" t="s">
        <v>1343</v>
      </c>
      <c r="F1332" t="s"/>
      <c r="G1332" t="s"/>
      <c r="H1332" t="s"/>
      <c r="I1332" t="s"/>
      <c r="J1332" t="n">
        <v>0.9509</v>
      </c>
      <c r="K1332" t="n">
        <v>0</v>
      </c>
      <c r="L1332" t="n">
        <v>0.5570000000000001</v>
      </c>
      <c r="M1332" t="n">
        <v>0.443</v>
      </c>
    </row>
    <row r="1333" spans="1:13">
      <c r="A1333" s="1">
        <f>HYPERLINK("http://www.twitter.com/NathanBLawrence/status/994359552777666560", "994359552777666560")</f>
        <v/>
      </c>
      <c r="B1333" s="2" t="n">
        <v>43229.98108796297</v>
      </c>
      <c r="C1333" t="n">
        <v>12</v>
      </c>
      <c r="D1333" t="n">
        <v>6</v>
      </c>
      <c r="E1333" t="s">
        <v>1344</v>
      </c>
      <c r="F1333" t="s"/>
      <c r="G1333" t="s"/>
      <c r="H1333" t="s"/>
      <c r="I1333" t="s"/>
      <c r="J1333" t="n">
        <v>0.784</v>
      </c>
      <c r="K1333" t="n">
        <v>0</v>
      </c>
      <c r="L1333" t="n">
        <v>0.615</v>
      </c>
      <c r="M1333" t="n">
        <v>0.385</v>
      </c>
    </row>
    <row r="1334" spans="1:13">
      <c r="A1334" s="1">
        <f>HYPERLINK("http://www.twitter.com/NathanBLawrence/status/994359409512890369", "994359409512890369")</f>
        <v/>
      </c>
      <c r="B1334" s="2" t="n">
        <v>43229.98069444444</v>
      </c>
      <c r="C1334" t="n">
        <v>0</v>
      </c>
      <c r="D1334" t="n">
        <v>27634</v>
      </c>
      <c r="E1334" t="s">
        <v>1345</v>
      </c>
      <c r="F1334" t="s"/>
      <c r="G1334" t="s"/>
      <c r="H1334" t="s"/>
      <c r="I1334" t="s"/>
      <c r="J1334" t="n">
        <v>0</v>
      </c>
      <c r="K1334" t="n">
        <v>0</v>
      </c>
      <c r="L1334" t="n">
        <v>1</v>
      </c>
      <c r="M1334" t="n">
        <v>0</v>
      </c>
    </row>
    <row r="1335" spans="1:13">
      <c r="A1335" s="1">
        <f>HYPERLINK("http://www.twitter.com/NathanBLawrence/status/994359376562479104", "994359376562479104")</f>
        <v/>
      </c>
      <c r="B1335" s="2" t="n">
        <v>43229.98060185185</v>
      </c>
      <c r="C1335" t="n">
        <v>0</v>
      </c>
      <c r="D1335" t="n">
        <v>26381</v>
      </c>
      <c r="E1335" t="s">
        <v>1346</v>
      </c>
      <c r="F1335" t="s"/>
      <c r="G1335" t="s"/>
      <c r="H1335" t="s"/>
      <c r="I1335" t="s"/>
      <c r="J1335" t="n">
        <v>-0.8331</v>
      </c>
      <c r="K1335" t="n">
        <v>0.306</v>
      </c>
      <c r="L1335" t="n">
        <v>0.694</v>
      </c>
      <c r="M1335" t="n">
        <v>0</v>
      </c>
    </row>
    <row r="1336" spans="1:13">
      <c r="A1336" s="1">
        <f>HYPERLINK("http://www.twitter.com/NathanBLawrence/status/994359337911910402", "994359337911910402")</f>
        <v/>
      </c>
      <c r="B1336" s="2" t="n">
        <v>43229.98049768519</v>
      </c>
      <c r="C1336" t="n">
        <v>0</v>
      </c>
      <c r="D1336" t="n">
        <v>18413</v>
      </c>
      <c r="E1336" t="s">
        <v>1347</v>
      </c>
      <c r="F1336" t="s"/>
      <c r="G1336" t="s"/>
      <c r="H1336" t="s"/>
      <c r="I1336" t="s"/>
      <c r="J1336" t="n">
        <v>0.3818</v>
      </c>
      <c r="K1336" t="n">
        <v>0</v>
      </c>
      <c r="L1336" t="n">
        <v>0.822</v>
      </c>
      <c r="M1336" t="n">
        <v>0.178</v>
      </c>
    </row>
    <row r="1337" spans="1:13">
      <c r="A1337" s="1">
        <f>HYPERLINK("http://www.twitter.com/NathanBLawrence/status/994359276465356800", "994359276465356800")</f>
        <v/>
      </c>
      <c r="B1337" s="2" t="n">
        <v>43229.98032407407</v>
      </c>
      <c r="C1337" t="n">
        <v>1</v>
      </c>
      <c r="D1337" t="n">
        <v>3</v>
      </c>
      <c r="E1337" t="s">
        <v>1348</v>
      </c>
      <c r="F1337" t="s"/>
      <c r="G1337" t="s"/>
      <c r="H1337" t="s"/>
      <c r="I1337" t="s"/>
      <c r="J1337" t="n">
        <v>0.4019</v>
      </c>
      <c r="K1337" t="n">
        <v>0</v>
      </c>
      <c r="L1337" t="n">
        <v>0.597</v>
      </c>
      <c r="M1337" t="n">
        <v>0.403</v>
      </c>
    </row>
    <row r="1338" spans="1:13">
      <c r="A1338" s="1">
        <f>HYPERLINK("http://www.twitter.com/NathanBLawrence/status/994359189467099136", "994359189467099136")</f>
        <v/>
      </c>
      <c r="B1338" s="2" t="n">
        <v>43229.98008101852</v>
      </c>
      <c r="C1338" t="n">
        <v>0</v>
      </c>
      <c r="D1338" t="n">
        <v>286</v>
      </c>
      <c r="E1338" t="s">
        <v>1349</v>
      </c>
      <c r="F1338">
        <f>HYPERLINK("http://pbs.twimg.com/media/Dctno1gWsAAjnxH.jpg", "http://pbs.twimg.com/media/Dctno1gWsAAjnxH.jpg")</f>
        <v/>
      </c>
      <c r="G1338">
        <f>HYPERLINK("http://pbs.twimg.com/media/Dctns1XXkAA4A8B.jpg", "http://pbs.twimg.com/media/Dctns1XXkAA4A8B.jpg")</f>
        <v/>
      </c>
      <c r="H1338">
        <f>HYPERLINK("http://pbs.twimg.com/media/DctnwbkX0AA1jUa.jpg", "http://pbs.twimg.com/media/DctnwbkX0AA1jUa.jpg")</f>
        <v/>
      </c>
      <c r="I1338">
        <f>HYPERLINK("http://pbs.twimg.com/media/DctnzPmWAAA2ORI.jpg", "http://pbs.twimg.com/media/DctnzPmWAAA2ORI.jpg")</f>
        <v/>
      </c>
      <c r="J1338" t="n">
        <v>0.4767</v>
      </c>
      <c r="K1338" t="n">
        <v>0</v>
      </c>
      <c r="L1338" t="n">
        <v>0.86</v>
      </c>
      <c r="M1338" t="n">
        <v>0.14</v>
      </c>
    </row>
    <row r="1339" spans="1:13">
      <c r="A1339" s="1">
        <f>HYPERLINK("http://www.twitter.com/NathanBLawrence/status/994359117316673536", "994359117316673536")</f>
        <v/>
      </c>
      <c r="B1339" s="2" t="n">
        <v>43229.97988425926</v>
      </c>
      <c r="C1339" t="n">
        <v>0</v>
      </c>
      <c r="D1339" t="n">
        <v>4</v>
      </c>
      <c r="E1339" t="s">
        <v>1350</v>
      </c>
      <c r="F1339" t="s"/>
      <c r="G1339" t="s"/>
      <c r="H1339" t="s"/>
      <c r="I1339" t="s"/>
      <c r="J1339" t="n">
        <v>0</v>
      </c>
      <c r="K1339" t="n">
        <v>0</v>
      </c>
      <c r="L1339" t="n">
        <v>1</v>
      </c>
      <c r="M1339" t="n">
        <v>0</v>
      </c>
    </row>
    <row r="1340" spans="1:13">
      <c r="A1340" s="1">
        <f>HYPERLINK("http://www.twitter.com/NathanBLawrence/status/994359052770537472", "994359052770537472")</f>
        <v/>
      </c>
      <c r="B1340" s="2" t="n">
        <v>43229.97971064815</v>
      </c>
      <c r="C1340" t="n">
        <v>0</v>
      </c>
      <c r="D1340" t="n">
        <v>4</v>
      </c>
      <c r="E1340" t="s">
        <v>1351</v>
      </c>
      <c r="F1340">
        <f>HYPERLINK("http://pbs.twimg.com/media/DcvT4iKVMAEGfDP.jpg", "http://pbs.twimg.com/media/DcvT4iKVMAEGfDP.jpg")</f>
        <v/>
      </c>
      <c r="G1340" t="s"/>
      <c r="H1340" t="s"/>
      <c r="I1340" t="s"/>
      <c r="J1340" t="n">
        <v>0</v>
      </c>
      <c r="K1340" t="n">
        <v>0</v>
      </c>
      <c r="L1340" t="n">
        <v>1</v>
      </c>
      <c r="M1340" t="n">
        <v>0</v>
      </c>
    </row>
    <row r="1341" spans="1:13">
      <c r="A1341" s="1">
        <f>HYPERLINK("http://www.twitter.com/NathanBLawrence/status/994359007086133249", "994359007086133249")</f>
        <v/>
      </c>
      <c r="B1341" s="2" t="n">
        <v>43229.97958333333</v>
      </c>
      <c r="C1341" t="n">
        <v>7</v>
      </c>
      <c r="D1341" t="n">
        <v>3</v>
      </c>
      <c r="E1341" t="s">
        <v>1352</v>
      </c>
      <c r="F1341" t="s"/>
      <c r="G1341" t="s"/>
      <c r="H1341" t="s"/>
      <c r="I1341" t="s"/>
      <c r="J1341" t="n">
        <v>-0.5242</v>
      </c>
      <c r="K1341" t="n">
        <v>0.285</v>
      </c>
      <c r="L1341" t="n">
        <v>0.715</v>
      </c>
      <c r="M1341" t="n">
        <v>0</v>
      </c>
    </row>
    <row r="1342" spans="1:13">
      <c r="A1342" s="1">
        <f>HYPERLINK("http://www.twitter.com/NathanBLawrence/status/994358727909126144", "994358727909126144")</f>
        <v/>
      </c>
      <c r="B1342" s="2" t="n">
        <v>43229.97880787037</v>
      </c>
      <c r="C1342" t="n">
        <v>12</v>
      </c>
      <c r="D1342" t="n">
        <v>6</v>
      </c>
      <c r="E1342" t="s">
        <v>1353</v>
      </c>
      <c r="F1342" t="s"/>
      <c r="G1342" t="s"/>
      <c r="H1342" t="s"/>
      <c r="I1342" t="s"/>
      <c r="J1342" t="n">
        <v>-0.8016</v>
      </c>
      <c r="K1342" t="n">
        <v>0.325</v>
      </c>
      <c r="L1342" t="n">
        <v>0.675</v>
      </c>
      <c r="M1342" t="n">
        <v>0</v>
      </c>
    </row>
    <row r="1343" spans="1:13">
      <c r="A1343" s="1">
        <f>HYPERLINK("http://www.twitter.com/NathanBLawrence/status/994358424887480320", "994358424887480320")</f>
        <v/>
      </c>
      <c r="B1343" s="2" t="n">
        <v>43229.97797453704</v>
      </c>
      <c r="C1343" t="n">
        <v>14</v>
      </c>
      <c r="D1343" t="n">
        <v>10</v>
      </c>
      <c r="E1343" t="s">
        <v>1354</v>
      </c>
      <c r="F1343" t="s"/>
      <c r="G1343" t="s"/>
      <c r="H1343" t="s"/>
      <c r="I1343" t="s"/>
      <c r="J1343" t="n">
        <v>-0.2942</v>
      </c>
      <c r="K1343" t="n">
        <v>0.299</v>
      </c>
      <c r="L1343" t="n">
        <v>0.516</v>
      </c>
      <c r="M1343" t="n">
        <v>0.186</v>
      </c>
    </row>
    <row r="1344" spans="1:13">
      <c r="A1344" s="1">
        <f>HYPERLINK("http://www.twitter.com/NathanBLawrence/status/994357524693377025", "994357524693377025")</f>
        <v/>
      </c>
      <c r="B1344" s="2" t="n">
        <v>43229.97548611111</v>
      </c>
      <c r="C1344" t="n">
        <v>13</v>
      </c>
      <c r="D1344" t="n">
        <v>1</v>
      </c>
      <c r="E1344" t="s">
        <v>1355</v>
      </c>
      <c r="F1344" t="s"/>
      <c r="G1344" t="s"/>
      <c r="H1344" t="s"/>
      <c r="I1344" t="s"/>
      <c r="J1344" t="n">
        <v>0</v>
      </c>
      <c r="K1344" t="n">
        <v>0</v>
      </c>
      <c r="L1344" t="n">
        <v>1</v>
      </c>
      <c r="M1344" t="n">
        <v>0</v>
      </c>
    </row>
    <row r="1345" spans="1:13">
      <c r="A1345" s="1">
        <f>HYPERLINK("http://www.twitter.com/NathanBLawrence/status/994347950959554560", "994347950959554560")</f>
        <v/>
      </c>
      <c r="B1345" s="2" t="n">
        <v>43229.94907407407</v>
      </c>
      <c r="C1345" t="n">
        <v>3</v>
      </c>
      <c r="D1345" t="n">
        <v>0</v>
      </c>
      <c r="E1345" t="s">
        <v>1356</v>
      </c>
      <c r="F1345" t="s"/>
      <c r="G1345" t="s"/>
      <c r="H1345" t="s"/>
      <c r="I1345" t="s"/>
      <c r="J1345" t="n">
        <v>0</v>
      </c>
      <c r="K1345" t="n">
        <v>0</v>
      </c>
      <c r="L1345" t="n">
        <v>1</v>
      </c>
      <c r="M1345" t="n">
        <v>0</v>
      </c>
    </row>
    <row r="1346" spans="1:13">
      <c r="A1346" s="1">
        <f>HYPERLINK("http://www.twitter.com/NathanBLawrence/status/994295640443277313", "994295640443277313")</f>
        <v/>
      </c>
      <c r="B1346" s="2" t="n">
        <v>43229.80472222222</v>
      </c>
      <c r="C1346" t="n">
        <v>4</v>
      </c>
      <c r="D1346" t="n">
        <v>2</v>
      </c>
      <c r="E1346" t="s">
        <v>1357</v>
      </c>
      <c r="F1346" t="s"/>
      <c r="G1346" t="s"/>
      <c r="H1346" t="s"/>
      <c r="I1346" t="s"/>
      <c r="J1346" t="n">
        <v>0.1027</v>
      </c>
      <c r="K1346" t="n">
        <v>0</v>
      </c>
      <c r="L1346" t="n">
        <v>0.903</v>
      </c>
      <c r="M1346" t="n">
        <v>0.097</v>
      </c>
    </row>
    <row r="1347" spans="1:13">
      <c r="A1347" s="1">
        <f>HYPERLINK("http://www.twitter.com/NathanBLawrence/status/994295234426126336", "994295234426126336")</f>
        <v/>
      </c>
      <c r="B1347" s="2" t="n">
        <v>43229.80359953704</v>
      </c>
      <c r="C1347" t="n">
        <v>5</v>
      </c>
      <c r="D1347" t="n">
        <v>3</v>
      </c>
      <c r="E1347" t="s">
        <v>1358</v>
      </c>
      <c r="F1347" t="s"/>
      <c r="G1347" t="s"/>
      <c r="H1347" t="s"/>
      <c r="I1347" t="s"/>
      <c r="J1347" t="n">
        <v>-0.8915999999999999</v>
      </c>
      <c r="K1347" t="n">
        <v>0.399</v>
      </c>
      <c r="L1347" t="n">
        <v>0.601</v>
      </c>
      <c r="M1347" t="n">
        <v>0</v>
      </c>
    </row>
    <row r="1348" spans="1:13">
      <c r="A1348" s="1">
        <f>HYPERLINK("http://www.twitter.com/NathanBLawrence/status/994295090641125376", "994295090641125376")</f>
        <v/>
      </c>
      <c r="B1348" s="2" t="n">
        <v>43229.80320601852</v>
      </c>
      <c r="C1348" t="n">
        <v>9</v>
      </c>
      <c r="D1348" t="n">
        <v>5</v>
      </c>
      <c r="E1348" t="s">
        <v>1359</v>
      </c>
      <c r="F1348" t="s"/>
      <c r="G1348" t="s"/>
      <c r="H1348" t="s"/>
      <c r="I1348" t="s"/>
      <c r="J1348" t="n">
        <v>0</v>
      </c>
      <c r="K1348" t="n">
        <v>0</v>
      </c>
      <c r="L1348" t="n">
        <v>1</v>
      </c>
      <c r="M1348" t="n">
        <v>0</v>
      </c>
    </row>
    <row r="1349" spans="1:13">
      <c r="A1349" s="1">
        <f>HYPERLINK("http://www.twitter.com/NathanBLawrence/status/994294840136417280", "994294840136417280")</f>
        <v/>
      </c>
      <c r="B1349" s="2" t="n">
        <v>43229.80251157407</v>
      </c>
      <c r="C1349" t="n">
        <v>7</v>
      </c>
      <c r="D1349" t="n">
        <v>5</v>
      </c>
      <c r="E1349" t="s">
        <v>1360</v>
      </c>
      <c r="F1349" t="s"/>
      <c r="G1349" t="s"/>
      <c r="H1349" t="s"/>
      <c r="I1349" t="s"/>
      <c r="J1349" t="n">
        <v>-0.7188</v>
      </c>
      <c r="K1349" t="n">
        <v>0.297</v>
      </c>
      <c r="L1349" t="n">
        <v>0.533</v>
      </c>
      <c r="M1349" t="n">
        <v>0.17</v>
      </c>
    </row>
    <row r="1350" spans="1:13">
      <c r="A1350" s="1">
        <f>HYPERLINK("http://www.twitter.com/NathanBLawrence/status/994294240967458816", "994294240967458816")</f>
        <v/>
      </c>
      <c r="B1350" s="2" t="n">
        <v>43229.80085648148</v>
      </c>
      <c r="C1350" t="n">
        <v>12</v>
      </c>
      <c r="D1350" t="n">
        <v>5</v>
      </c>
      <c r="E1350" t="s">
        <v>1361</v>
      </c>
      <c r="F1350" t="s"/>
      <c r="G1350" t="s"/>
      <c r="H1350" t="s"/>
      <c r="I1350" t="s"/>
      <c r="J1350" t="n">
        <v>-0.5574</v>
      </c>
      <c r="K1350" t="n">
        <v>0.375</v>
      </c>
      <c r="L1350" t="n">
        <v>0.625</v>
      </c>
      <c r="M1350" t="n">
        <v>0</v>
      </c>
    </row>
    <row r="1351" spans="1:13">
      <c r="A1351" s="1">
        <f>HYPERLINK("http://www.twitter.com/NathanBLawrence/status/994294164098437120", "994294164098437120")</f>
        <v/>
      </c>
      <c r="B1351" s="2" t="n">
        <v>43229.80064814815</v>
      </c>
      <c r="C1351" t="n">
        <v>19</v>
      </c>
      <c r="D1351" t="n">
        <v>15</v>
      </c>
      <c r="E1351" t="s">
        <v>1362</v>
      </c>
      <c r="F1351" t="s"/>
      <c r="G1351" t="s"/>
      <c r="H1351" t="s"/>
      <c r="I1351" t="s"/>
      <c r="J1351" t="n">
        <v>0</v>
      </c>
      <c r="K1351" t="n">
        <v>0</v>
      </c>
      <c r="L1351" t="n">
        <v>1</v>
      </c>
      <c r="M1351" t="n">
        <v>0</v>
      </c>
    </row>
    <row r="1352" spans="1:13">
      <c r="A1352" s="1">
        <f>HYPERLINK("http://www.twitter.com/NathanBLawrence/status/994293969939918848", "994293969939918848")</f>
        <v/>
      </c>
      <c r="B1352" s="2" t="n">
        <v>43229.80011574074</v>
      </c>
      <c r="C1352" t="n">
        <v>0</v>
      </c>
      <c r="D1352" t="n">
        <v>285</v>
      </c>
      <c r="E1352" t="s">
        <v>1363</v>
      </c>
      <c r="F1352">
        <f>HYPERLINK("http://pbs.twimg.com/media/DcxJtNtV0AARRHg.jpg", "http://pbs.twimg.com/media/DcxJtNtV0AARRHg.jpg")</f>
        <v/>
      </c>
      <c r="G1352" t="s"/>
      <c r="H1352" t="s"/>
      <c r="I1352" t="s"/>
      <c r="J1352" t="n">
        <v>0</v>
      </c>
      <c r="K1352" t="n">
        <v>0</v>
      </c>
      <c r="L1352" t="n">
        <v>1</v>
      </c>
      <c r="M1352" t="n">
        <v>0</v>
      </c>
    </row>
    <row r="1353" spans="1:13">
      <c r="A1353" s="1">
        <f>HYPERLINK("http://www.twitter.com/NathanBLawrence/status/994293889451245568", "994293889451245568")</f>
        <v/>
      </c>
      <c r="B1353" s="2" t="n">
        <v>43229.79988425926</v>
      </c>
      <c r="C1353" t="n">
        <v>0</v>
      </c>
      <c r="D1353" t="n">
        <v>1747</v>
      </c>
      <c r="E1353" t="s">
        <v>1364</v>
      </c>
      <c r="F1353" t="s"/>
      <c r="G1353" t="s"/>
      <c r="H1353" t="s"/>
      <c r="I1353" t="s"/>
      <c r="J1353" t="n">
        <v>0.4549</v>
      </c>
      <c r="K1353" t="n">
        <v>0</v>
      </c>
      <c r="L1353" t="n">
        <v>0.851</v>
      </c>
      <c r="M1353" t="n">
        <v>0.149</v>
      </c>
    </row>
    <row r="1354" spans="1:13">
      <c r="A1354" s="1">
        <f>HYPERLINK("http://www.twitter.com/NathanBLawrence/status/994293847982096385", "994293847982096385")</f>
        <v/>
      </c>
      <c r="B1354" s="2" t="n">
        <v>43229.7997800926</v>
      </c>
      <c r="C1354" t="n">
        <v>10</v>
      </c>
      <c r="D1354" t="n">
        <v>6</v>
      </c>
      <c r="E1354" t="s">
        <v>1365</v>
      </c>
      <c r="F1354" t="s"/>
      <c r="G1354" t="s"/>
      <c r="H1354" t="s"/>
      <c r="I1354" t="s"/>
      <c r="J1354" t="n">
        <v>0.6865</v>
      </c>
      <c r="K1354" t="n">
        <v>0.089</v>
      </c>
      <c r="L1354" t="n">
        <v>0.694</v>
      </c>
      <c r="M1354" t="n">
        <v>0.217</v>
      </c>
    </row>
    <row r="1355" spans="1:13">
      <c r="A1355" s="1">
        <f>HYPERLINK("http://www.twitter.com/NathanBLawrence/status/994293735239204865", "994293735239204865")</f>
        <v/>
      </c>
      <c r="B1355" s="2" t="n">
        <v>43229.79946759259</v>
      </c>
      <c r="C1355" t="n">
        <v>0</v>
      </c>
      <c r="D1355" t="n">
        <v>112</v>
      </c>
      <c r="E1355" t="s">
        <v>1366</v>
      </c>
      <c r="F1355">
        <f>HYPERLINK("http://pbs.twimg.com/media/DcxUgmRXkAEaE8B.jpg", "http://pbs.twimg.com/media/DcxUgmRXkAEaE8B.jpg")</f>
        <v/>
      </c>
      <c r="G1355" t="s"/>
      <c r="H1355" t="s"/>
      <c r="I1355" t="s"/>
      <c r="J1355" t="n">
        <v>0</v>
      </c>
      <c r="K1355" t="n">
        <v>0</v>
      </c>
      <c r="L1355" t="n">
        <v>1</v>
      </c>
      <c r="M1355" t="n">
        <v>0</v>
      </c>
    </row>
    <row r="1356" spans="1:13">
      <c r="A1356" s="1">
        <f>HYPERLINK("http://www.twitter.com/NathanBLawrence/status/994293553114202112", "994293553114202112")</f>
        <v/>
      </c>
      <c r="B1356" s="2" t="n">
        <v>43229.79895833333</v>
      </c>
      <c r="C1356" t="n">
        <v>9</v>
      </c>
      <c r="D1356" t="n">
        <v>3</v>
      </c>
      <c r="E1356" t="s">
        <v>1367</v>
      </c>
      <c r="F1356" t="s"/>
      <c r="G1356" t="s"/>
      <c r="H1356" t="s"/>
      <c r="I1356" t="s"/>
      <c r="J1356" t="n">
        <v>-0.3595</v>
      </c>
      <c r="K1356" t="n">
        <v>0.161</v>
      </c>
      <c r="L1356" t="n">
        <v>0.839</v>
      </c>
      <c r="M1356" t="n">
        <v>0</v>
      </c>
    </row>
    <row r="1357" spans="1:13">
      <c r="A1357" s="1">
        <f>HYPERLINK("http://www.twitter.com/NathanBLawrence/status/994293535699537920", "994293535699537920")</f>
        <v/>
      </c>
      <c r="B1357" s="2" t="n">
        <v>43229.79891203704</v>
      </c>
      <c r="C1357" t="n">
        <v>9</v>
      </c>
      <c r="D1357" t="n">
        <v>5</v>
      </c>
      <c r="E1357" t="s">
        <v>1368</v>
      </c>
      <c r="F1357" t="s"/>
      <c r="G1357" t="s"/>
      <c r="H1357" t="s"/>
      <c r="I1357" t="s"/>
      <c r="J1357" t="n">
        <v>-0.3595</v>
      </c>
      <c r="K1357" t="n">
        <v>0.161</v>
      </c>
      <c r="L1357" t="n">
        <v>0.839</v>
      </c>
      <c r="M1357" t="n">
        <v>0</v>
      </c>
    </row>
    <row r="1358" spans="1:13">
      <c r="A1358" s="1">
        <f>HYPERLINK("http://www.twitter.com/NathanBLawrence/status/994278199923097600", "994278199923097600")</f>
        <v/>
      </c>
      <c r="B1358" s="2" t="n">
        <v>43229.75659722222</v>
      </c>
      <c r="C1358" t="n">
        <v>54</v>
      </c>
      <c r="D1358" t="n">
        <v>44</v>
      </c>
      <c r="E1358" t="s">
        <v>1369</v>
      </c>
      <c r="F1358" t="s"/>
      <c r="G1358" t="s"/>
      <c r="H1358" t="s"/>
      <c r="I1358" t="s"/>
      <c r="J1358" t="n">
        <v>0.7059</v>
      </c>
      <c r="K1358" t="n">
        <v>0</v>
      </c>
      <c r="L1358" t="n">
        <v>0.882</v>
      </c>
      <c r="M1358" t="n">
        <v>0.118</v>
      </c>
    </row>
    <row r="1359" spans="1:13">
      <c r="A1359" s="1">
        <f>HYPERLINK("http://www.twitter.com/NathanBLawrence/status/994277733218770944", "994277733218770944")</f>
        <v/>
      </c>
      <c r="B1359" s="2" t="n">
        <v>43229.7553125</v>
      </c>
      <c r="C1359" t="n">
        <v>9</v>
      </c>
      <c r="D1359" t="n">
        <v>3</v>
      </c>
      <c r="E1359" t="s">
        <v>1370</v>
      </c>
      <c r="F1359" t="s"/>
      <c r="G1359" t="s"/>
      <c r="H1359" t="s"/>
      <c r="I1359" t="s"/>
      <c r="J1359" t="n">
        <v>0.296</v>
      </c>
      <c r="K1359" t="n">
        <v>0.065</v>
      </c>
      <c r="L1359" t="n">
        <v>0.833</v>
      </c>
      <c r="M1359" t="n">
        <v>0.101</v>
      </c>
    </row>
    <row r="1360" spans="1:13">
      <c r="A1360" s="1">
        <f>HYPERLINK("http://www.twitter.com/NathanBLawrence/status/994277511813988352", "994277511813988352")</f>
        <v/>
      </c>
      <c r="B1360" s="2" t="n">
        <v>43229.75469907407</v>
      </c>
      <c r="C1360" t="n">
        <v>18</v>
      </c>
      <c r="D1360" t="n">
        <v>14</v>
      </c>
      <c r="E1360" t="s">
        <v>1371</v>
      </c>
      <c r="F1360" t="s"/>
      <c r="G1360" t="s"/>
      <c r="H1360" t="s"/>
      <c r="I1360" t="s"/>
      <c r="J1360" t="n">
        <v>0.6486</v>
      </c>
      <c r="K1360" t="n">
        <v>0</v>
      </c>
      <c r="L1360" t="n">
        <v>0.892</v>
      </c>
      <c r="M1360" t="n">
        <v>0.108</v>
      </c>
    </row>
    <row r="1361" spans="1:13">
      <c r="A1361" s="1">
        <f>HYPERLINK("http://www.twitter.com/NathanBLawrence/status/994276762925199360", "994276762925199360")</f>
        <v/>
      </c>
      <c r="B1361" s="2" t="n">
        <v>43229.75262731482</v>
      </c>
      <c r="C1361" t="n">
        <v>7</v>
      </c>
      <c r="D1361" t="n">
        <v>5</v>
      </c>
      <c r="E1361" t="s">
        <v>1372</v>
      </c>
      <c r="F1361" t="s"/>
      <c r="G1361" t="s"/>
      <c r="H1361" t="s"/>
      <c r="I1361" t="s"/>
      <c r="J1361" t="n">
        <v>0.3094</v>
      </c>
      <c r="K1361" t="n">
        <v>0.068</v>
      </c>
      <c r="L1361" t="n">
        <v>0.823</v>
      </c>
      <c r="M1361" t="n">
        <v>0.109</v>
      </c>
    </row>
    <row r="1362" spans="1:13">
      <c r="A1362" s="1">
        <f>HYPERLINK("http://www.twitter.com/NathanBLawrence/status/994276185763819520", "994276185763819520")</f>
        <v/>
      </c>
      <c r="B1362" s="2" t="n">
        <v>43229.75104166667</v>
      </c>
      <c r="C1362" t="n">
        <v>7</v>
      </c>
      <c r="D1362" t="n">
        <v>1</v>
      </c>
      <c r="E1362" t="s">
        <v>1373</v>
      </c>
      <c r="F1362" t="s"/>
      <c r="G1362" t="s"/>
      <c r="H1362" t="s"/>
      <c r="I1362" t="s"/>
      <c r="J1362" t="n">
        <v>0.4939</v>
      </c>
      <c r="K1362" t="n">
        <v>0</v>
      </c>
      <c r="L1362" t="n">
        <v>0.9350000000000001</v>
      </c>
      <c r="M1362" t="n">
        <v>0.065</v>
      </c>
    </row>
    <row r="1363" spans="1:13">
      <c r="A1363" s="1">
        <f>HYPERLINK("http://www.twitter.com/NathanBLawrence/status/994275816849616896", "994275816849616896")</f>
        <v/>
      </c>
      <c r="B1363" s="2" t="n">
        <v>43229.75002314815</v>
      </c>
      <c r="C1363" t="n">
        <v>6</v>
      </c>
      <c r="D1363" t="n">
        <v>1</v>
      </c>
      <c r="E1363" t="s">
        <v>1374</v>
      </c>
      <c r="F1363" t="s"/>
      <c r="G1363" t="s"/>
      <c r="H1363" t="s"/>
      <c r="I1363" t="s"/>
      <c r="J1363" t="n">
        <v>0.4588</v>
      </c>
      <c r="K1363" t="n">
        <v>0</v>
      </c>
      <c r="L1363" t="n">
        <v>0.9330000000000001</v>
      </c>
      <c r="M1363" t="n">
        <v>0.067</v>
      </c>
    </row>
    <row r="1364" spans="1:13">
      <c r="A1364" s="1">
        <f>HYPERLINK("http://www.twitter.com/NathanBLawrence/status/994264870655705088", "994264870655705088")</f>
        <v/>
      </c>
      <c r="B1364" s="2" t="n">
        <v>43229.71981481482</v>
      </c>
      <c r="C1364" t="n">
        <v>6</v>
      </c>
      <c r="D1364" t="n">
        <v>2</v>
      </c>
      <c r="E1364" t="s">
        <v>1375</v>
      </c>
      <c r="F1364" t="s"/>
      <c r="G1364" t="s"/>
      <c r="H1364" t="s"/>
      <c r="I1364" t="s"/>
      <c r="J1364" t="n">
        <v>0.7058</v>
      </c>
      <c r="K1364" t="n">
        <v>0</v>
      </c>
      <c r="L1364" t="n">
        <v>0.649</v>
      </c>
      <c r="M1364" t="n">
        <v>0.351</v>
      </c>
    </row>
    <row r="1365" spans="1:13">
      <c r="A1365" s="1">
        <f>HYPERLINK("http://www.twitter.com/NathanBLawrence/status/994264737176207361", "994264737176207361")</f>
        <v/>
      </c>
      <c r="B1365" s="2" t="n">
        <v>43229.71944444445</v>
      </c>
      <c r="C1365" t="n">
        <v>3</v>
      </c>
      <c r="D1365" t="n">
        <v>3</v>
      </c>
      <c r="E1365" t="s">
        <v>1376</v>
      </c>
      <c r="F1365" t="s"/>
      <c r="G1365" t="s"/>
      <c r="H1365" t="s"/>
      <c r="I1365" t="s"/>
      <c r="J1365" t="n">
        <v>-0.5093</v>
      </c>
      <c r="K1365" t="n">
        <v>0.136</v>
      </c>
      <c r="L1365" t="n">
        <v>0.864</v>
      </c>
      <c r="M1365" t="n">
        <v>0</v>
      </c>
    </row>
    <row r="1366" spans="1:13">
      <c r="A1366" s="1">
        <f>HYPERLINK("http://www.twitter.com/NathanBLawrence/status/994264543357366272", "994264543357366272")</f>
        <v/>
      </c>
      <c r="B1366" s="2" t="n">
        <v>43229.71891203704</v>
      </c>
      <c r="C1366" t="n">
        <v>6</v>
      </c>
      <c r="D1366" t="n">
        <v>3</v>
      </c>
      <c r="E1366" t="s">
        <v>1377</v>
      </c>
      <c r="F1366" t="s"/>
      <c r="G1366" t="s"/>
      <c r="H1366" t="s"/>
      <c r="I1366" t="s"/>
      <c r="J1366" t="n">
        <v>-0.6467000000000001</v>
      </c>
      <c r="K1366" t="n">
        <v>0.305</v>
      </c>
      <c r="L1366" t="n">
        <v>0.478</v>
      </c>
      <c r="M1366" t="n">
        <v>0.218</v>
      </c>
    </row>
    <row r="1367" spans="1:13">
      <c r="A1367" s="1">
        <f>HYPERLINK("http://www.twitter.com/NathanBLawrence/status/994264326537015296", "994264326537015296")</f>
        <v/>
      </c>
      <c r="B1367" s="2" t="n">
        <v>43229.71831018518</v>
      </c>
      <c r="C1367" t="n">
        <v>18</v>
      </c>
      <c r="D1367" t="n">
        <v>10</v>
      </c>
      <c r="E1367" t="s">
        <v>1378</v>
      </c>
      <c r="F1367" t="s"/>
      <c r="G1367" t="s"/>
      <c r="H1367" t="s"/>
      <c r="I1367" t="s"/>
      <c r="J1367" t="n">
        <v>-0.7101</v>
      </c>
      <c r="K1367" t="n">
        <v>0.233</v>
      </c>
      <c r="L1367" t="n">
        <v>0.6840000000000001</v>
      </c>
      <c r="M1367" t="n">
        <v>0.083</v>
      </c>
    </row>
    <row r="1368" spans="1:13">
      <c r="A1368" s="1">
        <f>HYPERLINK("http://www.twitter.com/NathanBLawrence/status/994264202024861700", "994264202024861700")</f>
        <v/>
      </c>
      <c r="B1368" s="2" t="n">
        <v>43229.71796296296</v>
      </c>
      <c r="C1368" t="n">
        <v>0</v>
      </c>
      <c r="D1368" t="n">
        <v>1964</v>
      </c>
      <c r="E1368" t="s">
        <v>1379</v>
      </c>
      <c r="F1368" t="s"/>
      <c r="G1368" t="s"/>
      <c r="H1368" t="s"/>
      <c r="I1368" t="s"/>
      <c r="J1368" t="n">
        <v>-0.4648</v>
      </c>
      <c r="K1368" t="n">
        <v>0.178</v>
      </c>
      <c r="L1368" t="n">
        <v>0.822</v>
      </c>
      <c r="M1368" t="n">
        <v>0</v>
      </c>
    </row>
    <row r="1369" spans="1:13">
      <c r="A1369" s="1">
        <f>HYPERLINK("http://www.twitter.com/NathanBLawrence/status/994263809291255808", "994263809291255808")</f>
        <v/>
      </c>
      <c r="B1369" s="2" t="n">
        <v>43229.71688657408</v>
      </c>
      <c r="C1369" t="n">
        <v>2</v>
      </c>
      <c r="D1369" t="n">
        <v>2</v>
      </c>
      <c r="E1369" t="s">
        <v>1380</v>
      </c>
      <c r="F1369" t="s"/>
      <c r="G1369" t="s"/>
      <c r="H1369" t="s"/>
      <c r="I1369" t="s"/>
      <c r="J1369" t="n">
        <v>0</v>
      </c>
      <c r="K1369" t="n">
        <v>0</v>
      </c>
      <c r="L1369" t="n">
        <v>1</v>
      </c>
      <c r="M1369" t="n">
        <v>0</v>
      </c>
    </row>
    <row r="1370" spans="1:13">
      <c r="A1370" s="1">
        <f>HYPERLINK("http://www.twitter.com/NathanBLawrence/status/994263693591396353", "994263693591396353")</f>
        <v/>
      </c>
      <c r="B1370" s="2" t="n">
        <v>43229.7165625</v>
      </c>
      <c r="C1370" t="n">
        <v>0</v>
      </c>
      <c r="D1370" t="n">
        <v>379</v>
      </c>
      <c r="E1370" t="s">
        <v>1381</v>
      </c>
      <c r="F1370" t="s"/>
      <c r="G1370" t="s"/>
      <c r="H1370" t="s"/>
      <c r="I1370" t="s"/>
      <c r="J1370" t="n">
        <v>0.4708</v>
      </c>
      <c r="K1370" t="n">
        <v>0.066</v>
      </c>
      <c r="L1370" t="n">
        <v>0.804</v>
      </c>
      <c r="M1370" t="n">
        <v>0.13</v>
      </c>
    </row>
    <row r="1371" spans="1:13">
      <c r="A1371" s="1">
        <f>HYPERLINK("http://www.twitter.com/NathanBLawrence/status/994263648947257344", "994263648947257344")</f>
        <v/>
      </c>
      <c r="B1371" s="2" t="n">
        <v>43229.71644675926</v>
      </c>
      <c r="C1371" t="n">
        <v>0</v>
      </c>
      <c r="D1371" t="n">
        <v>4747</v>
      </c>
      <c r="E1371" t="s">
        <v>1382</v>
      </c>
      <c r="F1371" t="s"/>
      <c r="G1371" t="s"/>
      <c r="H1371" t="s"/>
      <c r="I1371" t="s"/>
      <c r="J1371" t="n">
        <v>-0.7865</v>
      </c>
      <c r="K1371" t="n">
        <v>0.256</v>
      </c>
      <c r="L1371" t="n">
        <v>0.744</v>
      </c>
      <c r="M1371" t="n">
        <v>0</v>
      </c>
    </row>
    <row r="1372" spans="1:13">
      <c r="A1372" s="1">
        <f>HYPERLINK("http://www.twitter.com/NathanBLawrence/status/994263551953924096", "994263551953924096")</f>
        <v/>
      </c>
      <c r="B1372" s="2" t="n">
        <v>43229.71616898148</v>
      </c>
      <c r="C1372" t="n">
        <v>0</v>
      </c>
      <c r="D1372" t="n">
        <v>169</v>
      </c>
      <c r="E1372" t="s">
        <v>1383</v>
      </c>
      <c r="F1372" t="s"/>
      <c r="G1372" t="s"/>
      <c r="H1372" t="s"/>
      <c r="I1372" t="s"/>
      <c r="J1372" t="n">
        <v>-0.5106000000000001</v>
      </c>
      <c r="K1372" t="n">
        <v>0.177</v>
      </c>
      <c r="L1372" t="n">
        <v>0.823</v>
      </c>
      <c r="M1372" t="n">
        <v>0</v>
      </c>
    </row>
    <row r="1373" spans="1:13">
      <c r="A1373" s="1">
        <f>HYPERLINK("http://www.twitter.com/NathanBLawrence/status/994263502884749313", "994263502884749313")</f>
        <v/>
      </c>
      <c r="B1373" s="2" t="n">
        <v>43229.71604166667</v>
      </c>
      <c r="C1373" t="n">
        <v>1</v>
      </c>
      <c r="D1373" t="n">
        <v>0</v>
      </c>
      <c r="E1373" t="s">
        <v>1384</v>
      </c>
      <c r="F1373" t="s"/>
      <c r="G1373" t="s"/>
      <c r="H1373" t="s"/>
      <c r="I1373" t="s"/>
      <c r="J1373" t="n">
        <v>0.6696</v>
      </c>
      <c r="K1373" t="n">
        <v>0</v>
      </c>
      <c r="L1373" t="n">
        <v>0.703</v>
      </c>
      <c r="M1373" t="n">
        <v>0.297</v>
      </c>
    </row>
    <row r="1374" spans="1:13">
      <c r="A1374" s="1">
        <f>HYPERLINK("http://www.twitter.com/NathanBLawrence/status/994263337767616514", "994263337767616514")</f>
        <v/>
      </c>
      <c r="B1374" s="2" t="n">
        <v>43229.7155787037</v>
      </c>
      <c r="C1374" t="n">
        <v>0</v>
      </c>
      <c r="D1374" t="n">
        <v>264</v>
      </c>
      <c r="E1374" t="s">
        <v>1385</v>
      </c>
      <c r="F1374" t="s"/>
      <c r="G1374" t="s"/>
      <c r="H1374" t="s"/>
      <c r="I1374" t="s"/>
      <c r="J1374" t="n">
        <v>-0.296</v>
      </c>
      <c r="K1374" t="n">
        <v>0.239</v>
      </c>
      <c r="L1374" t="n">
        <v>0.761</v>
      </c>
      <c r="M1374" t="n">
        <v>0</v>
      </c>
    </row>
    <row r="1375" spans="1:13">
      <c r="A1375" s="1">
        <f>HYPERLINK("http://www.twitter.com/NathanBLawrence/status/994263286844567552", "994263286844567552")</f>
        <v/>
      </c>
      <c r="B1375" s="2" t="n">
        <v>43229.71543981481</v>
      </c>
      <c r="C1375" t="n">
        <v>0</v>
      </c>
      <c r="D1375" t="n">
        <v>364</v>
      </c>
      <c r="E1375" t="s">
        <v>1386</v>
      </c>
      <c r="F1375">
        <f>HYPERLINK("https://video.twimg.com/amplify_video/993984388730904578/vid/1280x720/nw_syORL2NQRPW0o.mp4?tag=2", "https://video.twimg.com/amplify_video/993984388730904578/vid/1280x720/nw_syORL2NQRPW0o.mp4?tag=2")</f>
        <v/>
      </c>
      <c r="G1375" t="s"/>
      <c r="H1375" t="s"/>
      <c r="I1375" t="s"/>
      <c r="J1375" t="n">
        <v>-0.5994</v>
      </c>
      <c r="K1375" t="n">
        <v>0.14</v>
      </c>
      <c r="L1375" t="n">
        <v>0.86</v>
      </c>
      <c r="M1375" t="n">
        <v>0</v>
      </c>
    </row>
    <row r="1376" spans="1:13">
      <c r="A1376" s="1">
        <f>HYPERLINK("http://www.twitter.com/NathanBLawrence/status/994263076722503684", "994263076722503684")</f>
        <v/>
      </c>
      <c r="B1376" s="2" t="n">
        <v>43229.71486111111</v>
      </c>
      <c r="C1376" t="n">
        <v>0</v>
      </c>
      <c r="D1376" t="n">
        <v>11</v>
      </c>
      <c r="E1376" t="s">
        <v>1387</v>
      </c>
      <c r="F1376" t="s"/>
      <c r="G1376" t="s"/>
      <c r="H1376" t="s"/>
      <c r="I1376" t="s"/>
      <c r="J1376" t="n">
        <v>0</v>
      </c>
      <c r="K1376" t="n">
        <v>0</v>
      </c>
      <c r="L1376" t="n">
        <v>1</v>
      </c>
      <c r="M1376" t="n">
        <v>0</v>
      </c>
    </row>
    <row r="1377" spans="1:13">
      <c r="A1377" s="1">
        <f>HYPERLINK("http://www.twitter.com/NathanBLawrence/status/994262996045082625", "994262996045082625")</f>
        <v/>
      </c>
      <c r="B1377" s="2" t="n">
        <v>43229.7146412037</v>
      </c>
      <c r="C1377" t="n">
        <v>11</v>
      </c>
      <c r="D1377" t="n">
        <v>3</v>
      </c>
      <c r="E1377" t="s">
        <v>1388</v>
      </c>
      <c r="F1377" t="s"/>
      <c r="G1377" t="s"/>
      <c r="H1377" t="s"/>
      <c r="I1377" t="s"/>
      <c r="J1377" t="n">
        <v>0.9306</v>
      </c>
      <c r="K1377" t="n">
        <v>0.05</v>
      </c>
      <c r="L1377" t="n">
        <v>0.673</v>
      </c>
      <c r="M1377" t="n">
        <v>0.277</v>
      </c>
    </row>
    <row r="1378" spans="1:13">
      <c r="A1378" s="1">
        <f>HYPERLINK("http://www.twitter.com/NathanBLawrence/status/994262631161643008", "994262631161643008")</f>
        <v/>
      </c>
      <c r="B1378" s="2" t="n">
        <v>43229.71363425926</v>
      </c>
      <c r="C1378" t="n">
        <v>7</v>
      </c>
      <c r="D1378" t="n">
        <v>5</v>
      </c>
      <c r="E1378" t="s">
        <v>1389</v>
      </c>
      <c r="F1378" t="s"/>
      <c r="G1378" t="s"/>
      <c r="H1378" t="s"/>
      <c r="I1378" t="s"/>
      <c r="J1378" t="n">
        <v>0</v>
      </c>
      <c r="K1378" t="n">
        <v>0</v>
      </c>
      <c r="L1378" t="n">
        <v>1</v>
      </c>
      <c r="M1378" t="n">
        <v>0</v>
      </c>
    </row>
    <row r="1379" spans="1:13">
      <c r="A1379" s="1">
        <f>HYPERLINK("http://www.twitter.com/NathanBLawrence/status/994262318497189888", "994262318497189888")</f>
        <v/>
      </c>
      <c r="B1379" s="2" t="n">
        <v>43229.7127662037</v>
      </c>
      <c r="C1379" t="n">
        <v>5</v>
      </c>
      <c r="D1379" t="n">
        <v>2</v>
      </c>
      <c r="E1379" t="s">
        <v>1390</v>
      </c>
      <c r="F1379" t="s"/>
      <c r="G1379" t="s"/>
      <c r="H1379" t="s"/>
      <c r="I1379" t="s"/>
      <c r="J1379" t="n">
        <v>0.3612</v>
      </c>
      <c r="K1379" t="n">
        <v>0.151</v>
      </c>
      <c r="L1379" t="n">
        <v>0.615</v>
      </c>
      <c r="M1379" t="n">
        <v>0.235</v>
      </c>
    </row>
    <row r="1380" spans="1:13">
      <c r="A1380" s="1">
        <f>HYPERLINK("http://www.twitter.com/NathanBLawrence/status/994262139421343744", "994262139421343744")</f>
        <v/>
      </c>
      <c r="B1380" s="2" t="n">
        <v>43229.71228009259</v>
      </c>
      <c r="C1380" t="n">
        <v>2</v>
      </c>
      <c r="D1380" t="n">
        <v>2</v>
      </c>
      <c r="E1380" t="s">
        <v>1391</v>
      </c>
      <c r="F1380" t="s"/>
      <c r="G1380" t="s"/>
      <c r="H1380" t="s"/>
      <c r="I1380" t="s"/>
      <c r="J1380" t="n">
        <v>0.3182</v>
      </c>
      <c r="K1380" t="n">
        <v>0</v>
      </c>
      <c r="L1380" t="n">
        <v>0.827</v>
      </c>
      <c r="M1380" t="n">
        <v>0.173</v>
      </c>
    </row>
    <row r="1381" spans="1:13">
      <c r="A1381" s="1">
        <f>HYPERLINK("http://www.twitter.com/NathanBLawrence/status/994256579728846850", "994256579728846850")</f>
        <v/>
      </c>
      <c r="B1381" s="2" t="n">
        <v>43229.69693287037</v>
      </c>
      <c r="C1381" t="n">
        <v>10</v>
      </c>
      <c r="D1381" t="n">
        <v>5</v>
      </c>
      <c r="E1381" t="s">
        <v>1392</v>
      </c>
      <c r="F1381" t="s"/>
      <c r="G1381" t="s"/>
      <c r="H1381" t="s"/>
      <c r="I1381" t="s"/>
      <c r="J1381" t="n">
        <v>-0.0448</v>
      </c>
      <c r="K1381" t="n">
        <v>0.096</v>
      </c>
      <c r="L1381" t="n">
        <v>0.838</v>
      </c>
      <c r="M1381" t="n">
        <v>0.066</v>
      </c>
    </row>
    <row r="1382" spans="1:13">
      <c r="A1382" s="1">
        <f>HYPERLINK("http://www.twitter.com/NathanBLawrence/status/994255490589773824", "994255490589773824")</f>
        <v/>
      </c>
      <c r="B1382" s="2" t="n">
        <v>43229.69392361111</v>
      </c>
      <c r="C1382" t="n">
        <v>13</v>
      </c>
      <c r="D1382" t="n">
        <v>11</v>
      </c>
      <c r="E1382" t="s">
        <v>1393</v>
      </c>
      <c r="F1382" t="s"/>
      <c r="G1382" t="s"/>
      <c r="H1382" t="s"/>
      <c r="I1382" t="s"/>
      <c r="J1382" t="n">
        <v>-0.3094</v>
      </c>
      <c r="K1382" t="n">
        <v>0.073</v>
      </c>
      <c r="L1382" t="n">
        <v>0.879</v>
      </c>
      <c r="M1382" t="n">
        <v>0.048</v>
      </c>
    </row>
    <row r="1383" spans="1:13">
      <c r="A1383" s="1">
        <f>HYPERLINK("http://www.twitter.com/NathanBLawrence/status/994255173764567041", "994255173764567041")</f>
        <v/>
      </c>
      <c r="B1383" s="2" t="n">
        <v>43229.69305555556</v>
      </c>
      <c r="C1383" t="n">
        <v>8</v>
      </c>
      <c r="D1383" t="n">
        <v>6</v>
      </c>
      <c r="E1383" t="s">
        <v>1394</v>
      </c>
      <c r="F1383" t="s"/>
      <c r="G1383" t="s"/>
      <c r="H1383" t="s"/>
      <c r="I1383" t="s"/>
      <c r="J1383" t="n">
        <v>-0.2779</v>
      </c>
      <c r="K1383" t="n">
        <v>0.149</v>
      </c>
      <c r="L1383" t="n">
        <v>0.76</v>
      </c>
      <c r="M1383" t="n">
        <v>0.091</v>
      </c>
    </row>
    <row r="1384" spans="1:13">
      <c r="A1384" s="1">
        <f>HYPERLINK("http://www.twitter.com/NathanBLawrence/status/994131369105113088", "994131369105113088")</f>
        <v/>
      </c>
      <c r="B1384" s="2" t="n">
        <v>43229.35142361111</v>
      </c>
      <c r="C1384" t="n">
        <v>0</v>
      </c>
      <c r="D1384" t="n">
        <v>211</v>
      </c>
      <c r="E1384" t="s">
        <v>1395</v>
      </c>
      <c r="F1384" t="s"/>
      <c r="G1384" t="s"/>
      <c r="H1384" t="s"/>
      <c r="I1384" t="s"/>
      <c r="J1384" t="n">
        <v>-0.8519</v>
      </c>
      <c r="K1384" t="n">
        <v>0.411</v>
      </c>
      <c r="L1384" t="n">
        <v>0.532</v>
      </c>
      <c r="M1384" t="n">
        <v>0.057</v>
      </c>
    </row>
    <row r="1385" spans="1:13">
      <c r="A1385" s="1">
        <f>HYPERLINK("http://www.twitter.com/NathanBLawrence/status/994131258182483968", "994131258182483968")</f>
        <v/>
      </c>
      <c r="B1385" s="2" t="n">
        <v>43229.35111111111</v>
      </c>
      <c r="C1385" t="n">
        <v>0</v>
      </c>
      <c r="D1385" t="n">
        <v>87</v>
      </c>
      <c r="E1385" t="s">
        <v>1396</v>
      </c>
      <c r="F1385" t="s"/>
      <c r="G1385" t="s"/>
      <c r="H1385" t="s"/>
      <c r="I1385" t="s"/>
      <c r="J1385" t="n">
        <v>0.4847</v>
      </c>
      <c r="K1385" t="n">
        <v>0</v>
      </c>
      <c r="L1385" t="n">
        <v>0.614</v>
      </c>
      <c r="M1385" t="n">
        <v>0.386</v>
      </c>
    </row>
    <row r="1386" spans="1:13">
      <c r="A1386" s="1">
        <f>HYPERLINK("http://www.twitter.com/NathanBLawrence/status/994130963461431296", "994130963461431296")</f>
        <v/>
      </c>
      <c r="B1386" s="2" t="n">
        <v>43229.35030092593</v>
      </c>
      <c r="C1386" t="n">
        <v>0</v>
      </c>
      <c r="D1386" t="n">
        <v>208</v>
      </c>
      <c r="E1386" t="s">
        <v>1397</v>
      </c>
      <c r="F1386" t="s"/>
      <c r="G1386" t="s"/>
      <c r="H1386" t="s"/>
      <c r="I1386" t="s"/>
      <c r="J1386" t="n">
        <v>0.4404</v>
      </c>
      <c r="K1386" t="n">
        <v>0</v>
      </c>
      <c r="L1386" t="n">
        <v>0.847</v>
      </c>
      <c r="M1386" t="n">
        <v>0.153</v>
      </c>
    </row>
    <row r="1387" spans="1:13">
      <c r="A1387" s="1">
        <f>HYPERLINK("http://www.twitter.com/NathanBLawrence/status/994130835853869056", "994130835853869056")</f>
        <v/>
      </c>
      <c r="B1387" s="2" t="n">
        <v>43229.34994212963</v>
      </c>
      <c r="C1387" t="n">
        <v>0</v>
      </c>
      <c r="D1387" t="n">
        <v>55579</v>
      </c>
      <c r="E1387" t="s">
        <v>1398</v>
      </c>
      <c r="F1387" t="s"/>
      <c r="G1387" t="s"/>
      <c r="H1387" t="s"/>
      <c r="I1387" t="s"/>
      <c r="J1387" t="n">
        <v>0.802</v>
      </c>
      <c r="K1387" t="n">
        <v>0</v>
      </c>
      <c r="L1387" t="n">
        <v>0.41</v>
      </c>
      <c r="M1387" t="n">
        <v>0.59</v>
      </c>
    </row>
    <row r="1388" spans="1:13">
      <c r="A1388" s="1">
        <f>HYPERLINK("http://www.twitter.com/NathanBLawrence/status/994130799757688832", "994130799757688832")</f>
        <v/>
      </c>
      <c r="B1388" s="2" t="n">
        <v>43229.34984953704</v>
      </c>
      <c r="C1388" t="n">
        <v>0</v>
      </c>
      <c r="D1388" t="n">
        <v>352</v>
      </c>
      <c r="E1388" t="s">
        <v>1399</v>
      </c>
      <c r="F1388" t="s"/>
      <c r="G1388" t="s"/>
      <c r="H1388" t="s"/>
      <c r="I1388" t="s"/>
      <c r="J1388" t="n">
        <v>-0.4019</v>
      </c>
      <c r="K1388" t="n">
        <v>0.119</v>
      </c>
      <c r="L1388" t="n">
        <v>0.881</v>
      </c>
      <c r="M1388" t="n">
        <v>0</v>
      </c>
    </row>
    <row r="1389" spans="1:13">
      <c r="A1389" s="1">
        <f>HYPERLINK("http://www.twitter.com/NathanBLawrence/status/994130547151536128", "994130547151536128")</f>
        <v/>
      </c>
      <c r="B1389" s="2" t="n">
        <v>43229.34915509259</v>
      </c>
      <c r="C1389" t="n">
        <v>0</v>
      </c>
      <c r="D1389" t="n">
        <v>1634</v>
      </c>
      <c r="E1389" t="s">
        <v>1400</v>
      </c>
      <c r="F1389" t="s"/>
      <c r="G1389" t="s"/>
      <c r="H1389" t="s"/>
      <c r="I1389" t="s"/>
      <c r="J1389" t="n">
        <v>0.2023</v>
      </c>
      <c r="K1389" t="n">
        <v>0</v>
      </c>
      <c r="L1389" t="n">
        <v>0.924</v>
      </c>
      <c r="M1389" t="n">
        <v>0.076</v>
      </c>
    </row>
    <row r="1390" spans="1:13">
      <c r="A1390" s="1">
        <f>HYPERLINK("http://www.twitter.com/NathanBLawrence/status/994130450909085697", "994130450909085697")</f>
        <v/>
      </c>
      <c r="B1390" s="2" t="n">
        <v>43229.34888888889</v>
      </c>
      <c r="C1390" t="n">
        <v>0</v>
      </c>
      <c r="D1390" t="n">
        <v>4677</v>
      </c>
      <c r="E1390" t="s">
        <v>1401</v>
      </c>
      <c r="F1390" t="s"/>
      <c r="G1390" t="s"/>
      <c r="H1390" t="s"/>
      <c r="I1390" t="s"/>
      <c r="J1390" t="n">
        <v>-0.0164</v>
      </c>
      <c r="K1390" t="n">
        <v>0.202</v>
      </c>
      <c r="L1390" t="n">
        <v>0.597</v>
      </c>
      <c r="M1390" t="n">
        <v>0.2</v>
      </c>
    </row>
    <row r="1391" spans="1:13">
      <c r="A1391" s="1">
        <f>HYPERLINK("http://www.twitter.com/NathanBLawrence/status/994130330733789185", "994130330733789185")</f>
        <v/>
      </c>
      <c r="B1391" s="2" t="n">
        <v>43229.34855324074</v>
      </c>
      <c r="C1391" t="n">
        <v>0</v>
      </c>
      <c r="D1391" t="n">
        <v>887</v>
      </c>
      <c r="E1391" t="s">
        <v>1402</v>
      </c>
      <c r="F1391">
        <f>HYPERLINK("https://video.twimg.com/ext_tw_video/947177513687625729/pu/vid/1280x720/Bn5AiBt8U0hvu76F.mp4", "https://video.twimg.com/ext_tw_video/947177513687625729/pu/vid/1280x720/Bn5AiBt8U0hvu76F.mp4")</f>
        <v/>
      </c>
      <c r="G1391" t="s"/>
      <c r="H1391" t="s"/>
      <c r="I1391" t="s"/>
      <c r="J1391" t="n">
        <v>0.296</v>
      </c>
      <c r="K1391" t="n">
        <v>0</v>
      </c>
      <c r="L1391" t="n">
        <v>0.905</v>
      </c>
      <c r="M1391" t="n">
        <v>0.095</v>
      </c>
    </row>
    <row r="1392" spans="1:13">
      <c r="A1392" s="1">
        <f>HYPERLINK("http://www.twitter.com/NathanBLawrence/status/994130261271969792", "994130261271969792")</f>
        <v/>
      </c>
      <c r="B1392" s="2" t="n">
        <v>43229.34835648148</v>
      </c>
      <c r="C1392" t="n">
        <v>0</v>
      </c>
      <c r="D1392" t="n">
        <v>2950</v>
      </c>
      <c r="E1392" t="s">
        <v>1403</v>
      </c>
      <c r="F1392" t="s"/>
      <c r="G1392" t="s"/>
      <c r="H1392" t="s"/>
      <c r="I1392" t="s"/>
      <c r="J1392" t="n">
        <v>0.5266999999999999</v>
      </c>
      <c r="K1392" t="n">
        <v>0</v>
      </c>
      <c r="L1392" t="n">
        <v>0.861</v>
      </c>
      <c r="M1392" t="n">
        <v>0.139</v>
      </c>
    </row>
    <row r="1393" spans="1:13">
      <c r="A1393" s="1">
        <f>HYPERLINK("http://www.twitter.com/NathanBLawrence/status/994130205718409216", "994130205718409216")</f>
        <v/>
      </c>
      <c r="B1393" s="2" t="n">
        <v>43229.34820601852</v>
      </c>
      <c r="C1393" t="n">
        <v>0</v>
      </c>
      <c r="D1393" t="n">
        <v>1017</v>
      </c>
      <c r="E1393" t="s">
        <v>1404</v>
      </c>
      <c r="F1393">
        <f>HYPERLINK("https://video.twimg.com/amplify_video/993908662078001152/vid/1280x720/P5kjp4TLz68F3jOW.mp4?tag=2", "https://video.twimg.com/amplify_video/993908662078001152/vid/1280x720/P5kjp4TLz68F3jOW.mp4?tag=2")</f>
        <v/>
      </c>
      <c r="G1393" t="s"/>
      <c r="H1393" t="s"/>
      <c r="I1393" t="s"/>
      <c r="J1393" t="n">
        <v>0</v>
      </c>
      <c r="K1393" t="n">
        <v>0</v>
      </c>
      <c r="L1393" t="n">
        <v>1</v>
      </c>
      <c r="M1393" t="n">
        <v>0</v>
      </c>
    </row>
    <row r="1394" spans="1:13">
      <c r="A1394" s="1">
        <f>HYPERLINK("http://www.twitter.com/NathanBLawrence/status/994130130757861376", "994130130757861376")</f>
        <v/>
      </c>
      <c r="B1394" s="2" t="n">
        <v>43229.34799768519</v>
      </c>
      <c r="C1394" t="n">
        <v>0</v>
      </c>
      <c r="D1394" t="n">
        <v>249</v>
      </c>
      <c r="E1394" t="s">
        <v>1405</v>
      </c>
      <c r="F1394" t="s"/>
      <c r="G1394" t="s"/>
      <c r="H1394" t="s"/>
      <c r="I1394" t="s"/>
      <c r="J1394" t="n">
        <v>-0.5574</v>
      </c>
      <c r="K1394" t="n">
        <v>0.194</v>
      </c>
      <c r="L1394" t="n">
        <v>0.806</v>
      </c>
      <c r="M1394" t="n">
        <v>0</v>
      </c>
    </row>
    <row r="1395" spans="1:13">
      <c r="A1395" s="1">
        <f>HYPERLINK("http://www.twitter.com/NathanBLawrence/status/994130065104371712", "994130065104371712")</f>
        <v/>
      </c>
      <c r="B1395" s="2" t="n">
        <v>43229.34782407407</v>
      </c>
      <c r="C1395" t="n">
        <v>0</v>
      </c>
      <c r="D1395" t="n">
        <v>420</v>
      </c>
      <c r="E1395" t="s">
        <v>1406</v>
      </c>
      <c r="F1395" t="s"/>
      <c r="G1395" t="s"/>
      <c r="H1395" t="s"/>
      <c r="I1395" t="s"/>
      <c r="J1395" t="n">
        <v>0.3802</v>
      </c>
      <c r="K1395" t="n">
        <v>0.169</v>
      </c>
      <c r="L1395" t="n">
        <v>0.5629999999999999</v>
      </c>
      <c r="M1395" t="n">
        <v>0.268</v>
      </c>
    </row>
    <row r="1396" spans="1:13">
      <c r="A1396" s="1">
        <f>HYPERLINK("http://www.twitter.com/NathanBLawrence/status/994130019323531264", "994130019323531264")</f>
        <v/>
      </c>
      <c r="B1396" s="2" t="n">
        <v>43229.34769675926</v>
      </c>
      <c r="C1396" t="n">
        <v>0</v>
      </c>
      <c r="D1396" t="n">
        <v>1038</v>
      </c>
      <c r="E1396" t="s">
        <v>1407</v>
      </c>
      <c r="F1396">
        <f>HYPERLINK("https://video.twimg.com/amplify_video/993862251957415936/vid/1280x720/Bi_r0qUfssBSgXNL.mp4?tag=2", "https://video.twimg.com/amplify_video/993862251957415936/vid/1280x720/Bi_r0qUfssBSgXNL.mp4?tag=2")</f>
        <v/>
      </c>
      <c r="G1396" t="s"/>
      <c r="H1396" t="s"/>
      <c r="I1396" t="s"/>
      <c r="J1396" t="n">
        <v>-0.4588</v>
      </c>
      <c r="K1396" t="n">
        <v>0.15</v>
      </c>
      <c r="L1396" t="n">
        <v>0.85</v>
      </c>
      <c r="M1396" t="n">
        <v>0</v>
      </c>
    </row>
    <row r="1397" spans="1:13">
      <c r="A1397" s="1">
        <f>HYPERLINK("http://www.twitter.com/NathanBLawrence/status/994129942278389761", "994129942278389761")</f>
        <v/>
      </c>
      <c r="B1397" s="2" t="n">
        <v>43229.34747685185</v>
      </c>
      <c r="C1397" t="n">
        <v>0</v>
      </c>
      <c r="D1397" t="n">
        <v>1219</v>
      </c>
      <c r="E1397" t="s">
        <v>1408</v>
      </c>
      <c r="F1397" t="s"/>
      <c r="G1397" t="s"/>
      <c r="H1397" t="s"/>
      <c r="I1397" t="s"/>
      <c r="J1397" t="n">
        <v>0.0516</v>
      </c>
      <c r="K1397" t="n">
        <v>0.107</v>
      </c>
      <c r="L1397" t="n">
        <v>0.777</v>
      </c>
      <c r="M1397" t="n">
        <v>0.117</v>
      </c>
    </row>
    <row r="1398" spans="1:13">
      <c r="A1398" s="1">
        <f>HYPERLINK("http://www.twitter.com/NathanBLawrence/status/994129808807182337", "994129808807182337")</f>
        <v/>
      </c>
      <c r="B1398" s="2" t="n">
        <v>43229.34711805556</v>
      </c>
      <c r="C1398" t="n">
        <v>0</v>
      </c>
      <c r="D1398" t="n">
        <v>752</v>
      </c>
      <c r="E1398" t="s">
        <v>1409</v>
      </c>
      <c r="F1398">
        <f>HYPERLINK("http://pbs.twimg.com/media/Dcc1gErVAAA_9mz.jpg", "http://pbs.twimg.com/media/Dcc1gErVAAA_9mz.jpg")</f>
        <v/>
      </c>
      <c r="G1398" t="s"/>
      <c r="H1398" t="s"/>
      <c r="I1398" t="s"/>
      <c r="J1398" t="n">
        <v>0.6369</v>
      </c>
      <c r="K1398" t="n">
        <v>0</v>
      </c>
      <c r="L1398" t="n">
        <v>0.785</v>
      </c>
      <c r="M1398" t="n">
        <v>0.215</v>
      </c>
    </row>
    <row r="1399" spans="1:13">
      <c r="A1399" s="1">
        <f>HYPERLINK("http://www.twitter.com/NathanBLawrence/status/994129686664892416", "994129686664892416")</f>
        <v/>
      </c>
      <c r="B1399" s="2" t="n">
        <v>43229.34677083333</v>
      </c>
      <c r="C1399" t="n">
        <v>0</v>
      </c>
      <c r="D1399" t="n">
        <v>1141</v>
      </c>
      <c r="E1399" t="s">
        <v>1410</v>
      </c>
      <c r="F1399">
        <f>HYPERLINK("https://video.twimg.com/ext_tw_video/993993466198806528/pu/vid/1280x720/6OTzWgLez6Q8GkZ2.mp4?tag=3", "https://video.twimg.com/ext_tw_video/993993466198806528/pu/vid/1280x720/6OTzWgLez6Q8GkZ2.mp4?tag=3")</f>
        <v/>
      </c>
      <c r="G1399" t="s"/>
      <c r="H1399" t="s"/>
      <c r="I1399" t="s"/>
      <c r="J1399" t="n">
        <v>-0.296</v>
      </c>
      <c r="K1399" t="n">
        <v>0.095</v>
      </c>
      <c r="L1399" t="n">
        <v>0.905</v>
      </c>
      <c r="M1399" t="n">
        <v>0</v>
      </c>
    </row>
    <row r="1400" spans="1:13">
      <c r="A1400" s="1">
        <f>HYPERLINK("http://www.twitter.com/NathanBLawrence/status/994123310928576513", "994123310928576513")</f>
        <v/>
      </c>
      <c r="B1400" s="2" t="n">
        <v>43229.32917824074</v>
      </c>
      <c r="C1400" t="n">
        <v>5</v>
      </c>
      <c r="D1400" t="n">
        <v>4</v>
      </c>
      <c r="E1400" t="s">
        <v>1411</v>
      </c>
      <c r="F1400" t="s"/>
      <c r="G1400" t="s"/>
      <c r="H1400" t="s"/>
      <c r="I1400" t="s"/>
      <c r="J1400" t="n">
        <v>-0.6705</v>
      </c>
      <c r="K1400" t="n">
        <v>0.355</v>
      </c>
      <c r="L1400" t="n">
        <v>0.645</v>
      </c>
      <c r="M1400" t="n">
        <v>0</v>
      </c>
    </row>
    <row r="1401" spans="1:13">
      <c r="A1401" s="1">
        <f>HYPERLINK("http://www.twitter.com/NathanBLawrence/status/994122915904815104", "994122915904815104")</f>
        <v/>
      </c>
      <c r="B1401" s="2" t="n">
        <v>43229.32809027778</v>
      </c>
      <c r="C1401" t="n">
        <v>5</v>
      </c>
      <c r="D1401" t="n">
        <v>2</v>
      </c>
      <c r="E1401" t="s">
        <v>1412</v>
      </c>
      <c r="F1401" t="s"/>
      <c r="G1401" t="s"/>
      <c r="H1401" t="s"/>
      <c r="I1401" t="s"/>
      <c r="J1401" t="n">
        <v>0</v>
      </c>
      <c r="K1401" t="n">
        <v>0</v>
      </c>
      <c r="L1401" t="n">
        <v>1</v>
      </c>
      <c r="M1401" t="n">
        <v>0</v>
      </c>
    </row>
    <row r="1402" spans="1:13">
      <c r="A1402" s="1">
        <f>HYPERLINK("http://www.twitter.com/NathanBLawrence/status/994122399292444672", "994122399292444672")</f>
        <v/>
      </c>
      <c r="B1402" s="2" t="n">
        <v>43229.32666666667</v>
      </c>
      <c r="C1402" t="n">
        <v>5</v>
      </c>
      <c r="D1402" t="n">
        <v>5</v>
      </c>
      <c r="E1402" t="s">
        <v>1413</v>
      </c>
      <c r="F1402" t="s"/>
      <c r="G1402" t="s"/>
      <c r="H1402" t="s"/>
      <c r="I1402" t="s"/>
      <c r="J1402" t="n">
        <v>0.34</v>
      </c>
      <c r="K1402" t="n">
        <v>0</v>
      </c>
      <c r="L1402" t="n">
        <v>0.9389999999999999</v>
      </c>
      <c r="M1402" t="n">
        <v>0.061</v>
      </c>
    </row>
    <row r="1403" spans="1:13">
      <c r="A1403" s="1">
        <f>HYPERLINK("http://www.twitter.com/NathanBLawrence/status/994121713364287488", "994121713364287488")</f>
        <v/>
      </c>
      <c r="B1403" s="2" t="n">
        <v>43229.32478009259</v>
      </c>
      <c r="C1403" t="n">
        <v>0</v>
      </c>
      <c r="D1403" t="n">
        <v>991</v>
      </c>
      <c r="E1403" t="s">
        <v>1414</v>
      </c>
      <c r="F1403" t="s"/>
      <c r="G1403" t="s"/>
      <c r="H1403" t="s"/>
      <c r="I1403" t="s"/>
      <c r="J1403" t="n">
        <v>0.2732</v>
      </c>
      <c r="K1403" t="n">
        <v>0.063</v>
      </c>
      <c r="L1403" t="n">
        <v>0.821</v>
      </c>
      <c r="M1403" t="n">
        <v>0.116</v>
      </c>
    </row>
    <row r="1404" spans="1:13">
      <c r="A1404" s="1">
        <f>HYPERLINK("http://www.twitter.com/NathanBLawrence/status/994121639045419008", "994121639045419008")</f>
        <v/>
      </c>
      <c r="B1404" s="2" t="n">
        <v>43229.32457175926</v>
      </c>
      <c r="C1404" t="n">
        <v>4</v>
      </c>
      <c r="D1404" t="n">
        <v>1</v>
      </c>
      <c r="E1404" t="s">
        <v>1415</v>
      </c>
      <c r="F1404" t="s"/>
      <c r="G1404" t="s"/>
      <c r="H1404" t="s"/>
      <c r="I1404" t="s"/>
      <c r="J1404" t="n">
        <v>-0.6908</v>
      </c>
      <c r="K1404" t="n">
        <v>0.449</v>
      </c>
      <c r="L1404" t="n">
        <v>0.551</v>
      </c>
      <c r="M1404" t="n">
        <v>0</v>
      </c>
    </row>
    <row r="1405" spans="1:13">
      <c r="A1405" s="1">
        <f>HYPERLINK("http://www.twitter.com/NathanBLawrence/status/994121497747668992", "994121497747668992")</f>
        <v/>
      </c>
      <c r="B1405" s="2" t="n">
        <v>43229.32417824074</v>
      </c>
      <c r="C1405" t="n">
        <v>0</v>
      </c>
      <c r="D1405" t="n">
        <v>631</v>
      </c>
      <c r="E1405" t="s">
        <v>1416</v>
      </c>
      <c r="F1405" t="s"/>
      <c r="G1405" t="s"/>
      <c r="H1405" t="s"/>
      <c r="I1405" t="s"/>
      <c r="J1405" t="n">
        <v>-0.6731</v>
      </c>
      <c r="K1405" t="n">
        <v>0.208</v>
      </c>
      <c r="L1405" t="n">
        <v>0.792</v>
      </c>
      <c r="M1405" t="n">
        <v>0</v>
      </c>
    </row>
    <row r="1406" spans="1:13">
      <c r="A1406" s="1">
        <f>HYPERLINK("http://www.twitter.com/NathanBLawrence/status/994121003679690753", "994121003679690753")</f>
        <v/>
      </c>
      <c r="B1406" s="2" t="n">
        <v>43229.3228125</v>
      </c>
      <c r="C1406" t="n">
        <v>0</v>
      </c>
      <c r="D1406" t="n">
        <v>3211</v>
      </c>
      <c r="E1406" t="s">
        <v>1417</v>
      </c>
      <c r="F1406">
        <f>HYPERLINK("http://pbs.twimg.com/media/DcteAWqVAAAXdP1.jpg", "http://pbs.twimg.com/media/DcteAWqVAAAXdP1.jpg")</f>
        <v/>
      </c>
      <c r="G1406" t="s"/>
      <c r="H1406" t="s"/>
      <c r="I1406" t="s"/>
      <c r="J1406" t="n">
        <v>0.1531</v>
      </c>
      <c r="K1406" t="n">
        <v>0</v>
      </c>
      <c r="L1406" t="n">
        <v>0.926</v>
      </c>
      <c r="M1406" t="n">
        <v>0.074</v>
      </c>
    </row>
    <row r="1407" spans="1:13">
      <c r="A1407" s="1">
        <f>HYPERLINK("http://www.twitter.com/NathanBLawrence/status/994120807998631936", "994120807998631936")</f>
        <v/>
      </c>
      <c r="B1407" s="2" t="n">
        <v>43229.32228009259</v>
      </c>
      <c r="C1407" t="n">
        <v>0</v>
      </c>
      <c r="D1407" t="n">
        <v>6287</v>
      </c>
      <c r="E1407" t="s">
        <v>1418</v>
      </c>
      <c r="F1407" t="s"/>
      <c r="G1407" t="s"/>
      <c r="H1407" t="s"/>
      <c r="I1407" t="s"/>
      <c r="J1407" t="n">
        <v>0.3612</v>
      </c>
      <c r="K1407" t="n">
        <v>0</v>
      </c>
      <c r="L1407" t="n">
        <v>0.898</v>
      </c>
      <c r="M1407" t="n">
        <v>0.102</v>
      </c>
    </row>
    <row r="1408" spans="1:13">
      <c r="A1408" s="1">
        <f>HYPERLINK("http://www.twitter.com/NathanBLawrence/status/994119445306986496", "994119445306986496")</f>
        <v/>
      </c>
      <c r="B1408" s="2" t="n">
        <v>43229.31851851852</v>
      </c>
      <c r="C1408" t="n">
        <v>7</v>
      </c>
      <c r="D1408" t="n">
        <v>4</v>
      </c>
      <c r="E1408" t="s">
        <v>1419</v>
      </c>
      <c r="F1408" t="s"/>
      <c r="G1408" t="s"/>
      <c r="H1408" t="s"/>
      <c r="I1408" t="s"/>
      <c r="J1408" t="n">
        <v>0</v>
      </c>
      <c r="K1408" t="n">
        <v>0</v>
      </c>
      <c r="L1408" t="n">
        <v>1</v>
      </c>
      <c r="M1408" t="n">
        <v>0</v>
      </c>
    </row>
    <row r="1409" spans="1:13">
      <c r="A1409" s="1">
        <f>HYPERLINK("http://www.twitter.com/NathanBLawrence/status/994117985114599424", "994117985114599424")</f>
        <v/>
      </c>
      <c r="B1409" s="2" t="n">
        <v>43229.31449074074</v>
      </c>
      <c r="C1409" t="n">
        <v>1</v>
      </c>
      <c r="D1409" t="n">
        <v>0</v>
      </c>
      <c r="E1409" t="s">
        <v>1420</v>
      </c>
      <c r="F1409" t="s"/>
      <c r="G1409" t="s"/>
      <c r="H1409" t="s"/>
      <c r="I1409" t="s"/>
      <c r="J1409" t="n">
        <v>0.7717000000000001</v>
      </c>
      <c r="K1409" t="n">
        <v>0</v>
      </c>
      <c r="L1409" t="n">
        <v>0.599</v>
      </c>
      <c r="M1409" t="n">
        <v>0.401</v>
      </c>
    </row>
    <row r="1410" spans="1:13">
      <c r="A1410" s="1">
        <f>HYPERLINK("http://www.twitter.com/NathanBLawrence/status/994117778050138112", "994117778050138112")</f>
        <v/>
      </c>
      <c r="B1410" s="2" t="n">
        <v>43229.31391203704</v>
      </c>
      <c r="C1410" t="n">
        <v>0</v>
      </c>
      <c r="D1410" t="n">
        <v>287</v>
      </c>
      <c r="E1410" t="s">
        <v>1421</v>
      </c>
      <c r="F1410">
        <f>HYPERLINK("http://pbs.twimg.com/media/DcuCt78U0AAVlOP.jpg", "http://pbs.twimg.com/media/DcuCt78U0AAVlOP.jpg")</f>
        <v/>
      </c>
      <c r="G1410" t="s"/>
      <c r="H1410" t="s"/>
      <c r="I1410" t="s"/>
      <c r="J1410" t="n">
        <v>0.2263</v>
      </c>
      <c r="K1410" t="n">
        <v>0.098</v>
      </c>
      <c r="L1410" t="n">
        <v>0.766</v>
      </c>
      <c r="M1410" t="n">
        <v>0.136</v>
      </c>
    </row>
    <row r="1411" spans="1:13">
      <c r="A1411" s="1">
        <f>HYPERLINK("http://www.twitter.com/NathanBLawrence/status/994117607295893509", "994117607295893509")</f>
        <v/>
      </c>
      <c r="B1411" s="2" t="n">
        <v>43229.31344907408</v>
      </c>
      <c r="C1411" t="n">
        <v>4</v>
      </c>
      <c r="D1411" t="n">
        <v>2</v>
      </c>
      <c r="E1411" t="s">
        <v>1422</v>
      </c>
      <c r="F1411" t="s"/>
      <c r="G1411" t="s"/>
      <c r="H1411" t="s"/>
      <c r="I1411" t="s"/>
      <c r="J1411" t="n">
        <v>0</v>
      </c>
      <c r="K1411" t="n">
        <v>0</v>
      </c>
      <c r="L1411" t="n">
        <v>1</v>
      </c>
      <c r="M1411" t="n">
        <v>0</v>
      </c>
    </row>
    <row r="1412" spans="1:13">
      <c r="A1412" s="1">
        <f>HYPERLINK("http://www.twitter.com/NathanBLawrence/status/994117372620324864", "994117372620324864")</f>
        <v/>
      </c>
      <c r="B1412" s="2" t="n">
        <v>43229.31280092592</v>
      </c>
      <c r="C1412" t="n">
        <v>0</v>
      </c>
      <c r="D1412" t="n">
        <v>19</v>
      </c>
      <c r="E1412" t="s">
        <v>1423</v>
      </c>
      <c r="F1412" t="s"/>
      <c r="G1412" t="s"/>
      <c r="H1412" t="s"/>
      <c r="I1412" t="s"/>
      <c r="J1412" t="n">
        <v>0</v>
      </c>
      <c r="K1412" t="n">
        <v>0</v>
      </c>
      <c r="L1412" t="n">
        <v>1</v>
      </c>
      <c r="M1412" t="n">
        <v>0</v>
      </c>
    </row>
    <row r="1413" spans="1:13">
      <c r="A1413" s="1">
        <f>HYPERLINK("http://www.twitter.com/NathanBLawrence/status/994117164037619712", "994117164037619712")</f>
        <v/>
      </c>
      <c r="B1413" s="2" t="n">
        <v>43229.31222222222</v>
      </c>
      <c r="C1413" t="n">
        <v>0</v>
      </c>
      <c r="D1413" t="n">
        <v>11</v>
      </c>
      <c r="E1413" t="s">
        <v>1424</v>
      </c>
      <c r="F1413" t="s"/>
      <c r="G1413" t="s"/>
      <c r="H1413" t="s"/>
      <c r="I1413" t="s"/>
      <c r="J1413" t="n">
        <v>0</v>
      </c>
      <c r="K1413" t="n">
        <v>0</v>
      </c>
      <c r="L1413" t="n">
        <v>1</v>
      </c>
      <c r="M1413" t="n">
        <v>0</v>
      </c>
    </row>
    <row r="1414" spans="1:13">
      <c r="A1414" s="1">
        <f>HYPERLINK("http://www.twitter.com/NathanBLawrence/status/994117089890787328", "994117089890787328")</f>
        <v/>
      </c>
      <c r="B1414" s="2" t="n">
        <v>43229.31201388889</v>
      </c>
      <c r="C1414" t="n">
        <v>0</v>
      </c>
      <c r="D1414" t="n">
        <v>2633</v>
      </c>
      <c r="E1414" t="s">
        <v>1425</v>
      </c>
      <c r="F1414">
        <f>HYPERLINK("http://pbs.twimg.com/media/DctiDEjUwAAlVVQ.jpg", "http://pbs.twimg.com/media/DctiDEjUwAAlVVQ.jpg")</f>
        <v/>
      </c>
      <c r="G1414" t="s"/>
      <c r="H1414" t="s"/>
      <c r="I1414" t="s"/>
      <c r="J1414" t="n">
        <v>0.6369</v>
      </c>
      <c r="K1414" t="n">
        <v>0</v>
      </c>
      <c r="L1414" t="n">
        <v>0.656</v>
      </c>
      <c r="M1414" t="n">
        <v>0.344</v>
      </c>
    </row>
    <row r="1415" spans="1:13">
      <c r="A1415" s="1">
        <f>HYPERLINK("http://www.twitter.com/NathanBLawrence/status/994116999310553088", "994116999310553088")</f>
        <v/>
      </c>
      <c r="B1415" s="2" t="n">
        <v>43229.31177083333</v>
      </c>
      <c r="C1415" t="n">
        <v>0</v>
      </c>
      <c r="D1415" t="n">
        <v>2</v>
      </c>
      <c r="E1415" t="s">
        <v>1426</v>
      </c>
      <c r="F1415" t="s"/>
      <c r="G1415" t="s"/>
      <c r="H1415" t="s"/>
      <c r="I1415" t="s"/>
      <c r="J1415" t="n">
        <v>0.6124000000000001</v>
      </c>
      <c r="K1415" t="n">
        <v>0</v>
      </c>
      <c r="L1415" t="n">
        <v>0.792</v>
      </c>
      <c r="M1415" t="n">
        <v>0.208</v>
      </c>
    </row>
    <row r="1416" spans="1:13">
      <c r="A1416" s="1">
        <f>HYPERLINK("http://www.twitter.com/NathanBLawrence/status/994116643558076416", "994116643558076416")</f>
        <v/>
      </c>
      <c r="B1416" s="2" t="n">
        <v>43229.31078703704</v>
      </c>
      <c r="C1416" t="n">
        <v>0</v>
      </c>
      <c r="D1416" t="n">
        <v>841</v>
      </c>
      <c r="E1416" t="s">
        <v>1427</v>
      </c>
      <c r="F1416">
        <f>HYPERLINK("http://pbs.twimg.com/media/DctZCV_VMAAqq0X.jpg", "http://pbs.twimg.com/media/DctZCV_VMAAqq0X.jpg")</f>
        <v/>
      </c>
      <c r="G1416" t="s"/>
      <c r="H1416" t="s"/>
      <c r="I1416" t="s"/>
      <c r="J1416" t="n">
        <v>0.4215</v>
      </c>
      <c r="K1416" t="n">
        <v>0</v>
      </c>
      <c r="L1416" t="n">
        <v>0.896</v>
      </c>
      <c r="M1416" t="n">
        <v>0.104</v>
      </c>
    </row>
    <row r="1417" spans="1:13">
      <c r="A1417" s="1">
        <f>HYPERLINK("http://www.twitter.com/NathanBLawrence/status/994115058346049536", "994115058346049536")</f>
        <v/>
      </c>
      <c r="B1417" s="2" t="n">
        <v>43229.30641203704</v>
      </c>
      <c r="C1417" t="n">
        <v>0</v>
      </c>
      <c r="D1417" t="n">
        <v>6</v>
      </c>
      <c r="E1417" t="s">
        <v>1428</v>
      </c>
      <c r="F1417">
        <f>HYPERLINK("http://pbs.twimg.com/media/Dcrf5r7WsAIGO8I.jpg", "http://pbs.twimg.com/media/Dcrf5r7WsAIGO8I.jpg")</f>
        <v/>
      </c>
      <c r="G1417" t="s"/>
      <c r="H1417" t="s"/>
      <c r="I1417" t="s"/>
      <c r="J1417" t="n">
        <v>0</v>
      </c>
      <c r="K1417" t="n">
        <v>0</v>
      </c>
      <c r="L1417" t="n">
        <v>1</v>
      </c>
      <c r="M1417" t="n">
        <v>0</v>
      </c>
    </row>
    <row r="1418" spans="1:13">
      <c r="A1418" s="1">
        <f>HYPERLINK("http://www.twitter.com/NathanBLawrence/status/994114934114996224", "994114934114996224")</f>
        <v/>
      </c>
      <c r="B1418" s="2" t="n">
        <v>43229.30606481482</v>
      </c>
      <c r="C1418" t="n">
        <v>0</v>
      </c>
      <c r="D1418" t="n">
        <v>3475</v>
      </c>
      <c r="E1418" t="s">
        <v>1429</v>
      </c>
      <c r="F1418" t="s"/>
      <c r="G1418" t="s"/>
      <c r="H1418" t="s"/>
      <c r="I1418" t="s"/>
      <c r="J1418" t="n">
        <v>0</v>
      </c>
      <c r="K1418" t="n">
        <v>0</v>
      </c>
      <c r="L1418" t="n">
        <v>1</v>
      </c>
      <c r="M1418" t="n">
        <v>0</v>
      </c>
    </row>
    <row r="1419" spans="1:13">
      <c r="A1419" s="1">
        <f>HYPERLINK("http://www.twitter.com/NathanBLawrence/status/994114603259904000", "994114603259904000")</f>
        <v/>
      </c>
      <c r="B1419" s="2" t="n">
        <v>43229.30515046296</v>
      </c>
      <c r="C1419" t="n">
        <v>0</v>
      </c>
      <c r="D1419" t="n">
        <v>33001</v>
      </c>
      <c r="E1419" t="s">
        <v>1430</v>
      </c>
      <c r="F1419" t="s"/>
      <c r="G1419" t="s"/>
      <c r="H1419" t="s"/>
      <c r="I1419" t="s"/>
      <c r="J1419" t="n">
        <v>-0.6361</v>
      </c>
      <c r="K1419" t="n">
        <v>0.252</v>
      </c>
      <c r="L1419" t="n">
        <v>0.648</v>
      </c>
      <c r="M1419" t="n">
        <v>0.101</v>
      </c>
    </row>
    <row r="1420" spans="1:13">
      <c r="A1420" s="1">
        <f>HYPERLINK("http://www.twitter.com/NathanBLawrence/status/994114508913192961", "994114508913192961")</f>
        <v/>
      </c>
      <c r="B1420" s="2" t="n">
        <v>43229.30489583333</v>
      </c>
      <c r="C1420" t="n">
        <v>0</v>
      </c>
      <c r="D1420" t="n">
        <v>737</v>
      </c>
      <c r="E1420" t="s">
        <v>1431</v>
      </c>
      <c r="F1420">
        <f>HYPERLINK("https://video.twimg.com/ext_tw_video/993995007475433472/pu/vid/720x720/SSAFkw-CRERI_zXD.mp4?tag=3", "https://video.twimg.com/ext_tw_video/993995007475433472/pu/vid/720x720/SSAFkw-CRERI_zXD.mp4?tag=3")</f>
        <v/>
      </c>
      <c r="G1420" t="s"/>
      <c r="H1420" t="s"/>
      <c r="I1420" t="s"/>
      <c r="J1420" t="n">
        <v>0.4019</v>
      </c>
      <c r="K1420" t="n">
        <v>0.075</v>
      </c>
      <c r="L1420" t="n">
        <v>0.787</v>
      </c>
      <c r="M1420" t="n">
        <v>0.139</v>
      </c>
    </row>
    <row r="1421" spans="1:13">
      <c r="A1421" s="1">
        <f>HYPERLINK("http://www.twitter.com/NathanBLawrence/status/994114128619847680", "994114128619847680")</f>
        <v/>
      </c>
      <c r="B1421" s="2" t="n">
        <v>43229.30384259259</v>
      </c>
      <c r="C1421" t="n">
        <v>0</v>
      </c>
      <c r="D1421" t="n">
        <v>466</v>
      </c>
      <c r="E1421" t="s">
        <v>1432</v>
      </c>
      <c r="F1421" t="s"/>
      <c r="G1421" t="s"/>
      <c r="H1421" t="s"/>
      <c r="I1421" t="s"/>
      <c r="J1421" t="n">
        <v>0.8689</v>
      </c>
      <c r="K1421" t="n">
        <v>0</v>
      </c>
      <c r="L1421" t="n">
        <v>0.66</v>
      </c>
      <c r="M1421" t="n">
        <v>0.34</v>
      </c>
    </row>
    <row r="1422" spans="1:13">
      <c r="A1422" s="1">
        <f>HYPERLINK("http://www.twitter.com/NathanBLawrence/status/994110343130505216", "994110343130505216")</f>
        <v/>
      </c>
      <c r="B1422" s="2" t="n">
        <v>43229.29340277778</v>
      </c>
      <c r="C1422" t="n">
        <v>6</v>
      </c>
      <c r="D1422" t="n">
        <v>6</v>
      </c>
      <c r="E1422" t="s">
        <v>1433</v>
      </c>
      <c r="F1422" t="s"/>
      <c r="G1422" t="s"/>
      <c r="H1422" t="s"/>
      <c r="I1422" t="s"/>
      <c r="J1422" t="n">
        <v>0.8225</v>
      </c>
      <c r="K1422" t="n">
        <v>0</v>
      </c>
      <c r="L1422" t="n">
        <v>0.803</v>
      </c>
      <c r="M1422" t="n">
        <v>0.197</v>
      </c>
    </row>
    <row r="1423" spans="1:13">
      <c r="A1423" s="1">
        <f>HYPERLINK("http://www.twitter.com/NathanBLawrence/status/994109997771505665", "994109997771505665")</f>
        <v/>
      </c>
      <c r="B1423" s="2" t="n">
        <v>43229.29244212963</v>
      </c>
      <c r="C1423" t="n">
        <v>0</v>
      </c>
      <c r="D1423" t="n">
        <v>1711</v>
      </c>
      <c r="E1423" t="s">
        <v>1434</v>
      </c>
      <c r="F1423" t="s"/>
      <c r="G1423" t="s"/>
      <c r="H1423" t="s"/>
      <c r="I1423" t="s"/>
      <c r="J1423" t="n">
        <v>0</v>
      </c>
      <c r="K1423" t="n">
        <v>0</v>
      </c>
      <c r="L1423" t="n">
        <v>1</v>
      </c>
      <c r="M1423" t="n">
        <v>0</v>
      </c>
    </row>
    <row r="1424" spans="1:13">
      <c r="A1424" s="1">
        <f>HYPERLINK("http://www.twitter.com/NathanBLawrence/status/994109820755046401", "994109820755046401")</f>
        <v/>
      </c>
      <c r="B1424" s="2" t="n">
        <v>43229.29195601852</v>
      </c>
      <c r="C1424" t="n">
        <v>0</v>
      </c>
      <c r="D1424" t="n">
        <v>540</v>
      </c>
      <c r="E1424" t="s">
        <v>1435</v>
      </c>
      <c r="F1424">
        <f>HYPERLINK("http://pbs.twimg.com/media/DcuTeOCU0AArG13.jpg", "http://pbs.twimg.com/media/DcuTeOCU0AArG13.jpg")</f>
        <v/>
      </c>
      <c r="G1424" t="s"/>
      <c r="H1424" t="s"/>
      <c r="I1424" t="s"/>
      <c r="J1424" t="n">
        <v>-0.128</v>
      </c>
      <c r="K1424" t="n">
        <v>0.129</v>
      </c>
      <c r="L1424" t="n">
        <v>0.722</v>
      </c>
      <c r="M1424" t="n">
        <v>0.148</v>
      </c>
    </row>
    <row r="1425" spans="1:13">
      <c r="A1425" s="1">
        <f>HYPERLINK("http://www.twitter.com/NathanBLawrence/status/994109593088278528", "994109593088278528")</f>
        <v/>
      </c>
      <c r="B1425" s="2" t="n">
        <v>43229.29133101852</v>
      </c>
      <c r="C1425" t="n">
        <v>0</v>
      </c>
      <c r="D1425" t="n">
        <v>32</v>
      </c>
      <c r="E1425" t="s">
        <v>1436</v>
      </c>
      <c r="F1425">
        <f>HYPERLINK("http://pbs.twimg.com/media/DcqzQMlV0AAR-9J.jpg", "http://pbs.twimg.com/media/DcqzQMlV0AAR-9J.jpg")</f>
        <v/>
      </c>
      <c r="G1425" t="s"/>
      <c r="H1425" t="s"/>
      <c r="I1425" t="s"/>
      <c r="J1425" t="n">
        <v>0</v>
      </c>
      <c r="K1425" t="n">
        <v>0</v>
      </c>
      <c r="L1425" t="n">
        <v>1</v>
      </c>
      <c r="M1425" t="n">
        <v>0</v>
      </c>
    </row>
    <row r="1426" spans="1:13">
      <c r="A1426" s="1">
        <f>HYPERLINK("http://www.twitter.com/NathanBLawrence/status/994109423135080454", "994109423135080454")</f>
        <v/>
      </c>
      <c r="B1426" s="2" t="n">
        <v>43229.29085648148</v>
      </c>
      <c r="C1426" t="n">
        <v>0</v>
      </c>
      <c r="D1426" t="n">
        <v>972</v>
      </c>
      <c r="E1426" t="s">
        <v>1437</v>
      </c>
      <c r="F1426">
        <f>HYPERLINK("http://pbs.twimg.com/media/DctrRTYVwAAWP6-.jpg", "http://pbs.twimg.com/media/DctrRTYVwAAWP6-.jpg")</f>
        <v/>
      </c>
      <c r="G1426" t="s"/>
      <c r="H1426" t="s"/>
      <c r="I1426" t="s"/>
      <c r="J1426" t="n">
        <v>-0.1779</v>
      </c>
      <c r="K1426" t="n">
        <v>0.08599999999999999</v>
      </c>
      <c r="L1426" t="n">
        <v>0.86</v>
      </c>
      <c r="M1426" t="n">
        <v>0.054</v>
      </c>
    </row>
    <row r="1427" spans="1:13">
      <c r="A1427" s="1">
        <f>HYPERLINK("http://www.twitter.com/NathanBLawrence/status/994109373591912448", "994109373591912448")</f>
        <v/>
      </c>
      <c r="B1427" s="2" t="n">
        <v>43229.29071759259</v>
      </c>
      <c r="C1427" t="n">
        <v>3</v>
      </c>
      <c r="D1427" t="n">
        <v>0</v>
      </c>
      <c r="E1427" t="s">
        <v>1438</v>
      </c>
      <c r="F1427" t="s"/>
      <c r="G1427" t="s"/>
      <c r="H1427" t="s"/>
      <c r="I1427" t="s"/>
      <c r="J1427" t="n">
        <v>0.2462</v>
      </c>
      <c r="K1427" t="n">
        <v>0.146</v>
      </c>
      <c r="L1427" t="n">
        <v>0.67</v>
      </c>
      <c r="M1427" t="n">
        <v>0.185</v>
      </c>
    </row>
    <row r="1428" spans="1:13">
      <c r="A1428" s="1">
        <f>HYPERLINK("http://www.twitter.com/NathanBLawrence/status/994109155869773825", "994109155869773825")</f>
        <v/>
      </c>
      <c r="B1428" s="2" t="n">
        <v>43229.29012731482</v>
      </c>
      <c r="C1428" t="n">
        <v>0</v>
      </c>
      <c r="D1428" t="n">
        <v>1</v>
      </c>
      <c r="E1428" t="s">
        <v>1439</v>
      </c>
      <c r="F1428" t="s"/>
      <c r="G1428" t="s"/>
      <c r="H1428" t="s"/>
      <c r="I1428" t="s"/>
      <c r="J1428" t="n">
        <v>0.3818</v>
      </c>
      <c r="K1428" t="n">
        <v>0.15</v>
      </c>
      <c r="L1428" t="n">
        <v>0.629</v>
      </c>
      <c r="M1428" t="n">
        <v>0.222</v>
      </c>
    </row>
    <row r="1429" spans="1:13">
      <c r="A1429" s="1">
        <f>HYPERLINK("http://www.twitter.com/NathanBLawrence/status/994108889967673344", "994108889967673344")</f>
        <v/>
      </c>
      <c r="B1429" s="2" t="n">
        <v>43229.28938657408</v>
      </c>
      <c r="C1429" t="n">
        <v>0</v>
      </c>
      <c r="D1429" t="n">
        <v>848</v>
      </c>
      <c r="E1429" t="s">
        <v>1440</v>
      </c>
      <c r="F1429">
        <f>HYPERLINK("http://pbs.twimg.com/media/DcpBZD8VMAAufnj.jpg", "http://pbs.twimg.com/media/DcpBZD8VMAAufnj.jpg")</f>
        <v/>
      </c>
      <c r="G1429" t="s"/>
      <c r="H1429" t="s"/>
      <c r="I1429" t="s"/>
      <c r="J1429" t="n">
        <v>-0.8279</v>
      </c>
      <c r="K1429" t="n">
        <v>0.3</v>
      </c>
      <c r="L1429" t="n">
        <v>0.7</v>
      </c>
      <c r="M1429" t="n">
        <v>0</v>
      </c>
    </row>
    <row r="1430" spans="1:13">
      <c r="A1430" s="1">
        <f>HYPERLINK("http://www.twitter.com/NathanBLawrence/status/994108814306639877", "994108814306639877")</f>
        <v/>
      </c>
      <c r="B1430" s="2" t="n">
        <v>43229.28917824074</v>
      </c>
      <c r="C1430" t="n">
        <v>0</v>
      </c>
      <c r="D1430" t="n">
        <v>206</v>
      </c>
      <c r="E1430" t="s">
        <v>1441</v>
      </c>
      <c r="F1430">
        <f>HYPERLINK("https://video.twimg.com/amplify_video/993984388730904578/vid/1280x720/nw_syORL2NQRPW0o.mp4?tag=2", "https://video.twimg.com/amplify_video/993984388730904578/vid/1280x720/nw_syORL2NQRPW0o.mp4?tag=2")</f>
        <v/>
      </c>
      <c r="G1430" t="s"/>
      <c r="H1430" t="s"/>
      <c r="I1430" t="s"/>
      <c r="J1430" t="n">
        <v>-0.1685</v>
      </c>
      <c r="K1430" t="n">
        <v>0.212</v>
      </c>
      <c r="L1430" t="n">
        <v>0.622</v>
      </c>
      <c r="M1430" t="n">
        <v>0.166</v>
      </c>
    </row>
    <row r="1431" spans="1:13">
      <c r="A1431" s="1">
        <f>HYPERLINK("http://www.twitter.com/NathanBLawrence/status/994108442825523200", "994108442825523200")</f>
        <v/>
      </c>
      <c r="B1431" s="2" t="n">
        <v>43229.28815972222</v>
      </c>
      <c r="C1431" t="n">
        <v>0</v>
      </c>
      <c r="D1431" t="n">
        <v>4425</v>
      </c>
      <c r="E1431" t="s">
        <v>1442</v>
      </c>
      <c r="F1431" t="s"/>
      <c r="G1431" t="s"/>
      <c r="H1431" t="s"/>
      <c r="I1431" t="s"/>
      <c r="J1431" t="n">
        <v>0</v>
      </c>
      <c r="K1431" t="n">
        <v>0</v>
      </c>
      <c r="L1431" t="n">
        <v>1</v>
      </c>
      <c r="M1431" t="n">
        <v>0</v>
      </c>
    </row>
    <row r="1432" spans="1:13">
      <c r="A1432" s="1">
        <f>HYPERLINK("http://www.twitter.com/NathanBLawrence/status/994108384445063168", "994108384445063168")</f>
        <v/>
      </c>
      <c r="B1432" s="2" t="n">
        <v>43229.28799768518</v>
      </c>
      <c r="C1432" t="n">
        <v>12</v>
      </c>
      <c r="D1432" t="n">
        <v>5</v>
      </c>
      <c r="E1432" t="s">
        <v>1443</v>
      </c>
      <c r="F1432" t="s"/>
      <c r="G1432" t="s"/>
      <c r="H1432" t="s"/>
      <c r="I1432" t="s"/>
      <c r="J1432" t="n">
        <v>-0.9184</v>
      </c>
      <c r="K1432" t="n">
        <v>0.433</v>
      </c>
      <c r="L1432" t="n">
        <v>0.5669999999999999</v>
      </c>
      <c r="M1432" t="n">
        <v>0</v>
      </c>
    </row>
    <row r="1433" spans="1:13">
      <c r="A1433" s="1">
        <f>HYPERLINK("http://www.twitter.com/NathanBLawrence/status/994108083797352448", "994108083797352448")</f>
        <v/>
      </c>
      <c r="B1433" s="2" t="n">
        <v>43229.28716435185</v>
      </c>
      <c r="C1433" t="n">
        <v>0</v>
      </c>
      <c r="D1433" t="n">
        <v>58</v>
      </c>
      <c r="E1433" t="s">
        <v>1444</v>
      </c>
      <c r="F1433">
        <f>HYPERLINK("http://pbs.twimg.com/media/DY1XRVmU0AA_I-8.jpg", "http://pbs.twimg.com/media/DY1XRVmU0AA_I-8.jpg")</f>
        <v/>
      </c>
      <c r="G1433" t="s"/>
      <c r="H1433" t="s"/>
      <c r="I1433" t="s"/>
      <c r="J1433" t="n">
        <v>-0.7579</v>
      </c>
      <c r="K1433" t="n">
        <v>0.248</v>
      </c>
      <c r="L1433" t="n">
        <v>0.6840000000000001</v>
      </c>
      <c r="M1433" t="n">
        <v>0.068</v>
      </c>
    </row>
    <row r="1434" spans="1:13">
      <c r="A1434" s="1">
        <f>HYPERLINK("http://www.twitter.com/NathanBLawrence/status/994108056840486912", "994108056840486912")</f>
        <v/>
      </c>
      <c r="B1434" s="2" t="n">
        <v>43229.28709490741</v>
      </c>
      <c r="C1434" t="n">
        <v>5</v>
      </c>
      <c r="D1434" t="n">
        <v>5</v>
      </c>
      <c r="E1434" t="s">
        <v>1445</v>
      </c>
      <c r="F1434" t="s"/>
      <c r="G1434" t="s"/>
      <c r="H1434" t="s"/>
      <c r="I1434" t="s"/>
      <c r="J1434" t="n">
        <v>-0.7096</v>
      </c>
      <c r="K1434" t="n">
        <v>0.238</v>
      </c>
      <c r="L1434" t="n">
        <v>0.6840000000000001</v>
      </c>
      <c r="M1434" t="n">
        <v>0.078</v>
      </c>
    </row>
    <row r="1435" spans="1:13">
      <c r="A1435" s="1">
        <f>HYPERLINK("http://www.twitter.com/NathanBLawrence/status/994107686961561600", "994107686961561600")</f>
        <v/>
      </c>
      <c r="B1435" s="2" t="n">
        <v>43229.28606481481</v>
      </c>
      <c r="C1435" t="n">
        <v>0</v>
      </c>
      <c r="D1435" t="n">
        <v>3571</v>
      </c>
      <c r="E1435" t="s">
        <v>1446</v>
      </c>
      <c r="F1435" t="s"/>
      <c r="G1435" t="s"/>
      <c r="H1435" t="s"/>
      <c r="I1435" t="s"/>
      <c r="J1435" t="n">
        <v>0</v>
      </c>
      <c r="K1435" t="n">
        <v>0</v>
      </c>
      <c r="L1435" t="n">
        <v>1</v>
      </c>
      <c r="M1435" t="n">
        <v>0</v>
      </c>
    </row>
    <row r="1436" spans="1:13">
      <c r="A1436" s="1">
        <f>HYPERLINK("http://www.twitter.com/NathanBLawrence/status/994107511941750785", "994107511941750785")</f>
        <v/>
      </c>
      <c r="B1436" s="2" t="n">
        <v>43229.28559027778</v>
      </c>
      <c r="C1436" t="n">
        <v>0</v>
      </c>
      <c r="D1436" t="n">
        <v>385</v>
      </c>
      <c r="E1436" t="s">
        <v>1447</v>
      </c>
      <c r="F1436">
        <f>HYPERLINK("http://pbs.twimg.com/media/DctycjIUQAA1XiM.jpg", "http://pbs.twimg.com/media/DctycjIUQAA1XiM.jpg")</f>
        <v/>
      </c>
      <c r="G1436" t="s"/>
      <c r="H1436" t="s"/>
      <c r="I1436" t="s"/>
      <c r="J1436" t="n">
        <v>0.7334000000000001</v>
      </c>
      <c r="K1436" t="n">
        <v>0</v>
      </c>
      <c r="L1436" t="n">
        <v>0.764</v>
      </c>
      <c r="M1436" t="n">
        <v>0.236</v>
      </c>
    </row>
    <row r="1437" spans="1:13">
      <c r="A1437" s="1">
        <f>HYPERLINK("http://www.twitter.com/NathanBLawrence/status/994107315950268417", "994107315950268417")</f>
        <v/>
      </c>
      <c r="B1437" s="2" t="n">
        <v>43229.2850462963</v>
      </c>
      <c r="C1437" t="n">
        <v>3</v>
      </c>
      <c r="D1437" t="n">
        <v>3</v>
      </c>
      <c r="E1437" t="s">
        <v>1448</v>
      </c>
      <c r="F1437" t="s"/>
      <c r="G1437" t="s"/>
      <c r="H1437" t="s"/>
      <c r="I1437" t="s"/>
      <c r="J1437" t="n">
        <v>0.2168</v>
      </c>
      <c r="K1437" t="n">
        <v>0</v>
      </c>
      <c r="L1437" t="n">
        <v>0.9379999999999999</v>
      </c>
      <c r="M1437" t="n">
        <v>0.062</v>
      </c>
    </row>
    <row r="1438" spans="1:13">
      <c r="A1438" s="1">
        <f>HYPERLINK("http://www.twitter.com/NathanBLawrence/status/994106958989836289", "994106958989836289")</f>
        <v/>
      </c>
      <c r="B1438" s="2" t="n">
        <v>43229.2840625</v>
      </c>
      <c r="C1438" t="n">
        <v>0</v>
      </c>
      <c r="D1438" t="n">
        <v>846</v>
      </c>
      <c r="E1438" t="s">
        <v>1449</v>
      </c>
      <c r="F1438">
        <f>HYPERLINK("http://pbs.twimg.com/media/DctLFtvWsAAWI30.jpg", "http://pbs.twimg.com/media/DctLFtvWsAAWI30.jpg")</f>
        <v/>
      </c>
      <c r="G1438" t="s"/>
      <c r="H1438" t="s"/>
      <c r="I1438" t="s"/>
      <c r="J1438" t="n">
        <v>0</v>
      </c>
      <c r="K1438" t="n">
        <v>0</v>
      </c>
      <c r="L1438" t="n">
        <v>1</v>
      </c>
      <c r="M1438" t="n">
        <v>0</v>
      </c>
    </row>
    <row r="1439" spans="1:13">
      <c r="A1439" s="1">
        <f>HYPERLINK("http://www.twitter.com/NathanBLawrence/status/994104855097622530", "994104855097622530")</f>
        <v/>
      </c>
      <c r="B1439" s="2" t="n">
        <v>43229.27825231481</v>
      </c>
      <c r="C1439" t="n">
        <v>0</v>
      </c>
      <c r="D1439" t="n">
        <v>378</v>
      </c>
      <c r="E1439" t="s">
        <v>1450</v>
      </c>
      <c r="F1439">
        <f>HYPERLINK("http://pbs.twimg.com/media/DcsrdQ2XUAI5rkK.jpg", "http://pbs.twimg.com/media/DcsrdQ2XUAI5rkK.jpg")</f>
        <v/>
      </c>
      <c r="G1439" t="s"/>
      <c r="H1439" t="s"/>
      <c r="I1439" t="s"/>
      <c r="J1439" t="n">
        <v>0.5859</v>
      </c>
      <c r="K1439" t="n">
        <v>0</v>
      </c>
      <c r="L1439" t="n">
        <v>0.789</v>
      </c>
      <c r="M1439" t="n">
        <v>0.211</v>
      </c>
    </row>
    <row r="1440" spans="1:13">
      <c r="A1440" s="1">
        <f>HYPERLINK("http://www.twitter.com/NathanBLawrence/status/994104740828139520", "994104740828139520")</f>
        <v/>
      </c>
      <c r="B1440" s="2" t="n">
        <v>43229.27793981481</v>
      </c>
      <c r="C1440" t="n">
        <v>0</v>
      </c>
      <c r="D1440" t="n">
        <v>1206</v>
      </c>
      <c r="E1440" t="s">
        <v>1451</v>
      </c>
      <c r="F1440">
        <f>HYPERLINK("http://pbs.twimg.com/media/DctjhSkUQAA9z1l.jpg", "http://pbs.twimg.com/media/DctjhSkUQAA9z1l.jpg")</f>
        <v/>
      </c>
      <c r="G1440" t="s"/>
      <c r="H1440" t="s"/>
      <c r="I1440" t="s"/>
      <c r="J1440" t="n">
        <v>-0.7906</v>
      </c>
      <c r="K1440" t="n">
        <v>0.233</v>
      </c>
      <c r="L1440" t="n">
        <v>0.767</v>
      </c>
      <c r="M1440" t="n">
        <v>0</v>
      </c>
    </row>
    <row r="1441" spans="1:13">
      <c r="A1441" s="1">
        <f>HYPERLINK("http://www.twitter.com/NathanBLawrence/status/994104619495112704", "994104619495112704")</f>
        <v/>
      </c>
      <c r="B1441" s="2" t="n">
        <v>43229.27760416667</v>
      </c>
      <c r="C1441" t="n">
        <v>0</v>
      </c>
      <c r="D1441" t="n">
        <v>2514</v>
      </c>
      <c r="E1441" t="s">
        <v>1452</v>
      </c>
      <c r="F1441">
        <f>HYPERLINK("http://pbs.twimg.com/media/DctMNgUXcAAi1io.jpg", "http://pbs.twimg.com/media/DctMNgUXcAAi1io.jpg")</f>
        <v/>
      </c>
      <c r="G1441" t="s"/>
      <c r="H1441" t="s"/>
      <c r="I1441" t="s"/>
      <c r="J1441" t="n">
        <v>0.6114000000000001</v>
      </c>
      <c r="K1441" t="n">
        <v>0</v>
      </c>
      <c r="L1441" t="n">
        <v>0.8</v>
      </c>
      <c r="M1441" t="n">
        <v>0.2</v>
      </c>
    </row>
    <row r="1442" spans="1:13">
      <c r="A1442" s="1">
        <f>HYPERLINK("http://www.twitter.com/NathanBLawrence/status/994104439001702400", "994104439001702400")</f>
        <v/>
      </c>
      <c r="B1442" s="2" t="n">
        <v>43229.27710648148</v>
      </c>
      <c r="C1442" t="n">
        <v>6</v>
      </c>
      <c r="D1442" t="n">
        <v>2</v>
      </c>
      <c r="E1442" t="s">
        <v>1453</v>
      </c>
      <c r="F1442" t="s"/>
      <c r="G1442" t="s"/>
      <c r="H1442" t="s"/>
      <c r="I1442" t="s"/>
      <c r="J1442" t="n">
        <v>0.4701</v>
      </c>
      <c r="K1442" t="n">
        <v>0</v>
      </c>
      <c r="L1442" t="n">
        <v>0.62</v>
      </c>
      <c r="M1442" t="n">
        <v>0.38</v>
      </c>
    </row>
    <row r="1443" spans="1:13">
      <c r="A1443" s="1">
        <f>HYPERLINK("http://www.twitter.com/NathanBLawrence/status/994104280767389696", "994104280767389696")</f>
        <v/>
      </c>
      <c r="B1443" s="2" t="n">
        <v>43229.27666666666</v>
      </c>
      <c r="C1443" t="n">
        <v>4</v>
      </c>
      <c r="D1443" t="n">
        <v>2</v>
      </c>
      <c r="E1443" t="s">
        <v>1454</v>
      </c>
      <c r="F1443" t="s"/>
      <c r="G1443" t="s"/>
      <c r="H1443" t="s"/>
      <c r="I1443" t="s"/>
      <c r="J1443" t="n">
        <v>0.3612</v>
      </c>
      <c r="K1443" t="n">
        <v>0</v>
      </c>
      <c r="L1443" t="n">
        <v>0.828</v>
      </c>
      <c r="M1443" t="n">
        <v>0.172</v>
      </c>
    </row>
    <row r="1444" spans="1:13">
      <c r="A1444" s="1">
        <f>HYPERLINK("http://www.twitter.com/NathanBLawrence/status/994102739725533187", "994102739725533187")</f>
        <v/>
      </c>
      <c r="B1444" s="2" t="n">
        <v>43229.27241898148</v>
      </c>
      <c r="C1444" t="n">
        <v>0</v>
      </c>
      <c r="D1444" t="n">
        <v>0</v>
      </c>
      <c r="E1444" t="s">
        <v>1455</v>
      </c>
      <c r="F1444" t="s"/>
      <c r="G1444" t="s"/>
      <c r="H1444" t="s"/>
      <c r="I1444" t="s"/>
      <c r="J1444" t="n">
        <v>-0.6588000000000001</v>
      </c>
      <c r="K1444" t="n">
        <v>0.197</v>
      </c>
      <c r="L1444" t="n">
        <v>0.718</v>
      </c>
      <c r="M1444" t="n">
        <v>0.08500000000000001</v>
      </c>
    </row>
    <row r="1445" spans="1:13">
      <c r="A1445" s="1">
        <f>HYPERLINK("http://www.twitter.com/NathanBLawrence/status/994102121229271041", "994102121229271041")</f>
        <v/>
      </c>
      <c r="B1445" s="2" t="n">
        <v>43229.27070601852</v>
      </c>
      <c r="C1445" t="n">
        <v>9</v>
      </c>
      <c r="D1445" t="n">
        <v>4</v>
      </c>
      <c r="E1445" t="s">
        <v>1456</v>
      </c>
      <c r="F1445" t="s"/>
      <c r="G1445" t="s"/>
      <c r="H1445" t="s"/>
      <c r="I1445" t="s"/>
      <c r="J1445" t="n">
        <v>-0.872</v>
      </c>
      <c r="K1445" t="n">
        <v>0.236</v>
      </c>
      <c r="L1445" t="n">
        <v>0.764</v>
      </c>
      <c r="M1445" t="n">
        <v>0</v>
      </c>
    </row>
    <row r="1446" spans="1:13">
      <c r="A1446" s="1">
        <f>HYPERLINK("http://www.twitter.com/NathanBLawrence/status/994101764688199680", "994101764688199680")</f>
        <v/>
      </c>
      <c r="B1446" s="2" t="n">
        <v>43229.26972222222</v>
      </c>
      <c r="C1446" t="n">
        <v>131</v>
      </c>
      <c r="D1446" t="n">
        <v>5</v>
      </c>
      <c r="E1446" t="s">
        <v>1457</v>
      </c>
      <c r="F1446" t="s"/>
      <c r="G1446" t="s"/>
      <c r="H1446" t="s"/>
      <c r="I1446" t="s"/>
      <c r="J1446" t="n">
        <v>-0.4767</v>
      </c>
      <c r="K1446" t="n">
        <v>0.383</v>
      </c>
      <c r="L1446" t="n">
        <v>0.617</v>
      </c>
      <c r="M1446" t="n">
        <v>0</v>
      </c>
    </row>
    <row r="1447" spans="1:13">
      <c r="A1447" s="1">
        <f>HYPERLINK("http://www.twitter.com/NathanBLawrence/status/994101598392500224", "994101598392500224")</f>
        <v/>
      </c>
      <c r="B1447" s="2" t="n">
        <v>43229.26927083333</v>
      </c>
      <c r="C1447" t="n">
        <v>5</v>
      </c>
      <c r="D1447" t="n">
        <v>2</v>
      </c>
      <c r="E1447" t="s">
        <v>1458</v>
      </c>
      <c r="F1447" t="s"/>
      <c r="G1447" t="s"/>
      <c r="H1447" t="s"/>
      <c r="I1447" t="s"/>
      <c r="J1447" t="n">
        <v>0.6027</v>
      </c>
      <c r="K1447" t="n">
        <v>0</v>
      </c>
      <c r="L1447" t="n">
        <v>0.696</v>
      </c>
      <c r="M1447" t="n">
        <v>0.304</v>
      </c>
    </row>
    <row r="1448" spans="1:13">
      <c r="A1448" s="1">
        <f>HYPERLINK("http://www.twitter.com/NathanBLawrence/status/994101361498177536", "994101361498177536")</f>
        <v/>
      </c>
      <c r="B1448" s="2" t="n">
        <v>43229.26861111111</v>
      </c>
      <c r="C1448" t="n">
        <v>17</v>
      </c>
      <c r="D1448" t="n">
        <v>3</v>
      </c>
      <c r="E1448" t="s">
        <v>1459</v>
      </c>
      <c r="F1448" t="s"/>
      <c r="G1448" t="s"/>
      <c r="H1448" t="s"/>
      <c r="I1448" t="s"/>
      <c r="J1448" t="n">
        <v>-0.9382</v>
      </c>
      <c r="K1448" t="n">
        <v>0.463</v>
      </c>
      <c r="L1448" t="n">
        <v>0.537</v>
      </c>
      <c r="M1448" t="n">
        <v>0</v>
      </c>
    </row>
    <row r="1449" spans="1:13">
      <c r="A1449" s="1">
        <f>HYPERLINK("http://www.twitter.com/NathanBLawrence/status/994100930625789952", "994100930625789952")</f>
        <v/>
      </c>
      <c r="B1449" s="2" t="n">
        <v>43229.26743055556</v>
      </c>
      <c r="C1449" t="n">
        <v>6</v>
      </c>
      <c r="D1449" t="n">
        <v>4</v>
      </c>
      <c r="E1449" t="s">
        <v>1460</v>
      </c>
      <c r="F1449" t="s"/>
      <c r="G1449" t="s"/>
      <c r="H1449" t="s"/>
      <c r="I1449" t="s"/>
      <c r="J1449" t="n">
        <v>-0.5859</v>
      </c>
      <c r="K1449" t="n">
        <v>0.242</v>
      </c>
      <c r="L1449" t="n">
        <v>0.758</v>
      </c>
      <c r="M1449" t="n">
        <v>0</v>
      </c>
    </row>
    <row r="1450" spans="1:13">
      <c r="A1450" s="1">
        <f>HYPERLINK("http://www.twitter.com/NathanBLawrence/status/994100641894141954", "994100641894141954")</f>
        <v/>
      </c>
      <c r="B1450" s="2" t="n">
        <v>43229.26663194445</v>
      </c>
      <c r="C1450" t="n">
        <v>0</v>
      </c>
      <c r="D1450" t="n">
        <v>387</v>
      </c>
      <c r="E1450" t="s">
        <v>1461</v>
      </c>
      <c r="F1450">
        <f>HYPERLINK("http://pbs.twimg.com/media/DcuRRopWkAApKjr.jpg", "http://pbs.twimg.com/media/DcuRRopWkAApKjr.jpg")</f>
        <v/>
      </c>
      <c r="G1450" t="s"/>
      <c r="H1450" t="s"/>
      <c r="I1450" t="s"/>
      <c r="J1450" t="n">
        <v>0.8224</v>
      </c>
      <c r="K1450" t="n">
        <v>0</v>
      </c>
      <c r="L1450" t="n">
        <v>0.6860000000000001</v>
      </c>
      <c r="M1450" t="n">
        <v>0.314</v>
      </c>
    </row>
    <row r="1451" spans="1:13">
      <c r="A1451" s="1">
        <f>HYPERLINK("http://www.twitter.com/NathanBLawrence/status/994100534062743552", "994100534062743552")</f>
        <v/>
      </c>
      <c r="B1451" s="2" t="n">
        <v>43229.26633101852</v>
      </c>
      <c r="C1451" t="n">
        <v>0</v>
      </c>
      <c r="D1451" t="n">
        <v>1204</v>
      </c>
      <c r="E1451" t="s">
        <v>1462</v>
      </c>
      <c r="F1451">
        <f>HYPERLINK("http://pbs.twimg.com/media/Dcs9eGlWAAAE07x.jpg", "http://pbs.twimg.com/media/Dcs9eGlWAAAE07x.jpg")</f>
        <v/>
      </c>
      <c r="G1451" t="s"/>
      <c r="H1451" t="s"/>
      <c r="I1451" t="s"/>
      <c r="J1451" t="n">
        <v>0</v>
      </c>
      <c r="K1451" t="n">
        <v>0</v>
      </c>
      <c r="L1451" t="n">
        <v>1</v>
      </c>
      <c r="M1451" t="n">
        <v>0</v>
      </c>
    </row>
    <row r="1452" spans="1:13">
      <c r="A1452" s="1">
        <f>HYPERLINK("http://www.twitter.com/NathanBLawrence/status/994100486855835648", "994100486855835648")</f>
        <v/>
      </c>
      <c r="B1452" s="2" t="n">
        <v>43229.2662037037</v>
      </c>
      <c r="C1452" t="n">
        <v>9</v>
      </c>
      <c r="D1452" t="n">
        <v>5</v>
      </c>
      <c r="E1452" t="s">
        <v>1463</v>
      </c>
      <c r="F1452" t="s"/>
      <c r="G1452" t="s"/>
      <c r="H1452" t="s"/>
      <c r="I1452" t="s"/>
      <c r="J1452" t="n">
        <v>0.7644</v>
      </c>
      <c r="K1452" t="n">
        <v>0.153</v>
      </c>
      <c r="L1452" t="n">
        <v>0.528</v>
      </c>
      <c r="M1452" t="n">
        <v>0.319</v>
      </c>
    </row>
    <row r="1453" spans="1:13">
      <c r="A1453" s="1">
        <f>HYPERLINK("http://www.twitter.com/NathanBLawrence/status/994099997112197120", "994099997112197120")</f>
        <v/>
      </c>
      <c r="B1453" s="2" t="n">
        <v>43229.26484953704</v>
      </c>
      <c r="C1453" t="n">
        <v>0</v>
      </c>
      <c r="D1453" t="n">
        <v>165</v>
      </c>
      <c r="E1453" t="s">
        <v>1464</v>
      </c>
      <c r="F1453" t="s"/>
      <c r="G1453" t="s"/>
      <c r="H1453" t="s"/>
      <c r="I1453" t="s"/>
      <c r="J1453" t="n">
        <v>0.5719</v>
      </c>
      <c r="K1453" t="n">
        <v>0</v>
      </c>
      <c r="L1453" t="n">
        <v>0.8169999999999999</v>
      </c>
      <c r="M1453" t="n">
        <v>0.183</v>
      </c>
    </row>
    <row r="1454" spans="1:13">
      <c r="A1454" s="1">
        <f>HYPERLINK("http://www.twitter.com/NathanBLawrence/status/994099910424264705", "994099910424264705")</f>
        <v/>
      </c>
      <c r="B1454" s="2" t="n">
        <v>43229.26460648148</v>
      </c>
      <c r="C1454" t="n">
        <v>0</v>
      </c>
      <c r="D1454" t="n">
        <v>27</v>
      </c>
      <c r="E1454" t="s">
        <v>1465</v>
      </c>
      <c r="F1454">
        <f>HYPERLINK("https://video.twimg.com/ext_tw_video/994065425142026241/pu/vid/640x360/STSy3OUfbrDzACwO.mp4?tag=3", "https://video.twimg.com/ext_tw_video/994065425142026241/pu/vid/640x360/STSy3OUfbrDzACwO.mp4?tag=3")</f>
        <v/>
      </c>
      <c r="G1454" t="s"/>
      <c r="H1454" t="s"/>
      <c r="I1454" t="s"/>
      <c r="J1454" t="n">
        <v>0</v>
      </c>
      <c r="K1454" t="n">
        <v>0</v>
      </c>
      <c r="L1454" t="n">
        <v>1</v>
      </c>
      <c r="M1454" t="n">
        <v>0</v>
      </c>
    </row>
    <row r="1455" spans="1:13">
      <c r="A1455" s="1">
        <f>HYPERLINK("http://www.twitter.com/NathanBLawrence/status/994099822385946624", "994099822385946624")</f>
        <v/>
      </c>
      <c r="B1455" s="2" t="n">
        <v>43229.26436342593</v>
      </c>
      <c r="C1455" t="n">
        <v>0</v>
      </c>
      <c r="D1455" t="n">
        <v>142</v>
      </c>
      <c r="E1455" t="s">
        <v>1466</v>
      </c>
      <c r="F1455">
        <f>HYPERLINK("https://video.twimg.com/ext_tw_video/994066776542666752/pu/vid/640x360/FHS0EuJo9X7eJPLb.mp4?tag=3", "https://video.twimg.com/ext_tw_video/994066776542666752/pu/vid/640x360/FHS0EuJo9X7eJPLb.mp4?tag=3")</f>
        <v/>
      </c>
      <c r="G1455" t="s"/>
      <c r="H1455" t="s"/>
      <c r="I1455" t="s"/>
      <c r="J1455" t="n">
        <v>-0.4767</v>
      </c>
      <c r="K1455" t="n">
        <v>0.157</v>
      </c>
      <c r="L1455" t="n">
        <v>0.843</v>
      </c>
      <c r="M1455" t="n">
        <v>0</v>
      </c>
    </row>
    <row r="1456" spans="1:13">
      <c r="A1456" s="1">
        <f>HYPERLINK("http://www.twitter.com/NathanBLawrence/status/994099738210381824", "994099738210381824")</f>
        <v/>
      </c>
      <c r="B1456" s="2" t="n">
        <v>43229.26413194444</v>
      </c>
      <c r="C1456" t="n">
        <v>0</v>
      </c>
      <c r="D1456" t="n">
        <v>8</v>
      </c>
      <c r="E1456" t="s">
        <v>1467</v>
      </c>
      <c r="F1456">
        <f>HYPERLINK("http://pbs.twimg.com/media/DctaWoAVAAEEORs.jpg", "http://pbs.twimg.com/media/DctaWoAVAAEEORs.jpg")</f>
        <v/>
      </c>
      <c r="G1456">
        <f>HYPERLINK("http://pbs.twimg.com/media/DctaXfwU8AAblxc.jpg", "http://pbs.twimg.com/media/DctaXfwU8AAblxc.jpg")</f>
        <v/>
      </c>
      <c r="H1456">
        <f>HYPERLINK("http://pbs.twimg.com/media/DctaYYSU8AA5aD9.jpg", "http://pbs.twimg.com/media/DctaYYSU8AA5aD9.jpg")</f>
        <v/>
      </c>
      <c r="I1456">
        <f>HYPERLINK("http://pbs.twimg.com/media/DctaZRFVQAAo2N6.jpg", "http://pbs.twimg.com/media/DctaZRFVQAAo2N6.jpg")</f>
        <v/>
      </c>
      <c r="J1456" t="n">
        <v>0.6115</v>
      </c>
      <c r="K1456" t="n">
        <v>0</v>
      </c>
      <c r="L1456" t="n">
        <v>0.762</v>
      </c>
      <c r="M1456" t="n">
        <v>0.238</v>
      </c>
    </row>
    <row r="1457" spans="1:13">
      <c r="A1457" s="1">
        <f>HYPERLINK("http://www.twitter.com/NathanBLawrence/status/994099589773963265", "994099589773963265")</f>
        <v/>
      </c>
      <c r="B1457" s="2" t="n">
        <v>43229.26372685185</v>
      </c>
      <c r="C1457" t="n">
        <v>0</v>
      </c>
      <c r="D1457" t="n">
        <v>254</v>
      </c>
      <c r="E1457" t="s">
        <v>1468</v>
      </c>
      <c r="F1457">
        <f>HYPERLINK("http://pbs.twimg.com/media/DcsouWZWAAAugU7.jpg", "http://pbs.twimg.com/media/DcsouWZWAAAugU7.jpg")</f>
        <v/>
      </c>
      <c r="G1457" t="s"/>
      <c r="H1457" t="s"/>
      <c r="I1457" t="s"/>
      <c r="J1457" t="n">
        <v>0.4939</v>
      </c>
      <c r="K1457" t="n">
        <v>0</v>
      </c>
      <c r="L1457" t="n">
        <v>0.849</v>
      </c>
      <c r="M1457" t="n">
        <v>0.151</v>
      </c>
    </row>
    <row r="1458" spans="1:13">
      <c r="A1458" s="1">
        <f>HYPERLINK("http://www.twitter.com/NathanBLawrence/status/994099518894411777", "994099518894411777")</f>
        <v/>
      </c>
      <c r="B1458" s="2" t="n">
        <v>43229.26353009259</v>
      </c>
      <c r="C1458" t="n">
        <v>0</v>
      </c>
      <c r="D1458" t="n">
        <v>29</v>
      </c>
      <c r="E1458" t="s">
        <v>1469</v>
      </c>
      <c r="F1458" t="s"/>
      <c r="G1458" t="s"/>
      <c r="H1458" t="s"/>
      <c r="I1458" t="s"/>
      <c r="J1458" t="n">
        <v>0</v>
      </c>
      <c r="K1458" t="n">
        <v>0</v>
      </c>
      <c r="L1458" t="n">
        <v>1</v>
      </c>
      <c r="M1458" t="n">
        <v>0</v>
      </c>
    </row>
    <row r="1459" spans="1:13">
      <c r="A1459" s="1">
        <f>HYPERLINK("http://www.twitter.com/NathanBLawrence/status/994099475621842944", "994099475621842944")</f>
        <v/>
      </c>
      <c r="B1459" s="2" t="n">
        <v>43229.26341435185</v>
      </c>
      <c r="C1459" t="n">
        <v>0</v>
      </c>
      <c r="D1459" t="n">
        <v>711</v>
      </c>
      <c r="E1459" t="s">
        <v>1470</v>
      </c>
      <c r="F1459" t="s"/>
      <c r="G1459" t="s"/>
      <c r="H1459" t="s"/>
      <c r="I1459" t="s"/>
      <c r="J1459" t="n">
        <v>-0.4939</v>
      </c>
      <c r="K1459" t="n">
        <v>0.198</v>
      </c>
      <c r="L1459" t="n">
        <v>0.802</v>
      </c>
      <c r="M1459" t="n">
        <v>0</v>
      </c>
    </row>
    <row r="1460" spans="1:13">
      <c r="A1460" s="1">
        <f>HYPERLINK("http://www.twitter.com/NathanBLawrence/status/994099083114528768", "994099083114528768")</f>
        <v/>
      </c>
      <c r="B1460" s="2" t="n">
        <v>43229.26232638889</v>
      </c>
      <c r="C1460" t="n">
        <v>6</v>
      </c>
      <c r="D1460" t="n">
        <v>4</v>
      </c>
      <c r="E1460" t="s">
        <v>1471</v>
      </c>
      <c r="F1460" t="s"/>
      <c r="G1460" t="s"/>
      <c r="H1460" t="s"/>
      <c r="I1460" t="s"/>
      <c r="J1460" t="n">
        <v>-0.7845</v>
      </c>
      <c r="K1460" t="n">
        <v>0.297</v>
      </c>
      <c r="L1460" t="n">
        <v>0.623</v>
      </c>
      <c r="M1460" t="n">
        <v>0.081</v>
      </c>
    </row>
    <row r="1461" spans="1:13">
      <c r="A1461" s="1">
        <f>HYPERLINK("http://www.twitter.com/NathanBLawrence/status/994098704310243328", "994098704310243328")</f>
        <v/>
      </c>
      <c r="B1461" s="2" t="n">
        <v>43229.26128472222</v>
      </c>
      <c r="C1461" t="n">
        <v>0</v>
      </c>
      <c r="D1461" t="n">
        <v>867</v>
      </c>
      <c r="E1461" t="s">
        <v>1472</v>
      </c>
      <c r="F1461">
        <f>HYPERLINK("http://pbs.twimg.com/media/DcunkUPX0AAgqlY.jpg", "http://pbs.twimg.com/media/DcunkUPX0AAgqlY.jpg")</f>
        <v/>
      </c>
      <c r="G1461" t="s"/>
      <c r="H1461" t="s"/>
      <c r="I1461" t="s"/>
      <c r="J1461" t="n">
        <v>0.8753</v>
      </c>
      <c r="K1461" t="n">
        <v>0</v>
      </c>
      <c r="L1461" t="n">
        <v>0.654</v>
      </c>
      <c r="M1461" t="n">
        <v>0.346</v>
      </c>
    </row>
    <row r="1462" spans="1:13">
      <c r="A1462" s="1">
        <f>HYPERLINK("http://www.twitter.com/NathanBLawrence/status/994059194440400896", "994059194440400896")</f>
        <v/>
      </c>
      <c r="B1462" s="2" t="n">
        <v>43229.15225694444</v>
      </c>
      <c r="C1462" t="n">
        <v>0</v>
      </c>
      <c r="D1462" t="n">
        <v>6</v>
      </c>
      <c r="E1462" t="s">
        <v>1473</v>
      </c>
      <c r="F1462" t="s"/>
      <c r="G1462" t="s"/>
      <c r="H1462" t="s"/>
      <c r="I1462" t="s"/>
      <c r="J1462" t="n">
        <v>0</v>
      </c>
      <c r="K1462" t="n">
        <v>0</v>
      </c>
      <c r="L1462" t="n">
        <v>1</v>
      </c>
      <c r="M1462" t="n">
        <v>0</v>
      </c>
    </row>
    <row r="1463" spans="1:13">
      <c r="A1463" s="1">
        <f>HYPERLINK("http://www.twitter.com/NathanBLawrence/status/994051609335234560", "994051609335234560")</f>
        <v/>
      </c>
      <c r="B1463" s="2" t="n">
        <v>43229.13131944444</v>
      </c>
      <c r="C1463" t="n">
        <v>0</v>
      </c>
      <c r="D1463" t="n">
        <v>20</v>
      </c>
      <c r="E1463" t="s">
        <v>1474</v>
      </c>
      <c r="F1463" t="s"/>
      <c r="G1463" t="s"/>
      <c r="H1463" t="s"/>
      <c r="I1463" t="s"/>
      <c r="J1463" t="n">
        <v>-0.296</v>
      </c>
      <c r="K1463" t="n">
        <v>0.121</v>
      </c>
      <c r="L1463" t="n">
        <v>0.879</v>
      </c>
      <c r="M1463" t="n">
        <v>0</v>
      </c>
    </row>
    <row r="1464" spans="1:13">
      <c r="A1464" s="1">
        <f>HYPERLINK("http://www.twitter.com/NathanBLawrence/status/994051444952059904", "994051444952059904")</f>
        <v/>
      </c>
      <c r="B1464" s="2" t="n">
        <v>43229.13086805555</v>
      </c>
      <c r="C1464" t="n">
        <v>0</v>
      </c>
      <c r="D1464" t="n">
        <v>13</v>
      </c>
      <c r="E1464" t="s">
        <v>1475</v>
      </c>
      <c r="F1464">
        <f>HYPERLINK("http://pbs.twimg.com/media/DcuSVdTVQAAdYrB.jpg", "http://pbs.twimg.com/media/DcuSVdTVQAAdYrB.jpg")</f>
        <v/>
      </c>
      <c r="G1464" t="s"/>
      <c r="H1464" t="s"/>
      <c r="I1464" t="s"/>
      <c r="J1464" t="n">
        <v>0</v>
      </c>
      <c r="K1464" t="n">
        <v>0</v>
      </c>
      <c r="L1464" t="n">
        <v>1</v>
      </c>
      <c r="M1464" t="n">
        <v>0</v>
      </c>
    </row>
    <row r="1465" spans="1:13">
      <c r="A1465" s="1">
        <f>HYPERLINK("http://www.twitter.com/NathanBLawrence/status/994051358025175040", "994051358025175040")</f>
        <v/>
      </c>
      <c r="B1465" s="2" t="n">
        <v>43229.130625</v>
      </c>
      <c r="C1465" t="n">
        <v>8</v>
      </c>
      <c r="D1465" t="n">
        <v>5</v>
      </c>
      <c r="E1465" t="s">
        <v>1476</v>
      </c>
      <c r="F1465" t="s"/>
      <c r="G1465" t="s"/>
      <c r="H1465" t="s"/>
      <c r="I1465" t="s"/>
      <c r="J1465" t="n">
        <v>-0.6114000000000001</v>
      </c>
      <c r="K1465" t="n">
        <v>0.222</v>
      </c>
      <c r="L1465" t="n">
        <v>0.778</v>
      </c>
      <c r="M1465" t="n">
        <v>0</v>
      </c>
    </row>
    <row r="1466" spans="1:13">
      <c r="A1466" s="1">
        <f>HYPERLINK("http://www.twitter.com/NathanBLawrence/status/994051141829705728", "994051141829705728")</f>
        <v/>
      </c>
      <c r="B1466" s="2" t="n">
        <v>43229.13003472222</v>
      </c>
      <c r="C1466" t="n">
        <v>0</v>
      </c>
      <c r="D1466" t="n">
        <v>22</v>
      </c>
      <c r="E1466" t="s">
        <v>1477</v>
      </c>
      <c r="F1466" t="s"/>
      <c r="G1466" t="s"/>
      <c r="H1466" t="s"/>
      <c r="I1466" t="s"/>
      <c r="J1466" t="n">
        <v>-0.6369</v>
      </c>
      <c r="K1466" t="n">
        <v>0.224</v>
      </c>
      <c r="L1466" t="n">
        <v>0.776</v>
      </c>
      <c r="M1466" t="n">
        <v>0</v>
      </c>
    </row>
    <row r="1467" spans="1:13">
      <c r="A1467" s="1">
        <f>HYPERLINK("http://www.twitter.com/NathanBLawrence/status/994051034484899840", "994051034484899840")</f>
        <v/>
      </c>
      <c r="B1467" s="2" t="n">
        <v>43229.1297337963</v>
      </c>
      <c r="C1467" t="n">
        <v>13</v>
      </c>
      <c r="D1467" t="n">
        <v>5</v>
      </c>
      <c r="E1467" t="s">
        <v>1478</v>
      </c>
      <c r="F1467" t="s"/>
      <c r="G1467" t="s"/>
      <c r="H1467" t="s"/>
      <c r="I1467" t="s"/>
      <c r="J1467" t="n">
        <v>0.7088</v>
      </c>
      <c r="K1467" t="n">
        <v>0</v>
      </c>
      <c r="L1467" t="n">
        <v>0.84</v>
      </c>
      <c r="M1467" t="n">
        <v>0.16</v>
      </c>
    </row>
    <row r="1468" spans="1:13">
      <c r="A1468" s="1">
        <f>HYPERLINK("http://www.twitter.com/NathanBLawrence/status/994050464797765632", "994050464797765632")</f>
        <v/>
      </c>
      <c r="B1468" s="2" t="n">
        <v>43229.1281712963</v>
      </c>
      <c r="C1468" t="n">
        <v>18</v>
      </c>
      <c r="D1468" t="n">
        <v>9</v>
      </c>
      <c r="E1468" t="s">
        <v>1479</v>
      </c>
      <c r="F1468" t="s"/>
      <c r="G1468" t="s"/>
      <c r="H1468" t="s"/>
      <c r="I1468" t="s"/>
      <c r="J1468" t="n">
        <v>0.5848</v>
      </c>
      <c r="K1468" t="n">
        <v>0.095</v>
      </c>
      <c r="L1468" t="n">
        <v>0.711</v>
      </c>
      <c r="M1468" t="n">
        <v>0.195</v>
      </c>
    </row>
    <row r="1469" spans="1:13">
      <c r="A1469" s="1">
        <f>HYPERLINK("http://www.twitter.com/NathanBLawrence/status/994050164351352832", "994050164351352832")</f>
        <v/>
      </c>
      <c r="B1469" s="2" t="n">
        <v>43229.12733796296</v>
      </c>
      <c r="C1469" t="n">
        <v>9</v>
      </c>
      <c r="D1469" t="n">
        <v>9</v>
      </c>
      <c r="E1469" t="s">
        <v>1480</v>
      </c>
      <c r="F1469" t="s"/>
      <c r="G1469" t="s"/>
      <c r="H1469" t="s"/>
      <c r="I1469" t="s"/>
      <c r="J1469" t="n">
        <v>0.4451</v>
      </c>
      <c r="K1469" t="n">
        <v>0.254</v>
      </c>
      <c r="L1469" t="n">
        <v>0.401</v>
      </c>
      <c r="M1469" t="n">
        <v>0.344</v>
      </c>
    </row>
    <row r="1470" spans="1:13">
      <c r="A1470" s="1">
        <f>HYPERLINK("http://www.twitter.com/NathanBLawrence/status/994049517283524608", "994049517283524608")</f>
        <v/>
      </c>
      <c r="B1470" s="2" t="n">
        <v>43229.12555555555</v>
      </c>
      <c r="C1470" t="n">
        <v>8</v>
      </c>
      <c r="D1470" t="n">
        <v>3</v>
      </c>
      <c r="E1470" t="s">
        <v>1481</v>
      </c>
      <c r="F1470" t="s"/>
      <c r="G1470" t="s"/>
      <c r="H1470" t="s"/>
      <c r="I1470" t="s"/>
      <c r="J1470" t="n">
        <v>-0.7269</v>
      </c>
      <c r="K1470" t="n">
        <v>0.174</v>
      </c>
      <c r="L1470" t="n">
        <v>0.826</v>
      </c>
      <c r="M1470" t="n">
        <v>0</v>
      </c>
    </row>
    <row r="1471" spans="1:13">
      <c r="A1471" s="1">
        <f>HYPERLINK("http://www.twitter.com/NathanBLawrence/status/994049157848481793", "994049157848481793")</f>
        <v/>
      </c>
      <c r="B1471" s="2" t="n">
        <v>43229.12456018518</v>
      </c>
      <c r="C1471" t="n">
        <v>4</v>
      </c>
      <c r="D1471" t="n">
        <v>1</v>
      </c>
      <c r="E1471" t="s">
        <v>1482</v>
      </c>
      <c r="F1471" t="s"/>
      <c r="G1471" t="s"/>
      <c r="H1471" t="s"/>
      <c r="I1471" t="s"/>
      <c r="J1471" t="n">
        <v>-0.5994</v>
      </c>
      <c r="K1471" t="n">
        <v>0.262</v>
      </c>
      <c r="L1471" t="n">
        <v>0.738</v>
      </c>
      <c r="M1471" t="n">
        <v>0</v>
      </c>
    </row>
    <row r="1472" spans="1:13">
      <c r="A1472" s="1">
        <f>HYPERLINK("http://www.twitter.com/NathanBLawrence/status/994048951476080641", "994048951476080641")</f>
        <v/>
      </c>
      <c r="B1472" s="2" t="n">
        <v>43229.12399305555</v>
      </c>
      <c r="C1472" t="n">
        <v>7</v>
      </c>
      <c r="D1472" t="n">
        <v>6</v>
      </c>
      <c r="E1472" t="s">
        <v>1483</v>
      </c>
      <c r="F1472" t="s"/>
      <c r="G1472" t="s"/>
      <c r="H1472" t="s"/>
      <c r="I1472" t="s"/>
      <c r="J1472" t="n">
        <v>-0.4084</v>
      </c>
      <c r="K1472" t="n">
        <v>0.146</v>
      </c>
      <c r="L1472" t="n">
        <v>0.854</v>
      </c>
      <c r="M1472" t="n">
        <v>0</v>
      </c>
    </row>
    <row r="1473" spans="1:13">
      <c r="A1473" s="1">
        <f>HYPERLINK("http://www.twitter.com/NathanBLawrence/status/994048781929725952", "994048781929725952")</f>
        <v/>
      </c>
      <c r="B1473" s="2" t="n">
        <v>43229.12351851852</v>
      </c>
      <c r="C1473" t="n">
        <v>0</v>
      </c>
      <c r="D1473" t="n">
        <v>27</v>
      </c>
      <c r="E1473" t="s">
        <v>1484</v>
      </c>
      <c r="F1473" t="s"/>
      <c r="G1473" t="s"/>
      <c r="H1473" t="s"/>
      <c r="I1473" t="s"/>
      <c r="J1473" t="n">
        <v>-0.6486</v>
      </c>
      <c r="K1473" t="n">
        <v>0.238</v>
      </c>
      <c r="L1473" t="n">
        <v>0.762</v>
      </c>
      <c r="M1473" t="n">
        <v>0</v>
      </c>
    </row>
    <row r="1474" spans="1:13">
      <c r="A1474" s="1">
        <f>HYPERLINK("http://www.twitter.com/NathanBLawrence/status/994048718042116097", "994048718042116097")</f>
        <v/>
      </c>
      <c r="B1474" s="2" t="n">
        <v>43229.12334490741</v>
      </c>
      <c r="C1474" t="n">
        <v>3</v>
      </c>
      <c r="D1474" t="n">
        <v>1</v>
      </c>
      <c r="E1474" t="s">
        <v>1485</v>
      </c>
      <c r="F1474" t="s"/>
      <c r="G1474" t="s"/>
      <c r="H1474" t="s"/>
      <c r="I1474" t="s"/>
      <c r="J1474" t="n">
        <v>0</v>
      </c>
      <c r="K1474" t="n">
        <v>0</v>
      </c>
      <c r="L1474" t="n">
        <v>1</v>
      </c>
      <c r="M1474" t="n">
        <v>0</v>
      </c>
    </row>
    <row r="1475" spans="1:13">
      <c r="A1475" s="1">
        <f>HYPERLINK("http://www.twitter.com/NathanBLawrence/status/994048598827388928", "994048598827388928")</f>
        <v/>
      </c>
      <c r="B1475" s="2" t="n">
        <v>43229.12302083334</v>
      </c>
      <c r="C1475" t="n">
        <v>10</v>
      </c>
      <c r="D1475" t="n">
        <v>6</v>
      </c>
      <c r="E1475" t="s">
        <v>1486</v>
      </c>
      <c r="F1475" t="s"/>
      <c r="G1475" t="s"/>
      <c r="H1475" t="s"/>
      <c r="I1475" t="s"/>
      <c r="J1475" t="n">
        <v>0.2263</v>
      </c>
      <c r="K1475" t="n">
        <v>0.197</v>
      </c>
      <c r="L1475" t="n">
        <v>0.5679999999999999</v>
      </c>
      <c r="M1475" t="n">
        <v>0.236</v>
      </c>
    </row>
    <row r="1476" spans="1:13">
      <c r="A1476" s="1">
        <f>HYPERLINK("http://www.twitter.com/NathanBLawrence/status/994047961272221696", "994047961272221696")</f>
        <v/>
      </c>
      <c r="B1476" s="2" t="n">
        <v>43229.12126157407</v>
      </c>
      <c r="C1476" t="n">
        <v>7</v>
      </c>
      <c r="D1476" t="n">
        <v>2</v>
      </c>
      <c r="E1476" t="s">
        <v>1487</v>
      </c>
      <c r="F1476" t="s"/>
      <c r="G1476" t="s"/>
      <c r="H1476" t="s"/>
      <c r="I1476" t="s"/>
      <c r="J1476" t="n">
        <v>0.0772</v>
      </c>
      <c r="K1476" t="n">
        <v>0</v>
      </c>
      <c r="L1476" t="n">
        <v>0.9389999999999999</v>
      </c>
      <c r="M1476" t="n">
        <v>0.061</v>
      </c>
    </row>
    <row r="1477" spans="1:13">
      <c r="A1477" s="1">
        <f>HYPERLINK("http://www.twitter.com/NathanBLawrence/status/994047352326373377", "994047352326373377")</f>
        <v/>
      </c>
      <c r="B1477" s="2" t="n">
        <v>43229.11957175926</v>
      </c>
      <c r="C1477" t="n">
        <v>6</v>
      </c>
      <c r="D1477" t="n">
        <v>3</v>
      </c>
      <c r="E1477" t="s">
        <v>1488</v>
      </c>
      <c r="F1477" t="s"/>
      <c r="G1477" t="s"/>
      <c r="H1477" t="s"/>
      <c r="I1477" t="s"/>
      <c r="J1477" t="n">
        <v>0</v>
      </c>
      <c r="K1477" t="n">
        <v>0</v>
      </c>
      <c r="L1477" t="n">
        <v>1</v>
      </c>
      <c r="M1477" t="n">
        <v>0</v>
      </c>
    </row>
    <row r="1478" spans="1:13">
      <c r="A1478" s="1">
        <f>HYPERLINK("http://www.twitter.com/NathanBLawrence/status/994047278942834688", "994047278942834688")</f>
        <v/>
      </c>
      <c r="B1478" s="2" t="n">
        <v>43229.119375</v>
      </c>
      <c r="C1478" t="n">
        <v>7</v>
      </c>
      <c r="D1478" t="n">
        <v>2</v>
      </c>
      <c r="E1478" t="s">
        <v>1489</v>
      </c>
      <c r="F1478" t="s"/>
      <c r="G1478" t="s"/>
      <c r="H1478" t="s"/>
      <c r="I1478" t="s"/>
      <c r="J1478" t="n">
        <v>-0.7579</v>
      </c>
      <c r="K1478" t="n">
        <v>0.371</v>
      </c>
      <c r="L1478" t="n">
        <v>0.629</v>
      </c>
      <c r="M1478" t="n">
        <v>0</v>
      </c>
    </row>
    <row r="1479" spans="1:13">
      <c r="A1479" s="1">
        <f>HYPERLINK("http://www.twitter.com/NathanBLawrence/status/994047140815978497", "994047140815978497")</f>
        <v/>
      </c>
      <c r="B1479" s="2" t="n">
        <v>43229.11899305556</v>
      </c>
      <c r="C1479" t="n">
        <v>7</v>
      </c>
      <c r="D1479" t="n">
        <v>1</v>
      </c>
      <c r="E1479" t="s">
        <v>1490</v>
      </c>
      <c r="F1479" t="s"/>
      <c r="G1479" t="s"/>
      <c r="H1479" t="s"/>
      <c r="I1479" t="s"/>
      <c r="J1479" t="n">
        <v>-0.1007</v>
      </c>
      <c r="K1479" t="n">
        <v>0.289</v>
      </c>
      <c r="L1479" t="n">
        <v>0.439</v>
      </c>
      <c r="M1479" t="n">
        <v>0.272</v>
      </c>
    </row>
    <row r="1480" spans="1:13">
      <c r="A1480" s="1">
        <f>HYPERLINK("http://www.twitter.com/NathanBLawrence/status/994046937451016192", "994046937451016192")</f>
        <v/>
      </c>
      <c r="B1480" s="2" t="n">
        <v>43229.1184375</v>
      </c>
      <c r="C1480" t="n">
        <v>8</v>
      </c>
      <c r="D1480" t="n">
        <v>5</v>
      </c>
      <c r="E1480" t="s">
        <v>1491</v>
      </c>
      <c r="F1480" t="s"/>
      <c r="G1480" t="s"/>
      <c r="H1480" t="s"/>
      <c r="I1480" t="s"/>
      <c r="J1480" t="n">
        <v>0</v>
      </c>
      <c r="K1480" t="n">
        <v>0</v>
      </c>
      <c r="L1480" t="n">
        <v>1</v>
      </c>
      <c r="M1480" t="n">
        <v>0</v>
      </c>
    </row>
    <row r="1481" spans="1:13">
      <c r="A1481" s="1">
        <f>HYPERLINK("http://www.twitter.com/NathanBLawrence/status/994046848707973120", "994046848707973120")</f>
        <v/>
      </c>
      <c r="B1481" s="2" t="n">
        <v>43229.11818287037</v>
      </c>
      <c r="C1481" t="n">
        <v>5</v>
      </c>
      <c r="D1481" t="n">
        <v>2</v>
      </c>
      <c r="E1481" t="s">
        <v>1492</v>
      </c>
      <c r="F1481" t="s"/>
      <c r="G1481" t="s"/>
      <c r="H1481" t="s"/>
      <c r="I1481" t="s"/>
      <c r="J1481" t="n">
        <v>0</v>
      </c>
      <c r="K1481" t="n">
        <v>0</v>
      </c>
      <c r="L1481" t="n">
        <v>1</v>
      </c>
      <c r="M1481" t="n">
        <v>0</v>
      </c>
    </row>
    <row r="1482" spans="1:13">
      <c r="A1482" s="1">
        <f>HYPERLINK("http://www.twitter.com/NathanBLawrence/status/994046581157519361", "994046581157519361")</f>
        <v/>
      </c>
      <c r="B1482" s="2" t="n">
        <v>43229.1174537037</v>
      </c>
      <c r="C1482" t="n">
        <v>9</v>
      </c>
      <c r="D1482" t="n">
        <v>3</v>
      </c>
      <c r="E1482" t="s">
        <v>1493</v>
      </c>
      <c r="F1482" t="s"/>
      <c r="G1482" t="s"/>
      <c r="H1482" t="s"/>
      <c r="I1482" t="s"/>
      <c r="J1482" t="n">
        <v>-0.7401</v>
      </c>
      <c r="K1482" t="n">
        <v>0.262</v>
      </c>
      <c r="L1482" t="n">
        <v>0.665</v>
      </c>
      <c r="M1482" t="n">
        <v>0.073</v>
      </c>
    </row>
    <row r="1483" spans="1:13">
      <c r="A1483" s="1">
        <f>HYPERLINK("http://www.twitter.com/NathanBLawrence/status/994045998979629061", "994045998979629061")</f>
        <v/>
      </c>
      <c r="B1483" s="2" t="n">
        <v>43229.11584490741</v>
      </c>
      <c r="C1483" t="n">
        <v>7</v>
      </c>
      <c r="D1483" t="n">
        <v>1</v>
      </c>
      <c r="E1483" t="s">
        <v>1494</v>
      </c>
      <c r="F1483" t="s"/>
      <c r="G1483" t="s"/>
      <c r="H1483" t="s"/>
      <c r="I1483" t="s"/>
      <c r="J1483" t="n">
        <v>0</v>
      </c>
      <c r="K1483" t="n">
        <v>0</v>
      </c>
      <c r="L1483" t="n">
        <v>1</v>
      </c>
      <c r="M1483" t="n">
        <v>0</v>
      </c>
    </row>
    <row r="1484" spans="1:13">
      <c r="A1484" s="1">
        <f>HYPERLINK("http://www.twitter.com/NathanBLawrence/status/994044441328369664", "994044441328369664")</f>
        <v/>
      </c>
      <c r="B1484" s="2" t="n">
        <v>43229.11153935185</v>
      </c>
      <c r="C1484" t="n">
        <v>0</v>
      </c>
      <c r="D1484" t="n">
        <v>1205</v>
      </c>
      <c r="E1484" t="s">
        <v>1495</v>
      </c>
      <c r="F1484" t="s"/>
      <c r="G1484" t="s"/>
      <c r="H1484" t="s"/>
      <c r="I1484" t="s"/>
      <c r="J1484" t="n">
        <v>-0.0258</v>
      </c>
      <c r="K1484" t="n">
        <v>0.301</v>
      </c>
      <c r="L1484" t="n">
        <v>0.411</v>
      </c>
      <c r="M1484" t="n">
        <v>0.288</v>
      </c>
    </row>
    <row r="1485" spans="1:13">
      <c r="A1485" s="1">
        <f>HYPERLINK("http://www.twitter.com/NathanBLawrence/status/994044261648580608", "994044261648580608")</f>
        <v/>
      </c>
      <c r="B1485" s="2" t="n">
        <v>43229.11105324074</v>
      </c>
      <c r="C1485" t="n">
        <v>24</v>
      </c>
      <c r="D1485" t="n">
        <v>6</v>
      </c>
      <c r="E1485" t="s">
        <v>1496</v>
      </c>
      <c r="F1485" t="s"/>
      <c r="G1485" t="s"/>
      <c r="H1485" t="s"/>
      <c r="I1485" t="s"/>
      <c r="J1485" t="n">
        <v>0.34</v>
      </c>
      <c r="K1485" t="n">
        <v>0</v>
      </c>
      <c r="L1485" t="n">
        <v>0.87</v>
      </c>
      <c r="M1485" t="n">
        <v>0.13</v>
      </c>
    </row>
    <row r="1486" spans="1:13">
      <c r="A1486" s="1">
        <f>HYPERLINK("http://www.twitter.com/NathanBLawrence/status/994043712006111234", "994043712006111234")</f>
        <v/>
      </c>
      <c r="B1486" s="2" t="n">
        <v>43229.10953703704</v>
      </c>
      <c r="C1486" t="n">
        <v>14</v>
      </c>
      <c r="D1486" t="n">
        <v>3</v>
      </c>
      <c r="E1486" t="s">
        <v>1497</v>
      </c>
      <c r="F1486" t="s"/>
      <c r="G1486" t="s"/>
      <c r="H1486" t="s"/>
      <c r="I1486" t="s"/>
      <c r="J1486" t="n">
        <v>0.6812</v>
      </c>
      <c r="K1486" t="n">
        <v>0.09</v>
      </c>
      <c r="L1486" t="n">
        <v>0.668</v>
      </c>
      <c r="M1486" t="n">
        <v>0.242</v>
      </c>
    </row>
    <row r="1487" spans="1:13">
      <c r="A1487" s="1">
        <f>HYPERLINK("http://www.twitter.com/NathanBLawrence/status/994041015005728768", "994041015005728768")</f>
        <v/>
      </c>
      <c r="B1487" s="2" t="n">
        <v>43229.10209490741</v>
      </c>
      <c r="C1487" t="n">
        <v>23</v>
      </c>
      <c r="D1487" t="n">
        <v>8</v>
      </c>
      <c r="E1487" t="s">
        <v>1498</v>
      </c>
      <c r="F1487" t="s"/>
      <c r="G1487" t="s"/>
      <c r="H1487" t="s"/>
      <c r="I1487" t="s"/>
      <c r="J1487" t="n">
        <v>0.2304</v>
      </c>
      <c r="K1487" t="n">
        <v>0.134</v>
      </c>
      <c r="L1487" t="n">
        <v>0.6909999999999999</v>
      </c>
      <c r="M1487" t="n">
        <v>0.176</v>
      </c>
    </row>
    <row r="1488" spans="1:13">
      <c r="A1488" s="1">
        <f>HYPERLINK("http://www.twitter.com/NathanBLawrence/status/994040673094451200", "994040673094451200")</f>
        <v/>
      </c>
      <c r="B1488" s="2" t="n">
        <v>43229.10114583333</v>
      </c>
      <c r="C1488" t="n">
        <v>0</v>
      </c>
      <c r="D1488" t="n">
        <v>7</v>
      </c>
      <c r="E1488" t="s">
        <v>1499</v>
      </c>
      <c r="F1488" t="s"/>
      <c r="G1488" t="s"/>
      <c r="H1488" t="s"/>
      <c r="I1488" t="s"/>
      <c r="J1488" t="n">
        <v>0</v>
      </c>
      <c r="K1488" t="n">
        <v>0</v>
      </c>
      <c r="L1488" t="n">
        <v>1</v>
      </c>
      <c r="M1488" t="n">
        <v>0</v>
      </c>
    </row>
    <row r="1489" spans="1:13">
      <c r="A1489" s="1">
        <f>HYPERLINK("http://www.twitter.com/NathanBLawrence/status/994040577887846400", "994040577887846400")</f>
        <v/>
      </c>
      <c r="B1489" s="2" t="n">
        <v>43229.10087962963</v>
      </c>
      <c r="C1489" t="n">
        <v>4</v>
      </c>
      <c r="D1489" t="n">
        <v>0</v>
      </c>
      <c r="E1489" t="s">
        <v>1500</v>
      </c>
      <c r="F1489" t="s"/>
      <c r="G1489" t="s"/>
      <c r="H1489" t="s"/>
      <c r="I1489" t="s"/>
      <c r="J1489" t="n">
        <v>-0.3252</v>
      </c>
      <c r="K1489" t="n">
        <v>0.109</v>
      </c>
      <c r="L1489" t="n">
        <v>0.891</v>
      </c>
      <c r="M1489" t="n">
        <v>0</v>
      </c>
    </row>
    <row r="1490" spans="1:13">
      <c r="A1490" s="1">
        <f>HYPERLINK("http://www.twitter.com/NathanBLawrence/status/994040389865648128", "994040389865648128")</f>
        <v/>
      </c>
      <c r="B1490" s="2" t="n">
        <v>43229.1003587963</v>
      </c>
      <c r="C1490" t="n">
        <v>9</v>
      </c>
      <c r="D1490" t="n">
        <v>6</v>
      </c>
      <c r="E1490" t="s">
        <v>1501</v>
      </c>
      <c r="F1490" t="s"/>
      <c r="G1490" t="s"/>
      <c r="H1490" t="s"/>
      <c r="I1490" t="s"/>
      <c r="J1490" t="n">
        <v>0</v>
      </c>
      <c r="K1490" t="n">
        <v>0</v>
      </c>
      <c r="L1490" t="n">
        <v>1</v>
      </c>
      <c r="M1490" t="n">
        <v>0</v>
      </c>
    </row>
    <row r="1491" spans="1:13">
      <c r="A1491" s="1">
        <f>HYPERLINK("http://www.twitter.com/NathanBLawrence/status/994039913535291394", "994039913535291394")</f>
        <v/>
      </c>
      <c r="B1491" s="2" t="n">
        <v>43229.09905092593</v>
      </c>
      <c r="C1491" t="n">
        <v>0</v>
      </c>
      <c r="D1491" t="n">
        <v>1021</v>
      </c>
      <c r="E1491" t="s">
        <v>1502</v>
      </c>
      <c r="F1491" t="s"/>
      <c r="G1491" t="s"/>
      <c r="H1491" t="s"/>
      <c r="I1491" t="s"/>
      <c r="J1491" t="n">
        <v>0</v>
      </c>
      <c r="K1491" t="n">
        <v>0</v>
      </c>
      <c r="L1491" t="n">
        <v>1</v>
      </c>
      <c r="M1491" t="n">
        <v>0</v>
      </c>
    </row>
    <row r="1492" spans="1:13">
      <c r="A1492" s="1">
        <f>HYPERLINK("http://www.twitter.com/NathanBLawrence/status/994039854164934656", "994039854164934656")</f>
        <v/>
      </c>
      <c r="B1492" s="2" t="n">
        <v>43229.09888888889</v>
      </c>
      <c r="C1492" t="n">
        <v>7</v>
      </c>
      <c r="D1492" t="n">
        <v>2</v>
      </c>
      <c r="E1492" t="s">
        <v>1503</v>
      </c>
      <c r="F1492" t="s"/>
      <c r="G1492" t="s"/>
      <c r="H1492" t="s"/>
      <c r="I1492" t="s"/>
      <c r="J1492" t="n">
        <v>0.7371</v>
      </c>
      <c r="K1492" t="n">
        <v>0</v>
      </c>
      <c r="L1492" t="n">
        <v>0.434</v>
      </c>
      <c r="M1492" t="n">
        <v>0.5659999999999999</v>
      </c>
    </row>
    <row r="1493" spans="1:13">
      <c r="A1493" s="1">
        <f>HYPERLINK("http://www.twitter.com/NathanBLawrence/status/994039732429443072", "994039732429443072")</f>
        <v/>
      </c>
      <c r="B1493" s="2" t="n">
        <v>43229.09855324074</v>
      </c>
      <c r="C1493" t="n">
        <v>0</v>
      </c>
      <c r="D1493" t="n">
        <v>6768</v>
      </c>
      <c r="E1493" t="s">
        <v>1504</v>
      </c>
      <c r="F1493">
        <f>HYPERLINK("https://video.twimg.com/amplify_video/993555168401809410/vid/720x720/CS-FJgNvFpFSDa1d.mp4?tag=2", "https://video.twimg.com/amplify_video/993555168401809410/vid/720x720/CS-FJgNvFpFSDa1d.mp4?tag=2")</f>
        <v/>
      </c>
      <c r="G1493" t="s"/>
      <c r="H1493" t="s"/>
      <c r="I1493" t="s"/>
      <c r="J1493" t="n">
        <v>-0.6808</v>
      </c>
      <c r="K1493" t="n">
        <v>0.318</v>
      </c>
      <c r="L1493" t="n">
        <v>0.6820000000000001</v>
      </c>
      <c r="M1493" t="n">
        <v>0</v>
      </c>
    </row>
    <row r="1494" spans="1:13">
      <c r="A1494" s="1">
        <f>HYPERLINK("http://www.twitter.com/NathanBLawrence/status/994039691182686208", "994039691182686208")</f>
        <v/>
      </c>
      <c r="B1494" s="2" t="n">
        <v>43229.0984375</v>
      </c>
      <c r="C1494" t="n">
        <v>0</v>
      </c>
      <c r="D1494" t="n">
        <v>413</v>
      </c>
      <c r="E1494" t="s">
        <v>1505</v>
      </c>
      <c r="F1494" t="s"/>
      <c r="G1494" t="s"/>
      <c r="H1494" t="s"/>
      <c r="I1494" t="s"/>
      <c r="J1494" t="n">
        <v>0.6467000000000001</v>
      </c>
      <c r="K1494" t="n">
        <v>0</v>
      </c>
      <c r="L1494" t="n">
        <v>0.843</v>
      </c>
      <c r="M1494" t="n">
        <v>0.157</v>
      </c>
    </row>
    <row r="1495" spans="1:13">
      <c r="A1495" s="1">
        <f>HYPERLINK("http://www.twitter.com/NathanBLawrence/status/994039639232073728", "994039639232073728")</f>
        <v/>
      </c>
      <c r="B1495" s="2" t="n">
        <v>43229.09829861111</v>
      </c>
      <c r="C1495" t="n">
        <v>0</v>
      </c>
      <c r="D1495" t="n">
        <v>1480</v>
      </c>
      <c r="E1495" t="s">
        <v>1506</v>
      </c>
      <c r="F1495" t="s"/>
      <c r="G1495" t="s"/>
      <c r="H1495" t="s"/>
      <c r="I1495" t="s"/>
      <c r="J1495" t="n">
        <v>0.3382</v>
      </c>
      <c r="K1495" t="n">
        <v>0</v>
      </c>
      <c r="L1495" t="n">
        <v>0.877</v>
      </c>
      <c r="M1495" t="n">
        <v>0.123</v>
      </c>
    </row>
    <row r="1496" spans="1:13">
      <c r="A1496" s="1">
        <f>HYPERLINK("http://www.twitter.com/NathanBLawrence/status/994039578255278081", "994039578255278081")</f>
        <v/>
      </c>
      <c r="B1496" s="2" t="n">
        <v>43229.098125</v>
      </c>
      <c r="C1496" t="n">
        <v>0</v>
      </c>
      <c r="D1496" t="n">
        <v>24</v>
      </c>
      <c r="E1496" t="s">
        <v>1507</v>
      </c>
      <c r="F1496" t="s"/>
      <c r="G1496" t="s"/>
      <c r="H1496" t="s"/>
      <c r="I1496" t="s"/>
      <c r="J1496" t="n">
        <v>-0.7269</v>
      </c>
      <c r="K1496" t="n">
        <v>0.379</v>
      </c>
      <c r="L1496" t="n">
        <v>0.621</v>
      </c>
      <c r="M1496" t="n">
        <v>0</v>
      </c>
    </row>
    <row r="1497" spans="1:13">
      <c r="A1497" s="1">
        <f>HYPERLINK("http://www.twitter.com/NathanBLawrence/status/994039517580439552", "994039517580439552")</f>
        <v/>
      </c>
      <c r="B1497" s="2" t="n">
        <v>43229.09796296297</v>
      </c>
      <c r="C1497" t="n">
        <v>6</v>
      </c>
      <c r="D1497" t="n">
        <v>1</v>
      </c>
      <c r="E1497" t="s">
        <v>1508</v>
      </c>
      <c r="F1497" t="s"/>
      <c r="G1497" t="s"/>
      <c r="H1497" t="s"/>
      <c r="I1497" t="s"/>
      <c r="J1497" t="n">
        <v>-0.4098</v>
      </c>
      <c r="K1497" t="n">
        <v>0.233</v>
      </c>
      <c r="L1497" t="n">
        <v>0.767</v>
      </c>
      <c r="M1497" t="n">
        <v>0</v>
      </c>
    </row>
    <row r="1498" spans="1:13">
      <c r="A1498" s="1">
        <f>HYPERLINK("http://www.twitter.com/NathanBLawrence/status/994039284830121984", "994039284830121984")</f>
        <v/>
      </c>
      <c r="B1498" s="2" t="n">
        <v>43229.09731481481</v>
      </c>
      <c r="C1498" t="n">
        <v>0</v>
      </c>
      <c r="D1498" t="n">
        <v>2359</v>
      </c>
      <c r="E1498" t="s">
        <v>1509</v>
      </c>
      <c r="F1498" t="s"/>
      <c r="G1498" t="s"/>
      <c r="H1498" t="s"/>
      <c r="I1498" t="s"/>
      <c r="J1498" t="n">
        <v>0</v>
      </c>
      <c r="K1498" t="n">
        <v>0</v>
      </c>
      <c r="L1498" t="n">
        <v>1</v>
      </c>
      <c r="M1498" t="n">
        <v>0</v>
      </c>
    </row>
    <row r="1499" spans="1:13">
      <c r="A1499" s="1">
        <f>HYPERLINK("http://www.twitter.com/NathanBLawrence/status/994039233651163136", "994039233651163136")</f>
        <v/>
      </c>
      <c r="B1499" s="2" t="n">
        <v>43229.09717592593</v>
      </c>
      <c r="C1499" t="n">
        <v>0</v>
      </c>
      <c r="D1499" t="n">
        <v>894</v>
      </c>
      <c r="E1499" t="s">
        <v>1510</v>
      </c>
      <c r="F1499" t="s"/>
      <c r="G1499" t="s"/>
      <c r="H1499" t="s"/>
      <c r="I1499" t="s"/>
      <c r="J1499" t="n">
        <v>-0.4215</v>
      </c>
      <c r="K1499" t="n">
        <v>0.183</v>
      </c>
      <c r="L1499" t="n">
        <v>0.714</v>
      </c>
      <c r="M1499" t="n">
        <v>0.103</v>
      </c>
    </row>
    <row r="1500" spans="1:13">
      <c r="A1500" s="1">
        <f>HYPERLINK("http://www.twitter.com/NathanBLawrence/status/994039172661886976", "994039172661886976")</f>
        <v/>
      </c>
      <c r="B1500" s="2" t="n">
        <v>43229.09700231482</v>
      </c>
      <c r="C1500" t="n">
        <v>3</v>
      </c>
      <c r="D1500" t="n">
        <v>3</v>
      </c>
      <c r="E1500" t="s">
        <v>1511</v>
      </c>
      <c r="F1500" t="s"/>
      <c r="G1500" t="s"/>
      <c r="H1500" t="s"/>
      <c r="I1500" t="s"/>
      <c r="J1500" t="n">
        <v>0.4199</v>
      </c>
      <c r="K1500" t="n">
        <v>0</v>
      </c>
      <c r="L1500" t="n">
        <v>0.642</v>
      </c>
      <c r="M1500" t="n">
        <v>0.358</v>
      </c>
    </row>
    <row r="1501" spans="1:13">
      <c r="A1501" s="1">
        <f>HYPERLINK("http://www.twitter.com/NathanBLawrence/status/994039053799407617", "994039053799407617")</f>
        <v/>
      </c>
      <c r="B1501" s="2" t="n">
        <v>43229.09667824074</v>
      </c>
      <c r="C1501" t="n">
        <v>8</v>
      </c>
      <c r="D1501" t="n">
        <v>6</v>
      </c>
      <c r="E1501" t="s">
        <v>1512</v>
      </c>
      <c r="F1501" t="s"/>
      <c r="G1501" t="s"/>
      <c r="H1501" t="s"/>
      <c r="I1501" t="s"/>
      <c r="J1501" t="n">
        <v>0.8185</v>
      </c>
      <c r="K1501" t="n">
        <v>0</v>
      </c>
      <c r="L1501" t="n">
        <v>0.571</v>
      </c>
      <c r="M1501" t="n">
        <v>0.429</v>
      </c>
    </row>
    <row r="1502" spans="1:13">
      <c r="A1502" s="1">
        <f>HYPERLINK("http://www.twitter.com/NathanBLawrence/status/994038333293477888", "994038333293477888")</f>
        <v/>
      </c>
      <c r="B1502" s="2" t="n">
        <v>43229.0946875</v>
      </c>
      <c r="C1502" t="n">
        <v>6</v>
      </c>
      <c r="D1502" t="n">
        <v>5</v>
      </c>
      <c r="E1502" t="s">
        <v>1513</v>
      </c>
      <c r="F1502" t="s"/>
      <c r="G1502" t="s"/>
      <c r="H1502" t="s"/>
      <c r="I1502" t="s"/>
      <c r="J1502" t="n">
        <v>0</v>
      </c>
      <c r="K1502" t="n">
        <v>0</v>
      </c>
      <c r="L1502" t="n">
        <v>1</v>
      </c>
      <c r="M1502" t="n">
        <v>0</v>
      </c>
    </row>
    <row r="1503" spans="1:13">
      <c r="A1503" s="1">
        <f>HYPERLINK("http://www.twitter.com/NathanBLawrence/status/994038038543020032", "994038038543020032")</f>
        <v/>
      </c>
      <c r="B1503" s="2" t="n">
        <v>43229.09387731482</v>
      </c>
      <c r="C1503" t="n">
        <v>28</v>
      </c>
      <c r="D1503" t="n">
        <v>10</v>
      </c>
      <c r="E1503" t="s">
        <v>1514</v>
      </c>
      <c r="F1503" t="s"/>
      <c r="G1503" t="s"/>
      <c r="H1503" t="s"/>
      <c r="I1503" t="s"/>
      <c r="J1503" t="n">
        <v>-0.7959000000000001</v>
      </c>
      <c r="K1503" t="n">
        <v>0.224</v>
      </c>
      <c r="L1503" t="n">
        <v>0.776</v>
      </c>
      <c r="M1503" t="n">
        <v>0</v>
      </c>
    </row>
    <row r="1504" spans="1:13">
      <c r="A1504" s="1">
        <f>HYPERLINK("http://www.twitter.com/NathanBLawrence/status/994037576607547392", "994037576607547392")</f>
        <v/>
      </c>
      <c r="B1504" s="2" t="n">
        <v>43229.09260416667</v>
      </c>
      <c r="C1504" t="n">
        <v>19</v>
      </c>
      <c r="D1504" t="n">
        <v>8</v>
      </c>
      <c r="E1504" t="s">
        <v>1515</v>
      </c>
      <c r="F1504" t="s"/>
      <c r="G1504" t="s"/>
      <c r="H1504" t="s"/>
      <c r="I1504" t="s"/>
      <c r="J1504" t="n">
        <v>-0.4767</v>
      </c>
      <c r="K1504" t="n">
        <v>0.162</v>
      </c>
      <c r="L1504" t="n">
        <v>0.838</v>
      </c>
      <c r="M1504" t="n">
        <v>0</v>
      </c>
    </row>
    <row r="1505" spans="1:13">
      <c r="A1505" s="1">
        <f>HYPERLINK("http://www.twitter.com/NathanBLawrence/status/994037257072820224", "994037257072820224")</f>
        <v/>
      </c>
      <c r="B1505" s="2" t="n">
        <v>43229.09172453704</v>
      </c>
      <c r="C1505" t="n">
        <v>0</v>
      </c>
      <c r="D1505" t="n">
        <v>1019</v>
      </c>
      <c r="E1505" t="s">
        <v>1516</v>
      </c>
      <c r="F1505">
        <f>HYPERLINK("http://pbs.twimg.com/media/DcordhkW4AUAVTB.jpg", "http://pbs.twimg.com/media/DcordhkW4AUAVTB.jpg")</f>
        <v/>
      </c>
      <c r="G1505" t="s"/>
      <c r="H1505" t="s"/>
      <c r="I1505" t="s"/>
      <c r="J1505" t="n">
        <v>0</v>
      </c>
      <c r="K1505" t="n">
        <v>0</v>
      </c>
      <c r="L1505" t="n">
        <v>1</v>
      </c>
      <c r="M1505" t="n">
        <v>0</v>
      </c>
    </row>
    <row r="1506" spans="1:13">
      <c r="A1506" s="1">
        <f>HYPERLINK("http://www.twitter.com/NathanBLawrence/status/994037160184430594", "994037160184430594")</f>
        <v/>
      </c>
      <c r="B1506" s="2" t="n">
        <v>43229.09144675926</v>
      </c>
      <c r="C1506" t="n">
        <v>4</v>
      </c>
      <c r="D1506" t="n">
        <v>2</v>
      </c>
      <c r="E1506" t="s">
        <v>1517</v>
      </c>
      <c r="F1506" t="s"/>
      <c r="G1506" t="s"/>
      <c r="H1506" t="s"/>
      <c r="I1506" t="s"/>
      <c r="J1506" t="n">
        <v>-0.1506</v>
      </c>
      <c r="K1506" t="n">
        <v>0.194</v>
      </c>
      <c r="L1506" t="n">
        <v>0.65</v>
      </c>
      <c r="M1506" t="n">
        <v>0.156</v>
      </c>
    </row>
    <row r="1507" spans="1:13">
      <c r="A1507" s="1">
        <f>HYPERLINK("http://www.twitter.com/NathanBLawrence/status/994037012704382976", "994037012704382976")</f>
        <v/>
      </c>
      <c r="B1507" s="2" t="n">
        <v>43229.09104166667</v>
      </c>
      <c r="C1507" t="n">
        <v>0</v>
      </c>
      <c r="D1507" t="n">
        <v>1139</v>
      </c>
      <c r="E1507" t="s">
        <v>1518</v>
      </c>
      <c r="F1507">
        <f>HYPERLINK("http://pbs.twimg.com/media/Dco_bDVWsAU9tGo.jpg", "http://pbs.twimg.com/media/Dco_bDVWsAU9tGo.jpg")</f>
        <v/>
      </c>
      <c r="G1507" t="s"/>
      <c r="H1507" t="s"/>
      <c r="I1507" t="s"/>
      <c r="J1507" t="n">
        <v>0</v>
      </c>
      <c r="K1507" t="n">
        <v>0</v>
      </c>
      <c r="L1507" t="n">
        <v>1</v>
      </c>
      <c r="M1507" t="n">
        <v>0</v>
      </c>
    </row>
    <row r="1508" spans="1:13">
      <c r="A1508" s="1">
        <f>HYPERLINK("http://www.twitter.com/NathanBLawrence/status/994036919230021632", "994036919230021632")</f>
        <v/>
      </c>
      <c r="B1508" s="2" t="n">
        <v>43229.09078703704</v>
      </c>
      <c r="C1508" t="n">
        <v>0</v>
      </c>
      <c r="D1508" t="n">
        <v>2282</v>
      </c>
      <c r="E1508" t="s">
        <v>1519</v>
      </c>
      <c r="F1508" t="s"/>
      <c r="G1508" t="s"/>
      <c r="H1508" t="s"/>
      <c r="I1508" t="s"/>
      <c r="J1508" t="n">
        <v>0.6705</v>
      </c>
      <c r="K1508" t="n">
        <v>0</v>
      </c>
      <c r="L1508" t="n">
        <v>0.718</v>
      </c>
      <c r="M1508" t="n">
        <v>0.282</v>
      </c>
    </row>
    <row r="1509" spans="1:13">
      <c r="A1509" s="1">
        <f>HYPERLINK("http://www.twitter.com/NathanBLawrence/status/994003700132675584", "994003700132675584")</f>
        <v/>
      </c>
      <c r="B1509" s="2" t="n">
        <v>43228.99912037037</v>
      </c>
      <c r="C1509" t="n">
        <v>5</v>
      </c>
      <c r="D1509" t="n">
        <v>2</v>
      </c>
      <c r="E1509" t="s">
        <v>1520</v>
      </c>
      <c r="F1509" t="s"/>
      <c r="G1509" t="s"/>
      <c r="H1509" t="s"/>
      <c r="I1509" t="s"/>
      <c r="J1509" t="n">
        <v>-0.3382</v>
      </c>
      <c r="K1509" t="n">
        <v>0.144</v>
      </c>
      <c r="L1509" t="n">
        <v>0.742</v>
      </c>
      <c r="M1509" t="n">
        <v>0.114</v>
      </c>
    </row>
    <row r="1510" spans="1:13">
      <c r="A1510" s="1">
        <f>HYPERLINK("http://www.twitter.com/NathanBLawrence/status/994003305482207232", "994003305482207232")</f>
        <v/>
      </c>
      <c r="B1510" s="2" t="n">
        <v>43228.99803240741</v>
      </c>
      <c r="C1510" t="n">
        <v>5</v>
      </c>
      <c r="D1510" t="n">
        <v>0</v>
      </c>
      <c r="E1510" t="s">
        <v>1521</v>
      </c>
      <c r="F1510" t="s"/>
      <c r="G1510" t="s"/>
      <c r="H1510" t="s"/>
      <c r="I1510" t="s"/>
      <c r="J1510" t="n">
        <v>-0.7717000000000001</v>
      </c>
      <c r="K1510" t="n">
        <v>0.173</v>
      </c>
      <c r="L1510" t="n">
        <v>0.827</v>
      </c>
      <c r="M1510" t="n">
        <v>0</v>
      </c>
    </row>
    <row r="1511" spans="1:13">
      <c r="A1511" s="1">
        <f>HYPERLINK("http://www.twitter.com/NathanBLawrence/status/994002793546465282", "994002793546465282")</f>
        <v/>
      </c>
      <c r="B1511" s="2" t="n">
        <v>43228.99662037037</v>
      </c>
      <c r="C1511" t="n">
        <v>20</v>
      </c>
      <c r="D1511" t="n">
        <v>2</v>
      </c>
      <c r="E1511" t="s">
        <v>1522</v>
      </c>
      <c r="F1511" t="s"/>
      <c r="G1511" t="s"/>
      <c r="H1511" t="s"/>
      <c r="I1511" t="s"/>
      <c r="J1511" t="n">
        <v>0.6597</v>
      </c>
      <c r="K1511" t="n">
        <v>0.074</v>
      </c>
      <c r="L1511" t="n">
        <v>0.711</v>
      </c>
      <c r="M1511" t="n">
        <v>0.216</v>
      </c>
    </row>
    <row r="1512" spans="1:13">
      <c r="A1512" s="1">
        <f>HYPERLINK("http://www.twitter.com/NathanBLawrence/status/994001151078023168", "994001151078023168")</f>
        <v/>
      </c>
      <c r="B1512" s="2" t="n">
        <v>43228.99208333333</v>
      </c>
      <c r="C1512" t="n">
        <v>20</v>
      </c>
      <c r="D1512" t="n">
        <v>5</v>
      </c>
      <c r="E1512" t="s">
        <v>1523</v>
      </c>
      <c r="F1512" t="s"/>
      <c r="G1512" t="s"/>
      <c r="H1512" t="s"/>
      <c r="I1512" t="s"/>
      <c r="J1512" t="n">
        <v>-0.2115</v>
      </c>
      <c r="K1512" t="n">
        <v>0.155</v>
      </c>
      <c r="L1512" t="n">
        <v>0.729</v>
      </c>
      <c r="M1512" t="n">
        <v>0.116</v>
      </c>
    </row>
    <row r="1513" spans="1:13">
      <c r="A1513" s="1">
        <f>HYPERLINK("http://www.twitter.com/NathanBLawrence/status/993995618442870784", "993995618442870784")</f>
        <v/>
      </c>
      <c r="B1513" s="2" t="n">
        <v>43228.97681712963</v>
      </c>
      <c r="C1513" t="n">
        <v>0</v>
      </c>
      <c r="D1513" t="n">
        <v>50</v>
      </c>
      <c r="E1513" t="s">
        <v>1524</v>
      </c>
      <c r="F1513">
        <f>HYPERLINK("http://pbs.twimg.com/media/DcthUw_WsAE2GpL.jpg", "http://pbs.twimg.com/media/DcthUw_WsAE2GpL.jpg")</f>
        <v/>
      </c>
      <c r="G1513" t="s"/>
      <c r="H1513" t="s"/>
      <c r="I1513" t="s"/>
      <c r="J1513" t="n">
        <v>0</v>
      </c>
      <c r="K1513" t="n">
        <v>0</v>
      </c>
      <c r="L1513" t="n">
        <v>1</v>
      </c>
      <c r="M1513" t="n">
        <v>0</v>
      </c>
    </row>
    <row r="1514" spans="1:13">
      <c r="A1514" s="1">
        <f>HYPERLINK("http://www.twitter.com/NathanBLawrence/status/993995339165126656", "993995339165126656")</f>
        <v/>
      </c>
      <c r="B1514" s="2" t="n">
        <v>43228.97605324074</v>
      </c>
      <c r="C1514" t="n">
        <v>13</v>
      </c>
      <c r="D1514" t="n">
        <v>5</v>
      </c>
      <c r="E1514" t="s">
        <v>1525</v>
      </c>
      <c r="F1514" t="s"/>
      <c r="G1514" t="s"/>
      <c r="H1514" t="s"/>
      <c r="I1514" t="s"/>
      <c r="J1514" t="n">
        <v>0.5266999999999999</v>
      </c>
      <c r="K1514" t="n">
        <v>0.113</v>
      </c>
      <c r="L1514" t="n">
        <v>0.662</v>
      </c>
      <c r="M1514" t="n">
        <v>0.225</v>
      </c>
    </row>
    <row r="1515" spans="1:13">
      <c r="A1515" s="1">
        <f>HYPERLINK("http://www.twitter.com/NathanBLawrence/status/993987391198121984", "993987391198121984")</f>
        <v/>
      </c>
      <c r="B1515" s="2" t="n">
        <v>43228.95412037037</v>
      </c>
      <c r="C1515" t="n">
        <v>13</v>
      </c>
      <c r="D1515" t="n">
        <v>4</v>
      </c>
      <c r="E1515" t="s">
        <v>1526</v>
      </c>
      <c r="F1515" t="s"/>
      <c r="G1515" t="s"/>
      <c r="H1515" t="s"/>
      <c r="I1515" t="s"/>
      <c r="J1515" t="n">
        <v>-0.5106000000000001</v>
      </c>
      <c r="K1515" t="n">
        <v>0.13</v>
      </c>
      <c r="L1515" t="n">
        <v>0.87</v>
      </c>
      <c r="M1515" t="n">
        <v>0</v>
      </c>
    </row>
    <row r="1516" spans="1:13">
      <c r="A1516" s="1">
        <f>HYPERLINK("http://www.twitter.com/NathanBLawrence/status/993986228478341122", "993986228478341122")</f>
        <v/>
      </c>
      <c r="B1516" s="2" t="n">
        <v>43228.95090277777</v>
      </c>
      <c r="C1516" t="n">
        <v>0</v>
      </c>
      <c r="D1516" t="n">
        <v>1188</v>
      </c>
      <c r="E1516" t="s">
        <v>1527</v>
      </c>
      <c r="F1516">
        <f>HYPERLINK("https://video.twimg.com/amplify_video/993932158879326208/vid/1280x720/KDWBlqQ-j8Gq4fq3.mp4?tag=2", "https://video.twimg.com/amplify_video/993932158879326208/vid/1280x720/KDWBlqQ-j8Gq4fq3.mp4?tag=2")</f>
        <v/>
      </c>
      <c r="G1516" t="s"/>
      <c r="H1516" t="s"/>
      <c r="I1516" t="s"/>
      <c r="J1516" t="n">
        <v>0.3182</v>
      </c>
      <c r="K1516" t="n">
        <v>0</v>
      </c>
      <c r="L1516" t="n">
        <v>0.881</v>
      </c>
      <c r="M1516" t="n">
        <v>0.119</v>
      </c>
    </row>
    <row r="1517" spans="1:13">
      <c r="A1517" s="1">
        <f>HYPERLINK("http://www.twitter.com/NathanBLawrence/status/993986177966354432", "993986177966354432")</f>
        <v/>
      </c>
      <c r="B1517" s="2" t="n">
        <v>43228.95076388889</v>
      </c>
      <c r="C1517" t="n">
        <v>0</v>
      </c>
      <c r="D1517" t="n">
        <v>5</v>
      </c>
      <c r="E1517" t="s">
        <v>1528</v>
      </c>
      <c r="F1517" t="s"/>
      <c r="G1517" t="s"/>
      <c r="H1517" t="s"/>
      <c r="I1517" t="s"/>
      <c r="J1517" t="n">
        <v>0.4199</v>
      </c>
      <c r="K1517" t="n">
        <v>0</v>
      </c>
      <c r="L1517" t="n">
        <v>0.518</v>
      </c>
      <c r="M1517" t="n">
        <v>0.482</v>
      </c>
    </row>
    <row r="1518" spans="1:13">
      <c r="A1518" s="1">
        <f>HYPERLINK("http://www.twitter.com/NathanBLawrence/status/993986109196529664", "993986109196529664")</f>
        <v/>
      </c>
      <c r="B1518" s="2" t="n">
        <v>43228.95057870371</v>
      </c>
      <c r="C1518" t="n">
        <v>0</v>
      </c>
      <c r="D1518" t="n">
        <v>3</v>
      </c>
      <c r="E1518" t="s">
        <v>1529</v>
      </c>
      <c r="F1518" t="s"/>
      <c r="G1518" t="s"/>
      <c r="H1518" t="s"/>
      <c r="I1518" t="s"/>
      <c r="J1518" t="n">
        <v>0.3182</v>
      </c>
      <c r="K1518" t="n">
        <v>0</v>
      </c>
      <c r="L1518" t="n">
        <v>0.796</v>
      </c>
      <c r="M1518" t="n">
        <v>0.204</v>
      </c>
    </row>
    <row r="1519" spans="1:13">
      <c r="A1519" s="1">
        <f>HYPERLINK("http://www.twitter.com/NathanBLawrence/status/993986042616139776", "993986042616139776")</f>
        <v/>
      </c>
      <c r="B1519" s="2" t="n">
        <v>43228.95039351852</v>
      </c>
      <c r="C1519" t="n">
        <v>4</v>
      </c>
      <c r="D1519" t="n">
        <v>2</v>
      </c>
      <c r="E1519" t="s">
        <v>1530</v>
      </c>
      <c r="F1519" t="s"/>
      <c r="G1519" t="s"/>
      <c r="H1519" t="s"/>
      <c r="I1519" t="s"/>
      <c r="J1519" t="n">
        <v>-0.6808</v>
      </c>
      <c r="K1519" t="n">
        <v>0.384</v>
      </c>
      <c r="L1519" t="n">
        <v>0.616</v>
      </c>
      <c r="M1519" t="n">
        <v>0</v>
      </c>
    </row>
    <row r="1520" spans="1:13">
      <c r="A1520" s="1">
        <f>HYPERLINK("http://www.twitter.com/NathanBLawrence/status/993985891809951744", "993985891809951744")</f>
        <v/>
      </c>
      <c r="B1520" s="2" t="n">
        <v>43228.94997685185</v>
      </c>
      <c r="C1520" t="n">
        <v>0</v>
      </c>
      <c r="D1520" t="n">
        <v>7074</v>
      </c>
      <c r="E1520" t="s">
        <v>1531</v>
      </c>
      <c r="F1520">
        <f>HYPERLINK("http://pbs.twimg.com/media/DcsrUp5X4AEwevd.jpg", "http://pbs.twimg.com/media/DcsrUp5X4AEwevd.jpg")</f>
        <v/>
      </c>
      <c r="G1520" t="s"/>
      <c r="H1520" t="s"/>
      <c r="I1520" t="s"/>
      <c r="J1520" t="n">
        <v>0.5994</v>
      </c>
      <c r="K1520" t="n">
        <v>0.101</v>
      </c>
      <c r="L1520" t="n">
        <v>0.592</v>
      </c>
      <c r="M1520" t="n">
        <v>0.307</v>
      </c>
    </row>
    <row r="1521" spans="1:13">
      <c r="A1521" s="1">
        <f>HYPERLINK("http://www.twitter.com/NathanBLawrence/status/993985836885536768", "993985836885536768")</f>
        <v/>
      </c>
      <c r="B1521" s="2" t="n">
        <v>43228.94982638889</v>
      </c>
      <c r="C1521" t="n">
        <v>3</v>
      </c>
      <c r="D1521" t="n">
        <v>3</v>
      </c>
      <c r="E1521" t="s">
        <v>1532</v>
      </c>
      <c r="F1521" t="s"/>
      <c r="G1521" t="s"/>
      <c r="H1521" t="s"/>
      <c r="I1521" t="s"/>
      <c r="J1521" t="n">
        <v>-0.2942</v>
      </c>
      <c r="K1521" t="n">
        <v>0.126</v>
      </c>
      <c r="L1521" t="n">
        <v>0.788</v>
      </c>
      <c r="M1521" t="n">
        <v>0.08599999999999999</v>
      </c>
    </row>
    <row r="1522" spans="1:13">
      <c r="A1522" s="1">
        <f>HYPERLINK("http://www.twitter.com/NathanBLawrence/status/993985693750673408", "993985693750673408")</f>
        <v/>
      </c>
      <c r="B1522" s="2" t="n">
        <v>43228.94943287037</v>
      </c>
      <c r="C1522" t="n">
        <v>0</v>
      </c>
      <c r="D1522" t="n">
        <v>5</v>
      </c>
      <c r="E1522" t="s">
        <v>1533</v>
      </c>
      <c r="F1522" t="s"/>
      <c r="G1522" t="s"/>
      <c r="H1522" t="s"/>
      <c r="I1522" t="s"/>
      <c r="J1522" t="n">
        <v>-0.0572</v>
      </c>
      <c r="K1522" t="n">
        <v>0.048</v>
      </c>
      <c r="L1522" t="n">
        <v>0.952</v>
      </c>
      <c r="M1522" t="n">
        <v>0</v>
      </c>
    </row>
    <row r="1523" spans="1:13">
      <c r="A1523" s="1">
        <f>HYPERLINK("http://www.twitter.com/NathanBLawrence/status/993985379572240384", "993985379572240384")</f>
        <v/>
      </c>
      <c r="B1523" s="2" t="n">
        <v>43228.94856481482</v>
      </c>
      <c r="C1523" t="n">
        <v>2</v>
      </c>
      <c r="D1523" t="n">
        <v>0</v>
      </c>
      <c r="E1523" t="s">
        <v>1534</v>
      </c>
      <c r="F1523" t="s"/>
      <c r="G1523" t="s"/>
      <c r="H1523" t="s"/>
      <c r="I1523" t="s"/>
      <c r="J1523" t="n">
        <v>0.2714</v>
      </c>
      <c r="K1523" t="n">
        <v>0.156</v>
      </c>
      <c r="L1523" t="n">
        <v>0.641</v>
      </c>
      <c r="M1523" t="n">
        <v>0.204</v>
      </c>
    </row>
    <row r="1524" spans="1:13">
      <c r="A1524" s="1">
        <f>HYPERLINK("http://www.twitter.com/NathanBLawrence/status/993985052269690880", "993985052269690880")</f>
        <v/>
      </c>
      <c r="B1524" s="2" t="n">
        <v>43228.94766203704</v>
      </c>
      <c r="C1524" t="n">
        <v>1</v>
      </c>
      <c r="D1524" t="n">
        <v>0</v>
      </c>
      <c r="E1524" t="s">
        <v>1535</v>
      </c>
      <c r="F1524" t="s"/>
      <c r="G1524" t="s"/>
      <c r="H1524" t="s"/>
      <c r="I1524" t="s"/>
      <c r="J1524" t="n">
        <v>0</v>
      </c>
      <c r="K1524" t="n">
        <v>0</v>
      </c>
      <c r="L1524" t="n">
        <v>1</v>
      </c>
      <c r="M1524" t="n">
        <v>0</v>
      </c>
    </row>
    <row r="1525" spans="1:13">
      <c r="A1525" s="1">
        <f>HYPERLINK("http://www.twitter.com/NathanBLawrence/status/993979806038474754", "993979806038474754")</f>
        <v/>
      </c>
      <c r="B1525" s="2" t="n">
        <v>43228.93318287037</v>
      </c>
      <c r="C1525" t="n">
        <v>0</v>
      </c>
      <c r="D1525" t="n">
        <v>4</v>
      </c>
      <c r="E1525" t="s">
        <v>1536</v>
      </c>
      <c r="F1525" t="s"/>
      <c r="G1525" t="s"/>
      <c r="H1525" t="s"/>
      <c r="I1525" t="s"/>
      <c r="J1525" t="n">
        <v>0.7906</v>
      </c>
      <c r="K1525" t="n">
        <v>0</v>
      </c>
      <c r="L1525" t="n">
        <v>0.625</v>
      </c>
      <c r="M1525" t="n">
        <v>0.375</v>
      </c>
    </row>
    <row r="1526" spans="1:13">
      <c r="A1526" s="1">
        <f>HYPERLINK("http://www.twitter.com/NathanBLawrence/status/993979783338848257", "993979783338848257")</f>
        <v/>
      </c>
      <c r="B1526" s="2" t="n">
        <v>43228.933125</v>
      </c>
      <c r="C1526" t="n">
        <v>0</v>
      </c>
      <c r="D1526" t="n">
        <v>3</v>
      </c>
      <c r="E1526" t="s">
        <v>1537</v>
      </c>
      <c r="F1526" t="s"/>
      <c r="G1526" t="s"/>
      <c r="H1526" t="s"/>
      <c r="I1526" t="s"/>
      <c r="J1526" t="n">
        <v>0</v>
      </c>
      <c r="K1526" t="n">
        <v>0</v>
      </c>
      <c r="L1526" t="n">
        <v>1</v>
      </c>
      <c r="M1526" t="n">
        <v>0</v>
      </c>
    </row>
    <row r="1527" spans="1:13">
      <c r="A1527" s="1">
        <f>HYPERLINK("http://www.twitter.com/NathanBLawrence/status/993979742477996032", "993979742477996032")</f>
        <v/>
      </c>
      <c r="B1527" s="2" t="n">
        <v>43228.93300925926</v>
      </c>
      <c r="C1527" t="n">
        <v>0</v>
      </c>
      <c r="D1527" t="n">
        <v>4</v>
      </c>
      <c r="E1527" t="s">
        <v>1538</v>
      </c>
      <c r="F1527" t="s"/>
      <c r="G1527" t="s"/>
      <c r="H1527" t="s"/>
      <c r="I1527" t="s"/>
      <c r="J1527" t="n">
        <v>0.4364</v>
      </c>
      <c r="K1527" t="n">
        <v>0.131</v>
      </c>
      <c r="L1527" t="n">
        <v>0.611</v>
      </c>
      <c r="M1527" t="n">
        <v>0.258</v>
      </c>
    </row>
    <row r="1528" spans="1:13">
      <c r="A1528" s="1">
        <f>HYPERLINK("http://www.twitter.com/NathanBLawrence/status/993979723540672512", "993979723540672512")</f>
        <v/>
      </c>
      <c r="B1528" s="2" t="n">
        <v>43228.93295138889</v>
      </c>
      <c r="C1528" t="n">
        <v>9</v>
      </c>
      <c r="D1528" t="n">
        <v>1</v>
      </c>
      <c r="E1528" t="s">
        <v>1539</v>
      </c>
      <c r="F1528" t="s"/>
      <c r="G1528" t="s"/>
      <c r="H1528" t="s"/>
      <c r="I1528" t="s"/>
      <c r="J1528" t="n">
        <v>-0.802</v>
      </c>
      <c r="K1528" t="n">
        <v>0.217</v>
      </c>
      <c r="L1528" t="n">
        <v>0.783</v>
      </c>
      <c r="M1528" t="n">
        <v>0</v>
      </c>
    </row>
    <row r="1529" spans="1:13">
      <c r="A1529" s="1">
        <f>HYPERLINK("http://www.twitter.com/NathanBLawrence/status/993979312763060224", "993979312763060224")</f>
        <v/>
      </c>
      <c r="B1529" s="2" t="n">
        <v>43228.9318287037</v>
      </c>
      <c r="C1529" t="n">
        <v>0</v>
      </c>
      <c r="D1529" t="n">
        <v>255</v>
      </c>
      <c r="E1529" t="s">
        <v>1540</v>
      </c>
      <c r="F1529">
        <f>HYPERLINK("http://pbs.twimg.com/media/DctKSvrW4AEYBFM.jpg", "http://pbs.twimg.com/media/DctKSvrW4AEYBFM.jpg")</f>
        <v/>
      </c>
      <c r="G1529" t="s"/>
      <c r="H1529" t="s"/>
      <c r="I1529" t="s"/>
      <c r="J1529" t="n">
        <v>-0.2732</v>
      </c>
      <c r="K1529" t="n">
        <v>0.091</v>
      </c>
      <c r="L1529" t="n">
        <v>0.909</v>
      </c>
      <c r="M1529" t="n">
        <v>0</v>
      </c>
    </row>
    <row r="1530" spans="1:13">
      <c r="A1530" s="1">
        <f>HYPERLINK("http://www.twitter.com/NathanBLawrence/status/993979206919905282", "993979206919905282")</f>
        <v/>
      </c>
      <c r="B1530" s="2" t="n">
        <v>43228.93152777778</v>
      </c>
      <c r="C1530" t="n">
        <v>6</v>
      </c>
      <c r="D1530" t="n">
        <v>1</v>
      </c>
      <c r="E1530" t="s">
        <v>1541</v>
      </c>
      <c r="F1530" t="s"/>
      <c r="G1530" t="s"/>
      <c r="H1530" t="s"/>
      <c r="I1530" t="s"/>
      <c r="J1530" t="n">
        <v>-0.7060999999999999</v>
      </c>
      <c r="K1530" t="n">
        <v>0.294</v>
      </c>
      <c r="L1530" t="n">
        <v>0.539</v>
      </c>
      <c r="M1530" t="n">
        <v>0.167</v>
      </c>
    </row>
    <row r="1531" spans="1:13">
      <c r="A1531" s="1">
        <f>HYPERLINK("http://www.twitter.com/NathanBLawrence/status/993978426439548928", "993978426439548928")</f>
        <v/>
      </c>
      <c r="B1531" s="2" t="n">
        <v>43228.929375</v>
      </c>
      <c r="C1531" t="n">
        <v>8</v>
      </c>
      <c r="D1531" t="n">
        <v>6</v>
      </c>
      <c r="E1531" t="s">
        <v>1542</v>
      </c>
      <c r="F1531" t="s"/>
      <c r="G1531" t="s"/>
      <c r="H1531" t="s"/>
      <c r="I1531" t="s"/>
      <c r="J1531" t="n">
        <v>0.3802</v>
      </c>
      <c r="K1531" t="n">
        <v>0</v>
      </c>
      <c r="L1531" t="n">
        <v>0.861</v>
      </c>
      <c r="M1531" t="n">
        <v>0.139</v>
      </c>
    </row>
    <row r="1532" spans="1:13">
      <c r="A1532" s="1">
        <f>HYPERLINK("http://www.twitter.com/NathanBLawrence/status/993978095689392128", "993978095689392128")</f>
        <v/>
      </c>
      <c r="B1532" s="2" t="n">
        <v>43228.92846064815</v>
      </c>
      <c r="C1532" t="n">
        <v>11</v>
      </c>
      <c r="D1532" t="n">
        <v>7</v>
      </c>
      <c r="E1532" t="s">
        <v>1543</v>
      </c>
      <c r="F1532" t="s"/>
      <c r="G1532" t="s"/>
      <c r="H1532" t="s"/>
      <c r="I1532" t="s"/>
      <c r="J1532" t="n">
        <v>-0.7203000000000001</v>
      </c>
      <c r="K1532" t="n">
        <v>0.261</v>
      </c>
      <c r="L1532" t="n">
        <v>0.615</v>
      </c>
      <c r="M1532" t="n">
        <v>0.124</v>
      </c>
    </row>
    <row r="1533" spans="1:13">
      <c r="A1533" s="1">
        <f>HYPERLINK("http://www.twitter.com/NathanBLawrence/status/993977762539913216", "993977762539913216")</f>
        <v/>
      </c>
      <c r="B1533" s="2" t="n">
        <v>43228.9275462963</v>
      </c>
      <c r="C1533" t="n">
        <v>13</v>
      </c>
      <c r="D1533" t="n">
        <v>9</v>
      </c>
      <c r="E1533" t="s">
        <v>1544</v>
      </c>
      <c r="F1533" t="s"/>
      <c r="G1533" t="s"/>
      <c r="H1533" t="s"/>
      <c r="I1533" t="s"/>
      <c r="J1533" t="n">
        <v>0.5061</v>
      </c>
      <c r="K1533" t="n">
        <v>0</v>
      </c>
      <c r="L1533" t="n">
        <v>0.885</v>
      </c>
      <c r="M1533" t="n">
        <v>0.115</v>
      </c>
    </row>
    <row r="1534" spans="1:13">
      <c r="A1534" s="1">
        <f>HYPERLINK("http://www.twitter.com/NathanBLawrence/status/993976531851460609", "993976531851460609")</f>
        <v/>
      </c>
      <c r="B1534" s="2" t="n">
        <v>43228.92415509259</v>
      </c>
      <c r="C1534" t="n">
        <v>20</v>
      </c>
      <c r="D1534" t="n">
        <v>7</v>
      </c>
      <c r="E1534" t="s">
        <v>1545</v>
      </c>
      <c r="F1534">
        <f>HYPERLINK("http://pbs.twimg.com/media/DctQYePUwAA06g5.jpg", "http://pbs.twimg.com/media/DctQYePUwAA06g5.jpg")</f>
        <v/>
      </c>
      <c r="G1534" t="s"/>
      <c r="H1534" t="s"/>
      <c r="I1534" t="s"/>
      <c r="J1534" t="n">
        <v>0.6369</v>
      </c>
      <c r="K1534" t="n">
        <v>0</v>
      </c>
      <c r="L1534" t="n">
        <v>0.574</v>
      </c>
      <c r="M1534" t="n">
        <v>0.426</v>
      </c>
    </row>
    <row r="1535" spans="1:13">
      <c r="A1535" s="1">
        <f>HYPERLINK("http://www.twitter.com/NathanBLawrence/status/993976314976612352", "993976314976612352")</f>
        <v/>
      </c>
      <c r="B1535" s="2" t="n">
        <v>43228.92355324074</v>
      </c>
      <c r="C1535" t="n">
        <v>0</v>
      </c>
      <c r="D1535" t="n">
        <v>320</v>
      </c>
      <c r="E1535" t="s">
        <v>1546</v>
      </c>
      <c r="F1535">
        <f>HYPERLINK("http://pbs.twimg.com/media/DcsLIrRW4AAYz2d.jpg", "http://pbs.twimg.com/media/DcsLIrRW4AAYz2d.jpg")</f>
        <v/>
      </c>
      <c r="G1535" t="s"/>
      <c r="H1535" t="s"/>
      <c r="I1535" t="s"/>
      <c r="J1535" t="n">
        <v>0.3612</v>
      </c>
      <c r="K1535" t="n">
        <v>0</v>
      </c>
      <c r="L1535" t="n">
        <v>0.894</v>
      </c>
      <c r="M1535" t="n">
        <v>0.106</v>
      </c>
    </row>
    <row r="1536" spans="1:13">
      <c r="A1536" s="1">
        <f>HYPERLINK("http://www.twitter.com/NathanBLawrence/status/993975217461510145", "993975217461510145")</f>
        <v/>
      </c>
      <c r="B1536" s="2" t="n">
        <v>43228.92052083334</v>
      </c>
      <c r="C1536" t="n">
        <v>0</v>
      </c>
      <c r="D1536" t="n">
        <v>5988</v>
      </c>
      <c r="E1536" t="s">
        <v>1547</v>
      </c>
      <c r="F1536" t="s"/>
      <c r="G1536" t="s"/>
      <c r="H1536" t="s"/>
      <c r="I1536" t="s"/>
      <c r="J1536" t="n">
        <v>0.4019</v>
      </c>
      <c r="K1536" t="n">
        <v>0</v>
      </c>
      <c r="L1536" t="n">
        <v>0.903</v>
      </c>
      <c r="M1536" t="n">
        <v>0.097</v>
      </c>
    </row>
    <row r="1537" spans="1:13">
      <c r="A1537" s="1">
        <f>HYPERLINK("http://www.twitter.com/NathanBLawrence/status/993975174771892230", "993975174771892230")</f>
        <v/>
      </c>
      <c r="B1537" s="2" t="n">
        <v>43228.92040509259</v>
      </c>
      <c r="C1537" t="n">
        <v>0</v>
      </c>
      <c r="D1537" t="n">
        <v>2968</v>
      </c>
      <c r="E1537" t="s">
        <v>1548</v>
      </c>
      <c r="F1537" t="s"/>
      <c r="G1537" t="s"/>
      <c r="H1537" t="s"/>
      <c r="I1537" t="s"/>
      <c r="J1537" t="n">
        <v>-0.4767</v>
      </c>
      <c r="K1537" t="n">
        <v>0.188</v>
      </c>
      <c r="L1537" t="n">
        <v>0.733</v>
      </c>
      <c r="M1537" t="n">
        <v>0.079</v>
      </c>
    </row>
    <row r="1538" spans="1:13">
      <c r="A1538" s="1">
        <f>HYPERLINK("http://www.twitter.com/NathanBLawrence/status/993975026800996352", "993975026800996352")</f>
        <v/>
      </c>
      <c r="B1538" s="2" t="n">
        <v>43228.92</v>
      </c>
      <c r="C1538" t="n">
        <v>0</v>
      </c>
      <c r="D1538" t="n">
        <v>6237</v>
      </c>
      <c r="E1538" t="s">
        <v>1549</v>
      </c>
      <c r="F1538" t="s"/>
      <c r="G1538" t="s"/>
      <c r="H1538" t="s"/>
      <c r="I1538" t="s"/>
      <c r="J1538" t="n">
        <v>0.6467000000000001</v>
      </c>
      <c r="K1538" t="n">
        <v>0</v>
      </c>
      <c r="L1538" t="n">
        <v>0.711</v>
      </c>
      <c r="M1538" t="n">
        <v>0.289</v>
      </c>
    </row>
    <row r="1539" spans="1:13">
      <c r="A1539" s="1">
        <f>HYPERLINK("http://www.twitter.com/NathanBLawrence/status/993974856122228737", "993974856122228737")</f>
        <v/>
      </c>
      <c r="B1539" s="2" t="n">
        <v>43228.91952546296</v>
      </c>
      <c r="C1539" t="n">
        <v>0</v>
      </c>
      <c r="D1539" t="n">
        <v>816</v>
      </c>
      <c r="E1539" t="s">
        <v>1550</v>
      </c>
      <c r="F1539" t="s"/>
      <c r="G1539" t="s"/>
      <c r="H1539" t="s"/>
      <c r="I1539" t="s"/>
      <c r="J1539" t="n">
        <v>0.6996</v>
      </c>
      <c r="K1539" t="n">
        <v>0</v>
      </c>
      <c r="L1539" t="n">
        <v>0.784</v>
      </c>
      <c r="M1539" t="n">
        <v>0.216</v>
      </c>
    </row>
    <row r="1540" spans="1:13">
      <c r="A1540" s="1">
        <f>HYPERLINK("http://www.twitter.com/NathanBLawrence/status/993974736500633601", "993974736500633601")</f>
        <v/>
      </c>
      <c r="B1540" s="2" t="n">
        <v>43228.91918981481</v>
      </c>
      <c r="C1540" t="n">
        <v>0</v>
      </c>
      <c r="D1540" t="n">
        <v>1601</v>
      </c>
      <c r="E1540" t="s">
        <v>1551</v>
      </c>
      <c r="F1540">
        <f>HYPERLINK("http://pbs.twimg.com/media/DcUiqBqVwAA2MTa.jpg", "http://pbs.twimg.com/media/DcUiqBqVwAA2MTa.jpg")</f>
        <v/>
      </c>
      <c r="G1540" t="s"/>
      <c r="H1540" t="s"/>
      <c r="I1540" t="s"/>
      <c r="J1540" t="n">
        <v>0.25</v>
      </c>
      <c r="K1540" t="n">
        <v>0.108</v>
      </c>
      <c r="L1540" t="n">
        <v>0.735</v>
      </c>
      <c r="M1540" t="n">
        <v>0.157</v>
      </c>
    </row>
    <row r="1541" spans="1:13">
      <c r="A1541" s="1">
        <f>HYPERLINK("http://www.twitter.com/NathanBLawrence/status/993974690853998593", "993974690853998593")</f>
        <v/>
      </c>
      <c r="B1541" s="2" t="n">
        <v>43228.91907407407</v>
      </c>
      <c r="C1541" t="n">
        <v>0</v>
      </c>
      <c r="D1541" t="n">
        <v>3577</v>
      </c>
      <c r="E1541" t="s">
        <v>1552</v>
      </c>
      <c r="F1541">
        <f>HYPERLINK("http://pbs.twimg.com/media/DcXg6b6UwAEjdTs.jpg", "http://pbs.twimg.com/media/DcXg6b6UwAEjdTs.jpg")</f>
        <v/>
      </c>
      <c r="G1541" t="s"/>
      <c r="H1541" t="s"/>
      <c r="I1541" t="s"/>
      <c r="J1541" t="n">
        <v>0</v>
      </c>
      <c r="K1541" t="n">
        <v>0</v>
      </c>
      <c r="L1541" t="n">
        <v>1</v>
      </c>
      <c r="M1541" t="n">
        <v>0</v>
      </c>
    </row>
    <row r="1542" spans="1:13">
      <c r="A1542" s="1">
        <f>HYPERLINK("http://www.twitter.com/NathanBLawrence/status/993974567906328576", "993974567906328576")</f>
        <v/>
      </c>
      <c r="B1542" s="2" t="n">
        <v>43228.91872685185</v>
      </c>
      <c r="C1542" t="n">
        <v>0</v>
      </c>
      <c r="D1542" t="n">
        <v>2935</v>
      </c>
      <c r="E1542" t="s">
        <v>1553</v>
      </c>
      <c r="F1542">
        <f>HYPERLINK("http://pbs.twimg.com/media/DcYDtyGV0AAfTx5.jpg", "http://pbs.twimg.com/media/DcYDtyGV0AAfTx5.jpg")</f>
        <v/>
      </c>
      <c r="G1542">
        <f>HYPERLINK("http://pbs.twimg.com/media/DcYDtyIUwAE6Lij.jpg", "http://pbs.twimg.com/media/DcYDtyIUwAE6Lij.jpg")</f>
        <v/>
      </c>
      <c r="H1542">
        <f>HYPERLINK("http://pbs.twimg.com/media/DcYDtyVVQAArA2s.jpg", "http://pbs.twimg.com/media/DcYDtyVVQAArA2s.jpg")</f>
        <v/>
      </c>
      <c r="I1542" t="s"/>
      <c r="J1542" t="n">
        <v>-0.2732</v>
      </c>
      <c r="K1542" t="n">
        <v>0.195</v>
      </c>
      <c r="L1542" t="n">
        <v>0.65</v>
      </c>
      <c r="M1542" t="n">
        <v>0.155</v>
      </c>
    </row>
    <row r="1543" spans="1:13">
      <c r="A1543" s="1">
        <f>HYPERLINK("http://www.twitter.com/NathanBLawrence/status/993974390294376448", "993974390294376448")</f>
        <v/>
      </c>
      <c r="B1543" s="2" t="n">
        <v>43228.91824074074</v>
      </c>
      <c r="C1543" t="n">
        <v>0</v>
      </c>
      <c r="D1543" t="n">
        <v>3539</v>
      </c>
      <c r="E1543" t="s">
        <v>1554</v>
      </c>
      <c r="F1543">
        <f>HYPERLINK("https://video.twimg.com/ext_tw_video/992514637223505920/pu/vid/638x360/qkh6-Zj88Man7R8F.mp4?tag=3", "https://video.twimg.com/ext_tw_video/992514637223505920/pu/vid/638x360/qkh6-Zj88Man7R8F.mp4?tag=3")</f>
        <v/>
      </c>
      <c r="G1543" t="s"/>
      <c r="H1543" t="s"/>
      <c r="I1543" t="s"/>
      <c r="J1543" t="n">
        <v>0.4151</v>
      </c>
      <c r="K1543" t="n">
        <v>0.128</v>
      </c>
      <c r="L1543" t="n">
        <v>0.62</v>
      </c>
      <c r="M1543" t="n">
        <v>0.251</v>
      </c>
    </row>
    <row r="1544" spans="1:13">
      <c r="A1544" s="1">
        <f>HYPERLINK("http://www.twitter.com/NathanBLawrence/status/993974259381764097", "993974259381764097")</f>
        <v/>
      </c>
      <c r="B1544" s="2" t="n">
        <v>43228.91788194444</v>
      </c>
      <c r="C1544" t="n">
        <v>0</v>
      </c>
      <c r="D1544" t="n">
        <v>903</v>
      </c>
      <c r="E1544" t="s">
        <v>1555</v>
      </c>
      <c r="F1544" t="s"/>
      <c r="G1544" t="s"/>
      <c r="H1544" t="s"/>
      <c r="I1544" t="s"/>
      <c r="J1544" t="n">
        <v>0.7163</v>
      </c>
      <c r="K1544" t="n">
        <v>0.081</v>
      </c>
      <c r="L1544" t="n">
        <v>0.6840000000000001</v>
      </c>
      <c r="M1544" t="n">
        <v>0.235</v>
      </c>
    </row>
    <row r="1545" spans="1:13">
      <c r="A1545" s="1">
        <f>HYPERLINK("http://www.twitter.com/NathanBLawrence/status/993972809712844800", "993972809712844800")</f>
        <v/>
      </c>
      <c r="B1545" s="2" t="n">
        <v>43228.91387731482</v>
      </c>
      <c r="C1545" t="n">
        <v>0</v>
      </c>
      <c r="D1545" t="n">
        <v>4945</v>
      </c>
      <c r="E1545" t="s">
        <v>1556</v>
      </c>
      <c r="F1545">
        <f>HYPERLINK("https://video.twimg.com/ext_tw_video/993229637994999808/pu/vid/720x1280/S-KOVXjYSsE3Nlur.mp4?tag=3", "https://video.twimg.com/ext_tw_video/993229637994999808/pu/vid/720x1280/S-KOVXjYSsE3Nlur.mp4?tag=3")</f>
        <v/>
      </c>
      <c r="G1545" t="s"/>
      <c r="H1545" t="s"/>
      <c r="I1545" t="s"/>
      <c r="J1545" t="n">
        <v>0.6597</v>
      </c>
      <c r="K1545" t="n">
        <v>0.091</v>
      </c>
      <c r="L1545" t="n">
        <v>0.638</v>
      </c>
      <c r="M1545" t="n">
        <v>0.272</v>
      </c>
    </row>
    <row r="1546" spans="1:13">
      <c r="A1546" s="1">
        <f>HYPERLINK("http://www.twitter.com/NathanBLawrence/status/993972752305373184", "993972752305373184")</f>
        <v/>
      </c>
      <c r="B1546" s="2" t="n">
        <v>43228.91371527778</v>
      </c>
      <c r="C1546" t="n">
        <v>0</v>
      </c>
      <c r="D1546" t="n">
        <v>405</v>
      </c>
      <c r="E1546" t="s">
        <v>1557</v>
      </c>
      <c r="F1546" t="s"/>
      <c r="G1546" t="s"/>
      <c r="H1546" t="s"/>
      <c r="I1546" t="s"/>
      <c r="J1546" t="n">
        <v>0.7579</v>
      </c>
      <c r="K1546" t="n">
        <v>0</v>
      </c>
      <c r="L1546" t="n">
        <v>0.737</v>
      </c>
      <c r="M1546" t="n">
        <v>0.263</v>
      </c>
    </row>
    <row r="1547" spans="1:13">
      <c r="A1547" s="1">
        <f>HYPERLINK("http://www.twitter.com/NathanBLawrence/status/993972687524397056", "993972687524397056")</f>
        <v/>
      </c>
      <c r="B1547" s="2" t="n">
        <v>43228.91354166667</v>
      </c>
      <c r="C1547" t="n">
        <v>0</v>
      </c>
      <c r="D1547" t="n">
        <v>353</v>
      </c>
      <c r="E1547" t="s">
        <v>1558</v>
      </c>
      <c r="F1547" t="s"/>
      <c r="G1547" t="s"/>
      <c r="H1547" t="s"/>
      <c r="I1547" t="s"/>
      <c r="J1547" t="n">
        <v>0.4939</v>
      </c>
      <c r="K1547" t="n">
        <v>0</v>
      </c>
      <c r="L1547" t="n">
        <v>0.714</v>
      </c>
      <c r="M1547" t="n">
        <v>0.286</v>
      </c>
    </row>
    <row r="1548" spans="1:13">
      <c r="A1548" s="1">
        <f>HYPERLINK("http://www.twitter.com/NathanBLawrence/status/993972593978884096", "993972593978884096")</f>
        <v/>
      </c>
      <c r="B1548" s="2" t="n">
        <v>43228.91328703704</v>
      </c>
      <c r="C1548" t="n">
        <v>6</v>
      </c>
      <c r="D1548" t="n">
        <v>0</v>
      </c>
      <c r="E1548" t="s">
        <v>1559</v>
      </c>
      <c r="F1548" t="s"/>
      <c r="G1548" t="s"/>
      <c r="H1548" t="s"/>
      <c r="I1548" t="s"/>
      <c r="J1548" t="n">
        <v>0</v>
      </c>
      <c r="K1548" t="n">
        <v>0</v>
      </c>
      <c r="L1548" t="n">
        <v>1</v>
      </c>
      <c r="M1548" t="n">
        <v>0</v>
      </c>
    </row>
    <row r="1549" spans="1:13">
      <c r="A1549" s="1">
        <f>HYPERLINK("http://www.twitter.com/NathanBLawrence/status/993970334507253760", "993970334507253760")</f>
        <v/>
      </c>
      <c r="B1549" s="2" t="n">
        <v>43228.90704861111</v>
      </c>
      <c r="C1549" t="n">
        <v>0</v>
      </c>
      <c r="D1549" t="n">
        <v>1140</v>
      </c>
      <c r="E1549" t="s">
        <v>1560</v>
      </c>
      <c r="F1549" t="s"/>
      <c r="G1549" t="s"/>
      <c r="H1549" t="s"/>
      <c r="I1549" t="s"/>
      <c r="J1549" t="n">
        <v>0.296</v>
      </c>
      <c r="K1549" t="n">
        <v>0</v>
      </c>
      <c r="L1549" t="n">
        <v>0.833</v>
      </c>
      <c r="M1549" t="n">
        <v>0.167</v>
      </c>
    </row>
    <row r="1550" spans="1:13">
      <c r="A1550" s="1">
        <f>HYPERLINK("http://www.twitter.com/NathanBLawrence/status/993970275984146432", "993970275984146432")</f>
        <v/>
      </c>
      <c r="B1550" s="2" t="n">
        <v>43228.90688657408</v>
      </c>
      <c r="C1550" t="n">
        <v>0</v>
      </c>
      <c r="D1550" t="n">
        <v>2263</v>
      </c>
      <c r="E1550" t="s">
        <v>1561</v>
      </c>
      <c r="F1550" t="s"/>
      <c r="G1550" t="s"/>
      <c r="H1550" t="s"/>
      <c r="I1550" t="s"/>
      <c r="J1550" t="n">
        <v>0.0544</v>
      </c>
      <c r="K1550" t="n">
        <v>0.058</v>
      </c>
      <c r="L1550" t="n">
        <v>0.876</v>
      </c>
      <c r="M1550" t="n">
        <v>0.066</v>
      </c>
    </row>
    <row r="1551" spans="1:13">
      <c r="A1551" s="1">
        <f>HYPERLINK("http://www.twitter.com/NathanBLawrence/status/993970075244806144", "993970075244806144")</f>
        <v/>
      </c>
      <c r="B1551" s="2" t="n">
        <v>43228.90633101852</v>
      </c>
      <c r="C1551" t="n">
        <v>0</v>
      </c>
      <c r="D1551" t="n">
        <v>7</v>
      </c>
      <c r="E1551" t="s">
        <v>1562</v>
      </c>
      <c r="F1551" t="s"/>
      <c r="G1551" t="s"/>
      <c r="H1551" t="s"/>
      <c r="I1551" t="s"/>
      <c r="J1551" t="n">
        <v>-0.25</v>
      </c>
      <c r="K1551" t="n">
        <v>0.118</v>
      </c>
      <c r="L1551" t="n">
        <v>0.882</v>
      </c>
      <c r="M1551" t="n">
        <v>0</v>
      </c>
    </row>
    <row r="1552" spans="1:13">
      <c r="A1552" s="1">
        <f>HYPERLINK("http://www.twitter.com/NathanBLawrence/status/993970008081354753", "993970008081354753")</f>
        <v/>
      </c>
      <c r="B1552" s="2" t="n">
        <v>43228.90614583333</v>
      </c>
      <c r="C1552" t="n">
        <v>0</v>
      </c>
      <c r="D1552" t="n">
        <v>4</v>
      </c>
      <c r="E1552" t="s">
        <v>1563</v>
      </c>
      <c r="F1552" t="s"/>
      <c r="G1552" t="s"/>
      <c r="H1552" t="s"/>
      <c r="I1552" t="s"/>
      <c r="J1552" t="n">
        <v>0.4215</v>
      </c>
      <c r="K1552" t="n">
        <v>0</v>
      </c>
      <c r="L1552" t="n">
        <v>0.843</v>
      </c>
      <c r="M1552" t="n">
        <v>0.157</v>
      </c>
    </row>
    <row r="1553" spans="1:13">
      <c r="A1553" s="1">
        <f>HYPERLINK("http://www.twitter.com/NathanBLawrence/status/993969885855105024", "993969885855105024")</f>
        <v/>
      </c>
      <c r="B1553" s="2" t="n">
        <v>43228.90581018518</v>
      </c>
      <c r="C1553" t="n">
        <v>0</v>
      </c>
      <c r="D1553" t="n">
        <v>14</v>
      </c>
      <c r="E1553" t="s">
        <v>1564</v>
      </c>
      <c r="F1553">
        <f>HYPERLINK("http://pbs.twimg.com/media/DcppbZFUQAAYh6F.jpg", "http://pbs.twimg.com/media/DcppbZFUQAAYh6F.jpg")</f>
        <v/>
      </c>
      <c r="G1553">
        <f>HYPERLINK("http://pbs.twimg.com/media/DcppbZKVMAAg4n1.jpg", "http://pbs.twimg.com/media/DcppbZKVMAAg4n1.jpg")</f>
        <v/>
      </c>
      <c r="H1553" t="s"/>
      <c r="I1553" t="s"/>
      <c r="J1553" t="n">
        <v>-0.4374</v>
      </c>
      <c r="K1553" t="n">
        <v>0.251</v>
      </c>
      <c r="L1553" t="n">
        <v>0.614</v>
      </c>
      <c r="M1553" t="n">
        <v>0.135</v>
      </c>
    </row>
    <row r="1554" spans="1:13">
      <c r="A1554" s="1">
        <f>HYPERLINK("http://www.twitter.com/NathanBLawrence/status/993969707697885184", "993969707697885184")</f>
        <v/>
      </c>
      <c r="B1554" s="2" t="n">
        <v>43228.90532407408</v>
      </c>
      <c r="C1554" t="n">
        <v>0</v>
      </c>
      <c r="D1554" t="n">
        <v>7</v>
      </c>
      <c r="E1554" t="s">
        <v>1565</v>
      </c>
      <c r="F1554">
        <f>HYPERLINK("http://pbs.twimg.com/media/Dcr2cAzVMAEv22U.jpg", "http://pbs.twimg.com/media/Dcr2cAzVMAEv22U.jpg")</f>
        <v/>
      </c>
      <c r="G1554" t="s"/>
      <c r="H1554" t="s"/>
      <c r="I1554" t="s"/>
      <c r="J1554" t="n">
        <v>0</v>
      </c>
      <c r="K1554" t="n">
        <v>0</v>
      </c>
      <c r="L1554" t="n">
        <v>1</v>
      </c>
      <c r="M1554" t="n">
        <v>0</v>
      </c>
    </row>
    <row r="1555" spans="1:13">
      <c r="A1555" s="1">
        <f>HYPERLINK("http://www.twitter.com/NathanBLawrence/status/993969602152431616", "993969602152431616")</f>
        <v/>
      </c>
      <c r="B1555" s="2" t="n">
        <v>43228.90502314815</v>
      </c>
      <c r="C1555" t="n">
        <v>0</v>
      </c>
      <c r="D1555" t="n">
        <v>757</v>
      </c>
      <c r="E1555" t="s">
        <v>1566</v>
      </c>
      <c r="F1555">
        <f>HYPERLINK("http://pbs.twimg.com/media/DcokT_cVwAIw3PQ.jpg", "http://pbs.twimg.com/media/DcokT_cVwAIw3PQ.jpg")</f>
        <v/>
      </c>
      <c r="G1555" t="s"/>
      <c r="H1555" t="s"/>
      <c r="I1555" t="s"/>
      <c r="J1555" t="n">
        <v>-0.5423</v>
      </c>
      <c r="K1555" t="n">
        <v>0.333</v>
      </c>
      <c r="L1555" t="n">
        <v>0.667</v>
      </c>
      <c r="M1555" t="n">
        <v>0</v>
      </c>
    </row>
    <row r="1556" spans="1:13">
      <c r="A1556" s="1">
        <f>HYPERLINK("http://www.twitter.com/NathanBLawrence/status/993969527204470786", "993969527204470786")</f>
        <v/>
      </c>
      <c r="B1556" s="2" t="n">
        <v>43228.90482638889</v>
      </c>
      <c r="C1556" t="n">
        <v>0</v>
      </c>
      <c r="D1556" t="n">
        <v>567</v>
      </c>
      <c r="E1556" t="s">
        <v>1567</v>
      </c>
      <c r="F1556" t="s"/>
      <c r="G1556" t="s"/>
      <c r="H1556" t="s"/>
      <c r="I1556" t="s"/>
      <c r="J1556" t="n">
        <v>0</v>
      </c>
      <c r="K1556" t="n">
        <v>0</v>
      </c>
      <c r="L1556" t="n">
        <v>1</v>
      </c>
      <c r="M1556" t="n">
        <v>0</v>
      </c>
    </row>
    <row r="1557" spans="1:13">
      <c r="A1557" s="1">
        <f>HYPERLINK("http://www.twitter.com/NathanBLawrence/status/993969393682952192", "993969393682952192")</f>
        <v/>
      </c>
      <c r="B1557" s="2" t="n">
        <v>43228.90445601852</v>
      </c>
      <c r="C1557" t="n">
        <v>2</v>
      </c>
      <c r="D1557" t="n">
        <v>6</v>
      </c>
      <c r="E1557" t="s">
        <v>1568</v>
      </c>
      <c r="F1557" t="s"/>
      <c r="G1557" t="s"/>
      <c r="H1557" t="s"/>
      <c r="I1557" t="s"/>
      <c r="J1557" t="n">
        <v>0.3802</v>
      </c>
      <c r="K1557" t="n">
        <v>0</v>
      </c>
      <c r="L1557" t="n">
        <v>0.8090000000000001</v>
      </c>
      <c r="M1557" t="n">
        <v>0.191</v>
      </c>
    </row>
    <row r="1558" spans="1:13">
      <c r="A1558" s="1">
        <f>HYPERLINK("http://www.twitter.com/NathanBLawrence/status/993969180998189056", "993969180998189056")</f>
        <v/>
      </c>
      <c r="B1558" s="2" t="n">
        <v>43228.90386574074</v>
      </c>
      <c r="C1558" t="n">
        <v>0</v>
      </c>
      <c r="D1558" t="n">
        <v>262</v>
      </c>
      <c r="E1558" t="s">
        <v>1569</v>
      </c>
      <c r="F1558" t="s"/>
      <c r="G1558" t="s"/>
      <c r="H1558" t="s"/>
      <c r="I1558" t="s"/>
      <c r="J1558" t="n">
        <v>-0.9001</v>
      </c>
      <c r="K1558" t="n">
        <v>0.414</v>
      </c>
      <c r="L1558" t="n">
        <v>0.586</v>
      </c>
      <c r="M1558" t="n">
        <v>0</v>
      </c>
    </row>
    <row r="1559" spans="1:13">
      <c r="A1559" s="1">
        <f>HYPERLINK("http://www.twitter.com/NathanBLawrence/status/993969133959053312", "993969133959053312")</f>
        <v/>
      </c>
      <c r="B1559" s="2" t="n">
        <v>43228.90373842593</v>
      </c>
      <c r="C1559" t="n">
        <v>0</v>
      </c>
      <c r="D1559" t="n">
        <v>460</v>
      </c>
      <c r="E1559" t="s">
        <v>1570</v>
      </c>
      <c r="F1559" t="s"/>
      <c r="G1559" t="s"/>
      <c r="H1559" t="s"/>
      <c r="I1559" t="s"/>
      <c r="J1559" t="n">
        <v>-0.796</v>
      </c>
      <c r="K1559" t="n">
        <v>0.374</v>
      </c>
      <c r="L1559" t="n">
        <v>0.508</v>
      </c>
      <c r="M1559" t="n">
        <v>0.117</v>
      </c>
    </row>
    <row r="1560" spans="1:13">
      <c r="A1560" s="1">
        <f>HYPERLINK("http://www.twitter.com/NathanBLawrence/status/993964658766659584", "993964658766659584")</f>
        <v/>
      </c>
      <c r="B1560" s="2" t="n">
        <v>43228.89138888889</v>
      </c>
      <c r="C1560" t="n">
        <v>6</v>
      </c>
      <c r="D1560" t="n">
        <v>7</v>
      </c>
      <c r="E1560" t="s">
        <v>1571</v>
      </c>
      <c r="F1560" t="s"/>
      <c r="G1560" t="s"/>
      <c r="H1560" t="s"/>
      <c r="I1560" t="s"/>
      <c r="J1560" t="n">
        <v>-0.6615</v>
      </c>
      <c r="K1560" t="n">
        <v>0.174</v>
      </c>
      <c r="L1560" t="n">
        <v>0.777</v>
      </c>
      <c r="M1560" t="n">
        <v>0.05</v>
      </c>
    </row>
    <row r="1561" spans="1:13">
      <c r="A1561" s="1">
        <f>HYPERLINK("http://www.twitter.com/NathanBLawrence/status/993963931528978434", "993963931528978434")</f>
        <v/>
      </c>
      <c r="B1561" s="2" t="n">
        <v>43228.889375</v>
      </c>
      <c r="C1561" t="n">
        <v>8</v>
      </c>
      <c r="D1561" t="n">
        <v>5</v>
      </c>
      <c r="E1561" t="s">
        <v>1572</v>
      </c>
      <c r="F1561" t="s"/>
      <c r="G1561" t="s"/>
      <c r="H1561" t="s"/>
      <c r="I1561" t="s"/>
      <c r="J1561" t="n">
        <v>0.3612</v>
      </c>
      <c r="K1561" t="n">
        <v>0</v>
      </c>
      <c r="L1561" t="n">
        <v>0.898</v>
      </c>
      <c r="M1561" t="n">
        <v>0.102</v>
      </c>
    </row>
    <row r="1562" spans="1:13">
      <c r="A1562" s="1">
        <f>HYPERLINK("http://www.twitter.com/NathanBLawrence/status/993963209529868288", "993963209529868288")</f>
        <v/>
      </c>
      <c r="B1562" s="2" t="n">
        <v>43228.88738425926</v>
      </c>
      <c r="C1562" t="n">
        <v>4</v>
      </c>
      <c r="D1562" t="n">
        <v>3</v>
      </c>
      <c r="E1562" t="s">
        <v>1573</v>
      </c>
      <c r="F1562" t="s"/>
      <c r="G1562" t="s"/>
      <c r="H1562" t="s"/>
      <c r="I1562" t="s"/>
      <c r="J1562" t="n">
        <v>-0.3818</v>
      </c>
      <c r="K1562" t="n">
        <v>0.178</v>
      </c>
      <c r="L1562" t="n">
        <v>0.822</v>
      </c>
      <c r="M1562" t="n">
        <v>0</v>
      </c>
    </row>
    <row r="1563" spans="1:13">
      <c r="A1563" s="1">
        <f>HYPERLINK("http://www.twitter.com/NathanBLawrence/status/993962715763752960", "993962715763752960")</f>
        <v/>
      </c>
      <c r="B1563" s="2" t="n">
        <v>43228.8860300926</v>
      </c>
      <c r="C1563" t="n">
        <v>0</v>
      </c>
      <c r="D1563" t="n">
        <v>1655</v>
      </c>
      <c r="E1563" t="s">
        <v>1574</v>
      </c>
      <c r="F1563">
        <f>HYPERLINK("https://video.twimg.com/amplify_video/993253657897467905/vid/1276x720/13vL-oDxYiq1zJ_v.mp4?tag=2", "https://video.twimg.com/amplify_video/993253657897467905/vid/1276x720/13vL-oDxYiq1zJ_v.mp4?tag=2")</f>
        <v/>
      </c>
      <c r="G1563" t="s"/>
      <c r="H1563" t="s"/>
      <c r="I1563" t="s"/>
      <c r="J1563" t="n">
        <v>-0.4767</v>
      </c>
      <c r="K1563" t="n">
        <v>0.119</v>
      </c>
      <c r="L1563" t="n">
        <v>0.881</v>
      </c>
      <c r="M1563" t="n">
        <v>0</v>
      </c>
    </row>
    <row r="1564" spans="1:13">
      <c r="A1564" s="1">
        <f>HYPERLINK("http://www.twitter.com/NathanBLawrence/status/993962576634499072", "993962576634499072")</f>
        <v/>
      </c>
      <c r="B1564" s="2" t="n">
        <v>43228.88563657407</v>
      </c>
      <c r="C1564" t="n">
        <v>0</v>
      </c>
      <c r="D1564" t="n">
        <v>470</v>
      </c>
      <c r="E1564" t="s">
        <v>1575</v>
      </c>
      <c r="F1564" t="s"/>
      <c r="G1564" t="s"/>
      <c r="H1564" t="s"/>
      <c r="I1564" t="s"/>
      <c r="J1564" t="n">
        <v>-0.2732</v>
      </c>
      <c r="K1564" t="n">
        <v>0.095</v>
      </c>
      <c r="L1564" t="n">
        <v>0.905</v>
      </c>
      <c r="M1564" t="n">
        <v>0</v>
      </c>
    </row>
    <row r="1565" spans="1:13">
      <c r="A1565" s="1">
        <f>HYPERLINK("http://www.twitter.com/NathanBLawrence/status/993962169526972416", "993962169526972416")</f>
        <v/>
      </c>
      <c r="B1565" s="2" t="n">
        <v>43228.88451388889</v>
      </c>
      <c r="C1565" t="n">
        <v>0</v>
      </c>
      <c r="D1565" t="n">
        <v>16415</v>
      </c>
      <c r="E1565" t="s">
        <v>1576</v>
      </c>
      <c r="F1565" t="s"/>
      <c r="G1565" t="s"/>
      <c r="H1565" t="s"/>
      <c r="I1565" t="s"/>
      <c r="J1565" t="n">
        <v>-0.3818</v>
      </c>
      <c r="K1565" t="n">
        <v>0.133</v>
      </c>
      <c r="L1565" t="n">
        <v>0.867</v>
      </c>
      <c r="M1565" t="n">
        <v>0</v>
      </c>
    </row>
    <row r="1566" spans="1:13">
      <c r="A1566" s="1">
        <f>HYPERLINK("http://www.twitter.com/NathanBLawrence/status/993962135729287168", "993962135729287168")</f>
        <v/>
      </c>
      <c r="B1566" s="2" t="n">
        <v>43228.88442129629</v>
      </c>
      <c r="C1566" t="n">
        <v>0</v>
      </c>
      <c r="D1566" t="n">
        <v>12650</v>
      </c>
      <c r="E1566" t="s">
        <v>1577</v>
      </c>
      <c r="F1566" t="s"/>
      <c r="G1566" t="s"/>
      <c r="H1566" t="s"/>
      <c r="I1566" t="s"/>
      <c r="J1566" t="n">
        <v>0.0258</v>
      </c>
      <c r="K1566" t="n">
        <v>0</v>
      </c>
      <c r="L1566" t="n">
        <v>0.956</v>
      </c>
      <c r="M1566" t="n">
        <v>0.044</v>
      </c>
    </row>
    <row r="1567" spans="1:13">
      <c r="A1567" s="1">
        <f>HYPERLINK("http://www.twitter.com/NathanBLawrence/status/993962010369912833", "993962010369912833")</f>
        <v/>
      </c>
      <c r="B1567" s="2" t="n">
        <v>43228.88407407407</v>
      </c>
      <c r="C1567" t="n">
        <v>0</v>
      </c>
      <c r="D1567" t="n">
        <v>30101</v>
      </c>
      <c r="E1567" t="s">
        <v>1578</v>
      </c>
      <c r="F1567" t="s"/>
      <c r="G1567" t="s"/>
      <c r="H1567" t="s"/>
      <c r="I1567" t="s"/>
      <c r="J1567" t="n">
        <v>-0.5413</v>
      </c>
      <c r="K1567" t="n">
        <v>0.411</v>
      </c>
      <c r="L1567" t="n">
        <v>0.589</v>
      </c>
      <c r="M1567" t="n">
        <v>0</v>
      </c>
    </row>
    <row r="1568" spans="1:13">
      <c r="A1568" s="1">
        <f>HYPERLINK("http://www.twitter.com/NathanBLawrence/status/993961986131091456", "993961986131091456")</f>
        <v/>
      </c>
      <c r="B1568" s="2" t="n">
        <v>43228.8840162037</v>
      </c>
      <c r="C1568" t="n">
        <v>0</v>
      </c>
      <c r="D1568" t="n">
        <v>8137</v>
      </c>
      <c r="E1568" t="s">
        <v>1579</v>
      </c>
      <c r="F1568">
        <f>HYPERLINK("http://pbs.twimg.com/media/DcNmSfUVMAAZAlK.jpg", "http://pbs.twimg.com/media/DcNmSfUVMAAZAlK.jpg")</f>
        <v/>
      </c>
      <c r="G1568" t="s"/>
      <c r="H1568" t="s"/>
      <c r="I1568" t="s"/>
      <c r="J1568" t="n">
        <v>0.8323</v>
      </c>
      <c r="K1568" t="n">
        <v>0</v>
      </c>
      <c r="L1568" t="n">
        <v>0.606</v>
      </c>
      <c r="M1568" t="n">
        <v>0.394</v>
      </c>
    </row>
    <row r="1569" spans="1:13">
      <c r="A1569" s="1">
        <f>HYPERLINK("http://www.twitter.com/NathanBLawrence/status/993961657708630016", "993961657708630016")</f>
        <v/>
      </c>
      <c r="B1569" s="2" t="n">
        <v>43228.88310185185</v>
      </c>
      <c r="C1569" t="n">
        <v>0</v>
      </c>
      <c r="D1569" t="n">
        <v>24646</v>
      </c>
      <c r="E1569" t="s">
        <v>1580</v>
      </c>
      <c r="F1569" t="s"/>
      <c r="G1569" t="s"/>
      <c r="H1569" t="s"/>
      <c r="I1569" t="s"/>
      <c r="J1569" t="n">
        <v>0</v>
      </c>
      <c r="K1569" t="n">
        <v>0</v>
      </c>
      <c r="L1569" t="n">
        <v>1</v>
      </c>
      <c r="M1569" t="n">
        <v>0</v>
      </c>
    </row>
    <row r="1570" spans="1:13">
      <c r="A1570" s="1">
        <f>HYPERLINK("http://www.twitter.com/NathanBLawrence/status/993961318800539648", "993961318800539648")</f>
        <v/>
      </c>
      <c r="B1570" s="2" t="n">
        <v>43228.88216435185</v>
      </c>
      <c r="C1570" t="n">
        <v>2</v>
      </c>
      <c r="D1570" t="n">
        <v>0</v>
      </c>
      <c r="E1570" t="s">
        <v>1581</v>
      </c>
      <c r="F1570" t="s"/>
      <c r="G1570" t="s"/>
      <c r="H1570" t="s"/>
      <c r="I1570" t="s"/>
      <c r="J1570" t="n">
        <v>0</v>
      </c>
      <c r="K1570" t="n">
        <v>0</v>
      </c>
      <c r="L1570" t="n">
        <v>1</v>
      </c>
      <c r="M1570" t="n">
        <v>0</v>
      </c>
    </row>
    <row r="1571" spans="1:13">
      <c r="A1571" s="1">
        <f>HYPERLINK("http://www.twitter.com/NathanBLawrence/status/993960853182431232", "993960853182431232")</f>
        <v/>
      </c>
      <c r="B1571" s="2" t="n">
        <v>43228.88087962963</v>
      </c>
      <c r="C1571" t="n">
        <v>7</v>
      </c>
      <c r="D1571" t="n">
        <v>3</v>
      </c>
      <c r="E1571" t="s">
        <v>1582</v>
      </c>
      <c r="F1571" t="s"/>
      <c r="G1571" t="s"/>
      <c r="H1571" t="s"/>
      <c r="I1571" t="s"/>
      <c r="J1571" t="n">
        <v>0.6696</v>
      </c>
      <c r="K1571" t="n">
        <v>0</v>
      </c>
      <c r="L1571" t="n">
        <v>0.4</v>
      </c>
      <c r="M1571" t="n">
        <v>0.6</v>
      </c>
    </row>
    <row r="1572" spans="1:13">
      <c r="A1572" s="1">
        <f>HYPERLINK("http://www.twitter.com/NathanBLawrence/status/993960663130124288", "993960663130124288")</f>
        <v/>
      </c>
      <c r="B1572" s="2" t="n">
        <v>43228.8803587963</v>
      </c>
      <c r="C1572" t="n">
        <v>0</v>
      </c>
      <c r="D1572" t="n">
        <v>112</v>
      </c>
      <c r="E1572" t="s">
        <v>1583</v>
      </c>
      <c r="F1572" t="s"/>
      <c r="G1572" t="s"/>
      <c r="H1572" t="s"/>
      <c r="I1572" t="s"/>
      <c r="J1572" t="n">
        <v>0.0772</v>
      </c>
      <c r="K1572" t="n">
        <v>0</v>
      </c>
      <c r="L1572" t="n">
        <v>0.794</v>
      </c>
      <c r="M1572" t="n">
        <v>0.206</v>
      </c>
    </row>
    <row r="1573" spans="1:13">
      <c r="A1573" s="1">
        <f>HYPERLINK("http://www.twitter.com/NathanBLawrence/status/993960602635665408", "993960602635665408")</f>
        <v/>
      </c>
      <c r="B1573" s="2" t="n">
        <v>43228.88019675926</v>
      </c>
      <c r="C1573" t="n">
        <v>6</v>
      </c>
      <c r="D1573" t="n">
        <v>3</v>
      </c>
      <c r="E1573" t="s">
        <v>1584</v>
      </c>
      <c r="F1573" t="s"/>
      <c r="G1573" t="s"/>
      <c r="H1573" t="s"/>
      <c r="I1573" t="s"/>
      <c r="J1573" t="n">
        <v>0</v>
      </c>
      <c r="K1573" t="n">
        <v>0</v>
      </c>
      <c r="L1573" t="n">
        <v>1</v>
      </c>
      <c r="M1573" t="n">
        <v>0</v>
      </c>
    </row>
    <row r="1574" spans="1:13">
      <c r="A1574" s="1">
        <f>HYPERLINK("http://www.twitter.com/NathanBLawrence/status/993960330031124481", "993960330031124481")</f>
        <v/>
      </c>
      <c r="B1574" s="2" t="n">
        <v>43228.87944444444</v>
      </c>
      <c r="C1574" t="n">
        <v>7</v>
      </c>
      <c r="D1574" t="n">
        <v>1</v>
      </c>
      <c r="E1574" t="s">
        <v>1585</v>
      </c>
      <c r="F1574" t="s"/>
      <c r="G1574" t="s"/>
      <c r="H1574" t="s"/>
      <c r="I1574" t="s"/>
      <c r="J1574" t="n">
        <v>0.4926</v>
      </c>
      <c r="K1574" t="n">
        <v>0</v>
      </c>
      <c r="L1574" t="n">
        <v>0.61</v>
      </c>
      <c r="M1574" t="n">
        <v>0.39</v>
      </c>
    </row>
    <row r="1575" spans="1:13">
      <c r="A1575" s="1">
        <f>HYPERLINK("http://www.twitter.com/NathanBLawrence/status/993959744736919553", "993959744736919553")</f>
        <v/>
      </c>
      <c r="B1575" s="2" t="n">
        <v>43228.87782407407</v>
      </c>
      <c r="C1575" t="n">
        <v>9</v>
      </c>
      <c r="D1575" t="n">
        <v>4</v>
      </c>
      <c r="E1575" t="s">
        <v>1586</v>
      </c>
      <c r="F1575" t="s"/>
      <c r="G1575" t="s"/>
      <c r="H1575" t="s"/>
      <c r="I1575" t="s"/>
      <c r="J1575" t="n">
        <v>-0.597</v>
      </c>
      <c r="K1575" t="n">
        <v>0.126</v>
      </c>
      <c r="L1575" t="n">
        <v>0.874</v>
      </c>
      <c r="M1575" t="n">
        <v>0</v>
      </c>
    </row>
    <row r="1576" spans="1:13">
      <c r="A1576" s="1">
        <f>HYPERLINK("http://www.twitter.com/NathanBLawrence/status/993959516805914624", "993959516805914624")</f>
        <v/>
      </c>
      <c r="B1576" s="2" t="n">
        <v>43228.87719907407</v>
      </c>
      <c r="C1576" t="n">
        <v>7</v>
      </c>
      <c r="D1576" t="n">
        <v>2</v>
      </c>
      <c r="E1576" t="s">
        <v>1587</v>
      </c>
      <c r="F1576" t="s"/>
      <c r="G1576" t="s"/>
      <c r="H1576" t="s"/>
      <c r="I1576" t="s"/>
      <c r="J1576" t="n">
        <v>0.0772</v>
      </c>
      <c r="K1576" t="n">
        <v>0</v>
      </c>
      <c r="L1576" t="n">
        <v>0.952</v>
      </c>
      <c r="M1576" t="n">
        <v>0.048</v>
      </c>
    </row>
    <row r="1577" spans="1:13">
      <c r="A1577" s="1">
        <f>HYPERLINK("http://www.twitter.com/NathanBLawrence/status/993959010146512896", "993959010146512896")</f>
        <v/>
      </c>
      <c r="B1577" s="2" t="n">
        <v>43228.87579861111</v>
      </c>
      <c r="C1577" t="n">
        <v>7</v>
      </c>
      <c r="D1577" t="n">
        <v>7</v>
      </c>
      <c r="E1577" t="s">
        <v>1588</v>
      </c>
      <c r="F1577" t="s"/>
      <c r="G1577" t="s"/>
      <c r="H1577" t="s"/>
      <c r="I1577" t="s"/>
      <c r="J1577" t="n">
        <v>-0.2532</v>
      </c>
      <c r="K1577" t="n">
        <v>0.121</v>
      </c>
      <c r="L1577" t="n">
        <v>0.8090000000000001</v>
      </c>
      <c r="M1577" t="n">
        <v>0.07000000000000001</v>
      </c>
    </row>
    <row r="1578" spans="1:13">
      <c r="A1578" s="1">
        <f>HYPERLINK("http://www.twitter.com/NathanBLawrence/status/993958499301314560", "993958499301314560")</f>
        <v/>
      </c>
      <c r="B1578" s="2" t="n">
        <v>43228.87438657408</v>
      </c>
      <c r="C1578" t="n">
        <v>4</v>
      </c>
      <c r="D1578" t="n">
        <v>1</v>
      </c>
      <c r="E1578" t="s">
        <v>1589</v>
      </c>
      <c r="F1578" t="s"/>
      <c r="G1578" t="s"/>
      <c r="H1578" t="s"/>
      <c r="I1578" t="s"/>
      <c r="J1578" t="n">
        <v>0.2732</v>
      </c>
      <c r="K1578" t="n">
        <v>0</v>
      </c>
      <c r="L1578" t="n">
        <v>0.87</v>
      </c>
      <c r="M1578" t="n">
        <v>0.13</v>
      </c>
    </row>
    <row r="1579" spans="1:13">
      <c r="A1579" s="1">
        <f>HYPERLINK("http://www.twitter.com/NathanBLawrence/status/993958300747161600", "993958300747161600")</f>
        <v/>
      </c>
      <c r="B1579" s="2" t="n">
        <v>43228.87384259259</v>
      </c>
      <c r="C1579" t="n">
        <v>3</v>
      </c>
      <c r="D1579" t="n">
        <v>1</v>
      </c>
      <c r="E1579" t="s">
        <v>1590</v>
      </c>
      <c r="F1579" t="s"/>
      <c r="G1579" t="s"/>
      <c r="H1579" t="s"/>
      <c r="I1579" t="s"/>
      <c r="J1579" t="n">
        <v>0.5411</v>
      </c>
      <c r="K1579" t="n">
        <v>0</v>
      </c>
      <c r="L1579" t="n">
        <v>0.775</v>
      </c>
      <c r="M1579" t="n">
        <v>0.225</v>
      </c>
    </row>
    <row r="1580" spans="1:13">
      <c r="A1580" s="1">
        <f>HYPERLINK("http://www.twitter.com/NathanBLawrence/status/993958185777049600", "993958185777049600")</f>
        <v/>
      </c>
      <c r="B1580" s="2" t="n">
        <v>43228.87351851852</v>
      </c>
      <c r="C1580" t="n">
        <v>0</v>
      </c>
      <c r="D1580" t="n">
        <v>13012</v>
      </c>
      <c r="E1580" t="s">
        <v>1591</v>
      </c>
      <c r="F1580" t="s"/>
      <c r="G1580" t="s"/>
      <c r="H1580" t="s"/>
      <c r="I1580" t="s"/>
      <c r="J1580" t="n">
        <v>0.4201</v>
      </c>
      <c r="K1580" t="n">
        <v>0</v>
      </c>
      <c r="L1580" t="n">
        <v>0.887</v>
      </c>
      <c r="M1580" t="n">
        <v>0.113</v>
      </c>
    </row>
    <row r="1581" spans="1:13">
      <c r="A1581" s="1">
        <f>HYPERLINK("http://www.twitter.com/NathanBLawrence/status/993958048946270208", "993958048946270208")</f>
        <v/>
      </c>
      <c r="B1581" s="2" t="n">
        <v>43228.87314814814</v>
      </c>
      <c r="C1581" t="n">
        <v>0</v>
      </c>
      <c r="D1581" t="n">
        <v>11</v>
      </c>
      <c r="E1581" t="s">
        <v>1592</v>
      </c>
      <c r="F1581" t="s"/>
      <c r="G1581" t="s"/>
      <c r="H1581" t="s"/>
      <c r="I1581" t="s"/>
      <c r="J1581" t="n">
        <v>-0.4019</v>
      </c>
      <c r="K1581" t="n">
        <v>0.119</v>
      </c>
      <c r="L1581" t="n">
        <v>0.881</v>
      </c>
      <c r="M1581" t="n">
        <v>0</v>
      </c>
    </row>
    <row r="1582" spans="1:13">
      <c r="A1582" s="1">
        <f>HYPERLINK("http://www.twitter.com/NathanBLawrence/status/993957979648020480", "993957979648020480")</f>
        <v/>
      </c>
      <c r="B1582" s="2" t="n">
        <v>43228.87295138889</v>
      </c>
      <c r="C1582" t="n">
        <v>1</v>
      </c>
      <c r="D1582" t="n">
        <v>2</v>
      </c>
      <c r="E1582" t="s">
        <v>1593</v>
      </c>
      <c r="F1582" t="s"/>
      <c r="G1582" t="s"/>
      <c r="H1582" t="s"/>
      <c r="I1582" t="s"/>
      <c r="J1582" t="n">
        <v>0</v>
      </c>
      <c r="K1582" t="n">
        <v>0</v>
      </c>
      <c r="L1582" t="n">
        <v>1</v>
      </c>
      <c r="M1582" t="n">
        <v>0</v>
      </c>
    </row>
    <row r="1583" spans="1:13">
      <c r="A1583" s="1">
        <f>HYPERLINK("http://www.twitter.com/NathanBLawrence/status/993957359813718016", "993957359813718016")</f>
        <v/>
      </c>
      <c r="B1583" s="2" t="n">
        <v>43228.87125</v>
      </c>
      <c r="C1583" t="n">
        <v>6</v>
      </c>
      <c r="D1583" t="n">
        <v>6</v>
      </c>
      <c r="E1583" t="s">
        <v>1594</v>
      </c>
      <c r="F1583" t="s"/>
      <c r="G1583" t="s"/>
      <c r="H1583" t="s"/>
      <c r="I1583" t="s"/>
      <c r="J1583" t="n">
        <v>0.34</v>
      </c>
      <c r="K1583" t="n">
        <v>0.059</v>
      </c>
      <c r="L1583" t="n">
        <v>0.8179999999999999</v>
      </c>
      <c r="M1583" t="n">
        <v>0.123</v>
      </c>
    </row>
    <row r="1584" spans="1:13">
      <c r="A1584" s="1">
        <f>HYPERLINK("http://www.twitter.com/NathanBLawrence/status/993957152535425024", "993957152535425024")</f>
        <v/>
      </c>
      <c r="B1584" s="2" t="n">
        <v>43228.8706712963</v>
      </c>
      <c r="C1584" t="n">
        <v>1</v>
      </c>
      <c r="D1584" t="n">
        <v>1</v>
      </c>
      <c r="E1584" t="s">
        <v>1595</v>
      </c>
      <c r="F1584" t="s"/>
      <c r="G1584" t="s"/>
      <c r="H1584" t="s"/>
      <c r="I1584" t="s"/>
      <c r="J1584" t="n">
        <v>-0.5719</v>
      </c>
      <c r="K1584" t="n">
        <v>0.333</v>
      </c>
      <c r="L1584" t="n">
        <v>0.529</v>
      </c>
      <c r="M1584" t="n">
        <v>0.138</v>
      </c>
    </row>
    <row r="1585" spans="1:13">
      <c r="A1585" s="1">
        <f>HYPERLINK("http://www.twitter.com/NathanBLawrence/status/993957042229469186", "993957042229469186")</f>
        <v/>
      </c>
      <c r="B1585" s="2" t="n">
        <v>43228.87037037037</v>
      </c>
      <c r="C1585" t="n">
        <v>8</v>
      </c>
      <c r="D1585" t="n">
        <v>6</v>
      </c>
      <c r="E1585" t="s">
        <v>1596</v>
      </c>
      <c r="F1585" t="s"/>
      <c r="G1585" t="s"/>
      <c r="H1585" t="s"/>
      <c r="I1585" t="s"/>
      <c r="J1585" t="n">
        <v>0.7027</v>
      </c>
      <c r="K1585" t="n">
        <v>0</v>
      </c>
      <c r="L1585" t="n">
        <v>0.733</v>
      </c>
      <c r="M1585" t="n">
        <v>0.267</v>
      </c>
    </row>
    <row r="1586" spans="1:13">
      <c r="A1586" s="1">
        <f>HYPERLINK("http://www.twitter.com/NathanBLawrence/status/993956304317132802", "993956304317132802")</f>
        <v/>
      </c>
      <c r="B1586" s="2" t="n">
        <v>43228.86833333333</v>
      </c>
      <c r="C1586" t="n">
        <v>7</v>
      </c>
      <c r="D1586" t="n">
        <v>3</v>
      </c>
      <c r="E1586" t="s">
        <v>1597</v>
      </c>
      <c r="F1586" t="s"/>
      <c r="G1586" t="s"/>
      <c r="H1586" t="s"/>
      <c r="I1586" t="s"/>
      <c r="J1586" t="n">
        <v>0</v>
      </c>
      <c r="K1586" t="n">
        <v>0</v>
      </c>
      <c r="L1586" t="n">
        <v>1</v>
      </c>
      <c r="M1586" t="n">
        <v>0</v>
      </c>
    </row>
    <row r="1587" spans="1:13">
      <c r="A1587" s="1">
        <f>HYPERLINK("http://www.twitter.com/NathanBLawrence/status/993956166219657216", "993956166219657216")</f>
        <v/>
      </c>
      <c r="B1587" s="2" t="n">
        <v>43228.86795138889</v>
      </c>
      <c r="C1587" t="n">
        <v>10</v>
      </c>
      <c r="D1587" t="n">
        <v>2</v>
      </c>
      <c r="E1587" t="s">
        <v>1598</v>
      </c>
      <c r="F1587" t="s"/>
      <c r="G1587" t="s"/>
      <c r="H1587" t="s"/>
      <c r="I1587" t="s"/>
      <c r="J1587" t="n">
        <v>0.7184</v>
      </c>
      <c r="K1587" t="n">
        <v>0</v>
      </c>
      <c r="L1587" t="n">
        <v>0.842</v>
      </c>
      <c r="M1587" t="n">
        <v>0.158</v>
      </c>
    </row>
    <row r="1588" spans="1:13">
      <c r="A1588" s="1">
        <f>HYPERLINK("http://www.twitter.com/NathanBLawrence/status/993955617243938816", "993955617243938816")</f>
        <v/>
      </c>
      <c r="B1588" s="2" t="n">
        <v>43228.86643518518</v>
      </c>
      <c r="C1588" t="n">
        <v>11</v>
      </c>
      <c r="D1588" t="n">
        <v>4</v>
      </c>
      <c r="E1588" t="s">
        <v>1599</v>
      </c>
      <c r="F1588" t="s"/>
      <c r="G1588" t="s"/>
      <c r="H1588" t="s"/>
      <c r="I1588" t="s"/>
      <c r="J1588" t="n">
        <v>0</v>
      </c>
      <c r="K1588" t="n">
        <v>0</v>
      </c>
      <c r="L1588" t="n">
        <v>1</v>
      </c>
      <c r="M1588" t="n">
        <v>0</v>
      </c>
    </row>
    <row r="1589" spans="1:13">
      <c r="A1589" s="1">
        <f>HYPERLINK("http://www.twitter.com/NathanBLawrence/status/993955469424144385", "993955469424144385")</f>
        <v/>
      </c>
      <c r="B1589" s="2" t="n">
        <v>43228.86603009259</v>
      </c>
      <c r="C1589" t="n">
        <v>2</v>
      </c>
      <c r="D1589" t="n">
        <v>0</v>
      </c>
      <c r="E1589" t="s">
        <v>1600</v>
      </c>
      <c r="F1589" t="s"/>
      <c r="G1589" t="s"/>
      <c r="H1589" t="s"/>
      <c r="I1589" t="s"/>
      <c r="J1589" t="n">
        <v>0</v>
      </c>
      <c r="K1589" t="n">
        <v>0</v>
      </c>
      <c r="L1589" t="n">
        <v>1</v>
      </c>
      <c r="M1589" t="n">
        <v>0</v>
      </c>
    </row>
    <row r="1590" spans="1:13">
      <c r="A1590" s="1">
        <f>HYPERLINK("http://www.twitter.com/NathanBLawrence/status/993955342470987777", "993955342470987777")</f>
        <v/>
      </c>
      <c r="B1590" s="2" t="n">
        <v>43228.86568287037</v>
      </c>
      <c r="C1590" t="n">
        <v>0</v>
      </c>
      <c r="D1590" t="n">
        <v>4941</v>
      </c>
      <c r="E1590" t="s">
        <v>1601</v>
      </c>
      <c r="F1590" t="s"/>
      <c r="G1590" t="s"/>
      <c r="H1590" t="s"/>
      <c r="I1590" t="s"/>
      <c r="J1590" t="n">
        <v>-0.9459</v>
      </c>
      <c r="K1590" t="n">
        <v>0.49</v>
      </c>
      <c r="L1590" t="n">
        <v>0.51</v>
      </c>
      <c r="M1590" t="n">
        <v>0</v>
      </c>
    </row>
    <row r="1591" spans="1:13">
      <c r="A1591" s="1">
        <f>HYPERLINK("http://www.twitter.com/NathanBLawrence/status/993955274162487296", "993955274162487296")</f>
        <v/>
      </c>
      <c r="B1591" s="2" t="n">
        <v>43228.86548611111</v>
      </c>
      <c r="C1591" t="n">
        <v>6</v>
      </c>
      <c r="D1591" t="n">
        <v>4</v>
      </c>
      <c r="E1591" t="s">
        <v>1602</v>
      </c>
      <c r="F1591" t="s"/>
      <c r="G1591" t="s"/>
      <c r="H1591" t="s"/>
      <c r="I1591" t="s"/>
      <c r="J1591" t="n">
        <v>0.3899</v>
      </c>
      <c r="K1591" t="n">
        <v>0</v>
      </c>
      <c r="L1591" t="n">
        <v>0.911</v>
      </c>
      <c r="M1591" t="n">
        <v>0.089</v>
      </c>
    </row>
    <row r="1592" spans="1:13">
      <c r="A1592" s="1">
        <f>HYPERLINK("http://www.twitter.com/NathanBLawrence/status/993954999251058688", "993954999251058688")</f>
        <v/>
      </c>
      <c r="B1592" s="2" t="n">
        <v>43228.8647337963</v>
      </c>
      <c r="C1592" t="n">
        <v>5</v>
      </c>
      <c r="D1592" t="n">
        <v>6</v>
      </c>
      <c r="E1592" t="s">
        <v>1603</v>
      </c>
      <c r="F1592" t="s"/>
      <c r="G1592" t="s"/>
      <c r="H1592" t="s"/>
      <c r="I1592" t="s"/>
      <c r="J1592" t="n">
        <v>-0.0516</v>
      </c>
      <c r="K1592" t="n">
        <v>0.078</v>
      </c>
      <c r="L1592" t="n">
        <v>0.804</v>
      </c>
      <c r="M1592" t="n">
        <v>0.118</v>
      </c>
    </row>
    <row r="1593" spans="1:13">
      <c r="A1593" s="1">
        <f>HYPERLINK("http://www.twitter.com/NathanBLawrence/status/993954671441014784", "993954671441014784")</f>
        <v/>
      </c>
      <c r="B1593" s="2" t="n">
        <v>43228.86383101852</v>
      </c>
      <c r="C1593" t="n">
        <v>2</v>
      </c>
      <c r="D1593" t="n">
        <v>4</v>
      </c>
      <c r="E1593" t="s">
        <v>1604</v>
      </c>
      <c r="F1593" t="s"/>
      <c r="G1593" t="s"/>
      <c r="H1593" t="s"/>
      <c r="I1593" t="s"/>
      <c r="J1593" t="n">
        <v>-0.3182</v>
      </c>
      <c r="K1593" t="n">
        <v>0.398</v>
      </c>
      <c r="L1593" t="n">
        <v>0.361</v>
      </c>
      <c r="M1593" t="n">
        <v>0.241</v>
      </c>
    </row>
    <row r="1594" spans="1:13">
      <c r="A1594" s="1">
        <f>HYPERLINK("http://www.twitter.com/NathanBLawrence/status/993954560594006016", "993954560594006016")</f>
        <v/>
      </c>
      <c r="B1594" s="2" t="n">
        <v>43228.86351851852</v>
      </c>
      <c r="C1594" t="n">
        <v>4</v>
      </c>
      <c r="D1594" t="n">
        <v>2</v>
      </c>
      <c r="E1594" t="s">
        <v>1605</v>
      </c>
      <c r="F1594" t="s"/>
      <c r="G1594" t="s"/>
      <c r="H1594" t="s"/>
      <c r="I1594" t="s"/>
      <c r="J1594" t="n">
        <v>0.5461</v>
      </c>
      <c r="K1594" t="n">
        <v>0</v>
      </c>
      <c r="L1594" t="n">
        <v>0.587</v>
      </c>
      <c r="M1594" t="n">
        <v>0.413</v>
      </c>
    </row>
    <row r="1595" spans="1:13">
      <c r="A1595" s="1">
        <f>HYPERLINK("http://www.twitter.com/NathanBLawrence/status/993920301904744448", "993920301904744448")</f>
        <v/>
      </c>
      <c r="B1595" s="2" t="n">
        <v>43228.76898148148</v>
      </c>
      <c r="C1595" t="n">
        <v>6</v>
      </c>
      <c r="D1595" t="n">
        <v>1</v>
      </c>
      <c r="E1595" t="s">
        <v>1606</v>
      </c>
      <c r="F1595" t="s"/>
      <c r="G1595" t="s"/>
      <c r="H1595" t="s"/>
      <c r="I1595" t="s"/>
      <c r="J1595" t="n">
        <v>-0.4767</v>
      </c>
      <c r="K1595" t="n">
        <v>0.205</v>
      </c>
      <c r="L1595" t="n">
        <v>0.795</v>
      </c>
      <c r="M1595" t="n">
        <v>0</v>
      </c>
    </row>
    <row r="1596" spans="1:13">
      <c r="A1596" s="1">
        <f>HYPERLINK("http://www.twitter.com/NathanBLawrence/status/993918916480061440", "993918916480061440")</f>
        <v/>
      </c>
      <c r="B1596" s="2" t="n">
        <v>43228.76516203704</v>
      </c>
      <c r="C1596" t="n">
        <v>4</v>
      </c>
      <c r="D1596" t="n">
        <v>5</v>
      </c>
      <c r="E1596" t="s">
        <v>1607</v>
      </c>
      <c r="F1596" t="s"/>
      <c r="G1596" t="s"/>
      <c r="H1596" t="s"/>
      <c r="I1596" t="s"/>
      <c r="J1596" t="n">
        <v>-0.2732</v>
      </c>
      <c r="K1596" t="n">
        <v>0.08400000000000001</v>
      </c>
      <c r="L1596" t="n">
        <v>0.916</v>
      </c>
      <c r="M1596" t="n">
        <v>0</v>
      </c>
    </row>
    <row r="1597" spans="1:13">
      <c r="A1597" s="1">
        <f>HYPERLINK("http://www.twitter.com/NathanBLawrence/status/993918609100492800", "993918609100492800")</f>
        <v/>
      </c>
      <c r="B1597" s="2" t="n">
        <v>43228.76431712963</v>
      </c>
      <c r="C1597" t="n">
        <v>1</v>
      </c>
      <c r="D1597" t="n">
        <v>0</v>
      </c>
      <c r="E1597" t="s">
        <v>1608</v>
      </c>
      <c r="F1597" t="s"/>
      <c r="G1597" t="s"/>
      <c r="H1597" t="s"/>
      <c r="I1597" t="s"/>
      <c r="J1597" t="n">
        <v>0.4215</v>
      </c>
      <c r="K1597" t="n">
        <v>0</v>
      </c>
      <c r="L1597" t="n">
        <v>0.8110000000000001</v>
      </c>
      <c r="M1597" t="n">
        <v>0.189</v>
      </c>
    </row>
    <row r="1598" spans="1:13">
      <c r="A1598" s="1">
        <f>HYPERLINK("http://www.twitter.com/NathanBLawrence/status/993917401040240641", "993917401040240641")</f>
        <v/>
      </c>
      <c r="B1598" s="2" t="n">
        <v>43228.7609837963</v>
      </c>
      <c r="C1598" t="n">
        <v>4</v>
      </c>
      <c r="D1598" t="n">
        <v>4</v>
      </c>
      <c r="E1598" t="s">
        <v>1609</v>
      </c>
      <c r="F1598" t="s"/>
      <c r="G1598" t="s"/>
      <c r="H1598" t="s"/>
      <c r="I1598" t="s"/>
      <c r="J1598" t="n">
        <v>-0.872</v>
      </c>
      <c r="K1598" t="n">
        <v>0.248</v>
      </c>
      <c r="L1598" t="n">
        <v>0.752</v>
      </c>
      <c r="M1598" t="n">
        <v>0</v>
      </c>
    </row>
    <row r="1599" spans="1:13">
      <c r="A1599" s="1">
        <f>HYPERLINK("http://www.twitter.com/NathanBLawrence/status/993917201181638657", "993917201181638657")</f>
        <v/>
      </c>
      <c r="B1599" s="2" t="n">
        <v>43228.76042824074</v>
      </c>
      <c r="C1599" t="n">
        <v>0</v>
      </c>
      <c r="D1599" t="n">
        <v>327</v>
      </c>
      <c r="E1599" t="s">
        <v>1610</v>
      </c>
      <c r="F1599" t="s"/>
      <c r="G1599" t="s"/>
      <c r="H1599" t="s"/>
      <c r="I1599" t="s"/>
      <c r="J1599" t="n">
        <v>-0.4019</v>
      </c>
      <c r="K1599" t="n">
        <v>0.26</v>
      </c>
      <c r="L1599" t="n">
        <v>0.596</v>
      </c>
      <c r="M1599" t="n">
        <v>0.145</v>
      </c>
    </row>
    <row r="1600" spans="1:13">
      <c r="A1600" s="1">
        <f>HYPERLINK("http://www.twitter.com/NathanBLawrence/status/993895736046567424", "993895736046567424")</f>
        <v/>
      </c>
      <c r="B1600" s="2" t="n">
        <v>43228.70119212963</v>
      </c>
      <c r="C1600" t="n">
        <v>5</v>
      </c>
      <c r="D1600" t="n">
        <v>6</v>
      </c>
      <c r="E1600" t="s">
        <v>1611</v>
      </c>
      <c r="F1600" t="s"/>
      <c r="G1600" t="s"/>
      <c r="H1600" t="s"/>
      <c r="I1600" t="s"/>
      <c r="J1600" t="n">
        <v>-0.7003</v>
      </c>
      <c r="K1600" t="n">
        <v>0.42</v>
      </c>
      <c r="L1600" t="n">
        <v>0.58</v>
      </c>
      <c r="M1600" t="n">
        <v>0</v>
      </c>
    </row>
    <row r="1601" spans="1:13">
      <c r="A1601" s="1">
        <f>HYPERLINK("http://www.twitter.com/NathanBLawrence/status/993891242281914368", "993891242281914368")</f>
        <v/>
      </c>
      <c r="B1601" s="2" t="n">
        <v>43228.68879629629</v>
      </c>
      <c r="C1601" t="n">
        <v>7</v>
      </c>
      <c r="D1601" t="n">
        <v>4</v>
      </c>
      <c r="E1601" t="s">
        <v>1612</v>
      </c>
      <c r="F1601" t="s"/>
      <c r="G1601" t="s"/>
      <c r="H1601" t="s"/>
      <c r="I1601" t="s"/>
      <c r="J1601" t="n">
        <v>0</v>
      </c>
      <c r="K1601" t="n">
        <v>0</v>
      </c>
      <c r="L1601" t="n">
        <v>1</v>
      </c>
      <c r="M1601" t="n">
        <v>0</v>
      </c>
    </row>
    <row r="1602" spans="1:13">
      <c r="A1602" s="1">
        <f>HYPERLINK("http://www.twitter.com/NathanBLawrence/status/993891062845341702", "993891062845341702")</f>
        <v/>
      </c>
      <c r="B1602" s="2" t="n">
        <v>43228.68829861111</v>
      </c>
      <c r="C1602" t="n">
        <v>4</v>
      </c>
      <c r="D1602" t="n">
        <v>3</v>
      </c>
      <c r="E1602" t="s">
        <v>1613</v>
      </c>
      <c r="F1602" t="s"/>
      <c r="G1602" t="s"/>
      <c r="H1602" t="s"/>
      <c r="I1602" t="s"/>
      <c r="J1602" t="n">
        <v>-0.8270999999999999</v>
      </c>
      <c r="K1602" t="n">
        <v>0.189</v>
      </c>
      <c r="L1602" t="n">
        <v>0.8110000000000001</v>
      </c>
      <c r="M1602" t="n">
        <v>0</v>
      </c>
    </row>
    <row r="1603" spans="1:13">
      <c r="A1603" s="1">
        <f>HYPERLINK("http://www.twitter.com/NathanBLawrence/status/993890304980729856", "993890304980729856")</f>
        <v/>
      </c>
      <c r="B1603" s="2" t="n">
        <v>43228.68620370371</v>
      </c>
      <c r="C1603" t="n">
        <v>4</v>
      </c>
      <c r="D1603" t="n">
        <v>2</v>
      </c>
      <c r="E1603" t="s">
        <v>1614</v>
      </c>
      <c r="F1603" t="s"/>
      <c r="G1603" t="s"/>
      <c r="H1603" t="s"/>
      <c r="I1603" t="s"/>
      <c r="J1603" t="n">
        <v>0.5399</v>
      </c>
      <c r="K1603" t="n">
        <v>0</v>
      </c>
      <c r="L1603" t="n">
        <v>0.912</v>
      </c>
      <c r="M1603" t="n">
        <v>0.08799999999999999</v>
      </c>
    </row>
    <row r="1604" spans="1:13">
      <c r="A1604" s="1">
        <f>HYPERLINK("http://www.twitter.com/NathanBLawrence/status/993889499267526656", "993889499267526656")</f>
        <v/>
      </c>
      <c r="B1604" s="2" t="n">
        <v>43228.68398148148</v>
      </c>
      <c r="C1604" t="n">
        <v>2</v>
      </c>
      <c r="D1604" t="n">
        <v>0</v>
      </c>
      <c r="E1604" t="s">
        <v>1615</v>
      </c>
      <c r="F1604" t="s"/>
      <c r="G1604" t="s"/>
      <c r="H1604" t="s"/>
      <c r="I1604" t="s"/>
      <c r="J1604" t="n">
        <v>-0.3612</v>
      </c>
      <c r="K1604" t="n">
        <v>0.186</v>
      </c>
      <c r="L1604" t="n">
        <v>0.719</v>
      </c>
      <c r="M1604" t="n">
        <v>0.096</v>
      </c>
    </row>
    <row r="1605" spans="1:13">
      <c r="A1605" s="1">
        <f>HYPERLINK("http://www.twitter.com/NathanBLawrence/status/993889181775552514", "993889181775552514")</f>
        <v/>
      </c>
      <c r="B1605" s="2" t="n">
        <v>43228.68311342593</v>
      </c>
      <c r="C1605" t="n">
        <v>2</v>
      </c>
      <c r="D1605" t="n">
        <v>0</v>
      </c>
      <c r="E1605" t="s">
        <v>1616</v>
      </c>
      <c r="F1605" t="s"/>
      <c r="G1605" t="s"/>
      <c r="H1605" t="s"/>
      <c r="I1605" t="s"/>
      <c r="J1605" t="n">
        <v>0</v>
      </c>
      <c r="K1605" t="n">
        <v>0</v>
      </c>
      <c r="L1605" t="n">
        <v>1</v>
      </c>
      <c r="M1605" t="n">
        <v>0</v>
      </c>
    </row>
    <row r="1606" spans="1:13">
      <c r="A1606" s="1">
        <f>HYPERLINK("http://www.twitter.com/NathanBLawrence/status/993888777427808256", "993888777427808256")</f>
        <v/>
      </c>
      <c r="B1606" s="2" t="n">
        <v>43228.68199074074</v>
      </c>
      <c r="C1606" t="n">
        <v>1</v>
      </c>
      <c r="D1606" t="n">
        <v>0</v>
      </c>
      <c r="E1606" t="s">
        <v>1617</v>
      </c>
      <c r="F1606" t="s"/>
      <c r="G1606" t="s"/>
      <c r="H1606" t="s"/>
      <c r="I1606" t="s"/>
      <c r="J1606" t="n">
        <v>0</v>
      </c>
      <c r="K1606" t="n">
        <v>0</v>
      </c>
      <c r="L1606" t="n">
        <v>1</v>
      </c>
      <c r="M1606" t="n">
        <v>0</v>
      </c>
    </row>
    <row r="1607" spans="1:13">
      <c r="A1607" s="1">
        <f>HYPERLINK("http://www.twitter.com/NathanBLawrence/status/993888508229005312", "993888508229005312")</f>
        <v/>
      </c>
      <c r="B1607" s="2" t="n">
        <v>43228.68125</v>
      </c>
      <c r="C1607" t="n">
        <v>0</v>
      </c>
      <c r="D1607" t="n">
        <v>29</v>
      </c>
      <c r="E1607" t="s">
        <v>1618</v>
      </c>
      <c r="F1607" t="s"/>
      <c r="G1607" t="s"/>
      <c r="H1607" t="s"/>
      <c r="I1607" t="s"/>
      <c r="J1607" t="n">
        <v>-0.2263</v>
      </c>
      <c r="K1607" t="n">
        <v>0.191</v>
      </c>
      <c r="L1607" t="n">
        <v>0.6860000000000001</v>
      </c>
      <c r="M1607" t="n">
        <v>0.123</v>
      </c>
    </row>
    <row r="1608" spans="1:13">
      <c r="A1608" s="1">
        <f>HYPERLINK("http://www.twitter.com/NathanBLawrence/status/993888141026119681", "993888141026119681")</f>
        <v/>
      </c>
      <c r="B1608" s="2" t="n">
        <v>43228.68024305555</v>
      </c>
      <c r="C1608" t="n">
        <v>11</v>
      </c>
      <c r="D1608" t="n">
        <v>7</v>
      </c>
      <c r="E1608" t="s">
        <v>1619</v>
      </c>
      <c r="F1608" t="s"/>
      <c r="G1608" t="s"/>
      <c r="H1608" t="s"/>
      <c r="I1608" t="s"/>
      <c r="J1608" t="n">
        <v>0.1027</v>
      </c>
      <c r="K1608" t="n">
        <v>0.053</v>
      </c>
      <c r="L1608" t="n">
        <v>0.885</v>
      </c>
      <c r="M1608" t="n">
        <v>0.062</v>
      </c>
    </row>
    <row r="1609" spans="1:13">
      <c r="A1609" s="1">
        <f>HYPERLINK("http://www.twitter.com/NathanBLawrence/status/993887572261654528", "993887572261654528")</f>
        <v/>
      </c>
      <c r="B1609" s="2" t="n">
        <v>43228.67866898148</v>
      </c>
      <c r="C1609" t="n">
        <v>4</v>
      </c>
      <c r="D1609" t="n">
        <v>1</v>
      </c>
      <c r="E1609" t="s">
        <v>1620</v>
      </c>
      <c r="F1609" t="s"/>
      <c r="G1609" t="s"/>
      <c r="H1609" t="s"/>
      <c r="I1609" t="s"/>
      <c r="J1609" t="n">
        <v>0.2575</v>
      </c>
      <c r="K1609" t="n">
        <v>0</v>
      </c>
      <c r="L1609" t="n">
        <v>0.865</v>
      </c>
      <c r="M1609" t="n">
        <v>0.135</v>
      </c>
    </row>
    <row r="1610" spans="1:13">
      <c r="A1610" s="1">
        <f>HYPERLINK("http://www.twitter.com/NathanBLawrence/status/993887229402431489", "993887229402431489")</f>
        <v/>
      </c>
      <c r="B1610" s="2" t="n">
        <v>43228.67771990741</v>
      </c>
      <c r="C1610" t="n">
        <v>3</v>
      </c>
      <c r="D1610" t="n">
        <v>0</v>
      </c>
      <c r="E1610" t="s">
        <v>1621</v>
      </c>
      <c r="F1610" t="s"/>
      <c r="G1610" t="s"/>
      <c r="H1610" t="s"/>
      <c r="I1610" t="s"/>
      <c r="J1610" t="n">
        <v>0.7506</v>
      </c>
      <c r="K1610" t="n">
        <v>0</v>
      </c>
      <c r="L1610" t="n">
        <v>0.652</v>
      </c>
      <c r="M1610" t="n">
        <v>0.348</v>
      </c>
    </row>
    <row r="1611" spans="1:13">
      <c r="A1611" s="1">
        <f>HYPERLINK("http://www.twitter.com/NathanBLawrence/status/993887117070680067", "993887117070680067")</f>
        <v/>
      </c>
      <c r="B1611" s="2" t="n">
        <v>43228.67740740741</v>
      </c>
      <c r="C1611" t="n">
        <v>1</v>
      </c>
      <c r="D1611" t="n">
        <v>0</v>
      </c>
      <c r="E1611" t="s">
        <v>1622</v>
      </c>
      <c r="F1611" t="s"/>
      <c r="G1611" t="s"/>
      <c r="H1611" t="s"/>
      <c r="I1611" t="s"/>
      <c r="J1611" t="n">
        <v>-0.296</v>
      </c>
      <c r="K1611" t="n">
        <v>0.18</v>
      </c>
      <c r="L1611" t="n">
        <v>0.82</v>
      </c>
      <c r="M1611" t="n">
        <v>0</v>
      </c>
    </row>
    <row r="1612" spans="1:13">
      <c r="A1612" s="1">
        <f>HYPERLINK("http://www.twitter.com/NathanBLawrence/status/993886186669158400", "993886186669158400")</f>
        <v/>
      </c>
      <c r="B1612" s="2" t="n">
        <v>43228.67484953703</v>
      </c>
      <c r="C1612" t="n">
        <v>3</v>
      </c>
      <c r="D1612" t="n">
        <v>2</v>
      </c>
      <c r="E1612" t="s">
        <v>1623</v>
      </c>
      <c r="F1612" t="s"/>
      <c r="G1612" t="s"/>
      <c r="H1612" t="s"/>
      <c r="I1612" t="s"/>
      <c r="J1612" t="n">
        <v>0.6249</v>
      </c>
      <c r="K1612" t="n">
        <v>0</v>
      </c>
      <c r="L1612" t="n">
        <v>0.823</v>
      </c>
      <c r="M1612" t="n">
        <v>0.177</v>
      </c>
    </row>
    <row r="1613" spans="1:13">
      <c r="A1613" s="1">
        <f>HYPERLINK("http://www.twitter.com/NathanBLawrence/status/993885990900056065", "993885990900056065")</f>
        <v/>
      </c>
      <c r="B1613" s="2" t="n">
        <v>43228.67430555556</v>
      </c>
      <c r="C1613" t="n">
        <v>1</v>
      </c>
      <c r="D1613" t="n">
        <v>1</v>
      </c>
      <c r="E1613" t="s">
        <v>1624</v>
      </c>
      <c r="F1613" t="s"/>
      <c r="G1613" t="s"/>
      <c r="H1613" t="s"/>
      <c r="I1613" t="s"/>
      <c r="J1613" t="n">
        <v>0.0534</v>
      </c>
      <c r="K1613" t="n">
        <v>0.159</v>
      </c>
      <c r="L1613" t="n">
        <v>0.63</v>
      </c>
      <c r="M1613" t="n">
        <v>0.21</v>
      </c>
    </row>
    <row r="1614" spans="1:13">
      <c r="A1614" s="1">
        <f>HYPERLINK("http://www.twitter.com/NathanBLawrence/status/993885852068597760", "993885852068597760")</f>
        <v/>
      </c>
      <c r="B1614" s="2" t="n">
        <v>43228.67392361111</v>
      </c>
      <c r="C1614" t="n">
        <v>3</v>
      </c>
      <c r="D1614" t="n">
        <v>1</v>
      </c>
      <c r="E1614" t="s">
        <v>1625</v>
      </c>
      <c r="F1614" t="s"/>
      <c r="G1614" t="s"/>
      <c r="H1614" t="s"/>
      <c r="I1614" t="s"/>
      <c r="J1614" t="n">
        <v>0.2023</v>
      </c>
      <c r="K1614" t="n">
        <v>0</v>
      </c>
      <c r="L1614" t="n">
        <v>0.87</v>
      </c>
      <c r="M1614" t="n">
        <v>0.13</v>
      </c>
    </row>
    <row r="1615" spans="1:13">
      <c r="A1615" s="1">
        <f>HYPERLINK("http://www.twitter.com/NathanBLawrence/status/993885701908262914", "993885701908262914")</f>
        <v/>
      </c>
      <c r="B1615" s="2" t="n">
        <v>43228.67350694445</v>
      </c>
      <c r="C1615" t="n">
        <v>14</v>
      </c>
      <c r="D1615" t="n">
        <v>9</v>
      </c>
      <c r="E1615" t="s">
        <v>1626</v>
      </c>
      <c r="F1615" t="s"/>
      <c r="G1615" t="s"/>
      <c r="H1615" t="s"/>
      <c r="I1615" t="s"/>
      <c r="J1615" t="n">
        <v>0.6114000000000001</v>
      </c>
      <c r="K1615" t="n">
        <v>0</v>
      </c>
      <c r="L1615" t="n">
        <v>0.6929999999999999</v>
      </c>
      <c r="M1615" t="n">
        <v>0.307</v>
      </c>
    </row>
    <row r="1616" spans="1:13">
      <c r="A1616" s="1">
        <f>HYPERLINK("http://www.twitter.com/NathanBLawrence/status/993885539215360000", "993885539215360000")</f>
        <v/>
      </c>
      <c r="B1616" s="2" t="n">
        <v>43228.67305555556</v>
      </c>
      <c r="C1616" t="n">
        <v>1</v>
      </c>
      <c r="D1616" t="n">
        <v>1</v>
      </c>
      <c r="E1616" t="s">
        <v>1627</v>
      </c>
      <c r="F1616" t="s"/>
      <c r="G1616" t="s"/>
      <c r="H1616" t="s"/>
      <c r="I1616" t="s"/>
      <c r="J1616" t="n">
        <v>-0.914</v>
      </c>
      <c r="K1616" t="n">
        <v>0.439</v>
      </c>
      <c r="L1616" t="n">
        <v>0.5610000000000001</v>
      </c>
      <c r="M1616" t="n">
        <v>0</v>
      </c>
    </row>
    <row r="1617" spans="1:13">
      <c r="A1617" s="1">
        <f>HYPERLINK("http://www.twitter.com/NathanBLawrence/status/993884262041440257", "993884262041440257")</f>
        <v/>
      </c>
      <c r="B1617" s="2" t="n">
        <v>43228.66953703704</v>
      </c>
      <c r="C1617" t="n">
        <v>9</v>
      </c>
      <c r="D1617" t="n">
        <v>3</v>
      </c>
      <c r="E1617" t="s">
        <v>1628</v>
      </c>
      <c r="F1617" t="s"/>
      <c r="G1617" t="s"/>
      <c r="H1617" t="s"/>
      <c r="I1617" t="s"/>
      <c r="J1617" t="n">
        <v>0.6239</v>
      </c>
      <c r="K1617" t="n">
        <v>0</v>
      </c>
      <c r="L1617" t="n">
        <v>0.8159999999999999</v>
      </c>
      <c r="M1617" t="n">
        <v>0.184</v>
      </c>
    </row>
    <row r="1618" spans="1:13">
      <c r="A1618" s="1">
        <f>HYPERLINK("http://www.twitter.com/NathanBLawrence/status/993877748585189376", "993877748585189376")</f>
        <v/>
      </c>
      <c r="B1618" s="2" t="n">
        <v>43228.6515625</v>
      </c>
      <c r="C1618" t="n">
        <v>29</v>
      </c>
      <c r="D1618" t="n">
        <v>14</v>
      </c>
      <c r="E1618" t="s">
        <v>1629</v>
      </c>
      <c r="F1618" t="s"/>
      <c r="G1618" t="s"/>
      <c r="H1618" t="s"/>
      <c r="I1618" t="s"/>
      <c r="J1618" t="n">
        <v>0.6249</v>
      </c>
      <c r="K1618" t="n">
        <v>0.12</v>
      </c>
      <c r="L1618" t="n">
        <v>0.6840000000000001</v>
      </c>
      <c r="M1618" t="n">
        <v>0.196</v>
      </c>
    </row>
    <row r="1619" spans="1:13">
      <c r="A1619" s="1">
        <f>HYPERLINK("http://www.twitter.com/NathanBLawrence/status/993877398067150848", "993877398067150848")</f>
        <v/>
      </c>
      <c r="B1619" s="2" t="n">
        <v>43228.65059027778</v>
      </c>
      <c r="C1619" t="n">
        <v>7</v>
      </c>
      <c r="D1619" t="n">
        <v>5</v>
      </c>
      <c r="E1619" t="s">
        <v>1630</v>
      </c>
      <c r="F1619" t="s"/>
      <c r="G1619" t="s"/>
      <c r="H1619" t="s"/>
      <c r="I1619" t="s"/>
      <c r="J1619" t="n">
        <v>-0.0258</v>
      </c>
      <c r="K1619" t="n">
        <v>0.07000000000000001</v>
      </c>
      <c r="L1619" t="n">
        <v>0.844</v>
      </c>
      <c r="M1619" t="n">
        <v>0.08599999999999999</v>
      </c>
    </row>
    <row r="1620" spans="1:13">
      <c r="A1620" s="1">
        <f>HYPERLINK("http://www.twitter.com/NathanBLawrence/status/993877033879986177", "993877033879986177")</f>
        <v/>
      </c>
      <c r="B1620" s="2" t="n">
        <v>43228.64958333333</v>
      </c>
      <c r="C1620" t="n">
        <v>3</v>
      </c>
      <c r="D1620" t="n">
        <v>6</v>
      </c>
      <c r="E1620" t="s">
        <v>1631</v>
      </c>
      <c r="F1620" t="s"/>
      <c r="G1620" t="s"/>
      <c r="H1620" t="s"/>
      <c r="I1620" t="s"/>
      <c r="J1620" t="n">
        <v>0</v>
      </c>
      <c r="K1620" t="n">
        <v>0</v>
      </c>
      <c r="L1620" t="n">
        <v>1</v>
      </c>
      <c r="M1620" t="n">
        <v>0</v>
      </c>
    </row>
    <row r="1621" spans="1:13">
      <c r="A1621" s="1">
        <f>HYPERLINK("http://www.twitter.com/NathanBLawrence/status/993876909606883328", "993876909606883328")</f>
        <v/>
      </c>
      <c r="B1621" s="2" t="n">
        <v>43228.64924768519</v>
      </c>
      <c r="C1621" t="n">
        <v>4</v>
      </c>
      <c r="D1621" t="n">
        <v>1</v>
      </c>
      <c r="E1621" t="s">
        <v>1632</v>
      </c>
      <c r="F1621" t="s"/>
      <c r="G1621" t="s"/>
      <c r="H1621" t="s"/>
      <c r="I1621" t="s"/>
      <c r="J1621" t="n">
        <v>-0.5266999999999999</v>
      </c>
      <c r="K1621" t="n">
        <v>0.093</v>
      </c>
      <c r="L1621" t="n">
        <v>0.907</v>
      </c>
      <c r="M1621" t="n">
        <v>0</v>
      </c>
    </row>
    <row r="1622" spans="1:13">
      <c r="A1622" s="1">
        <f>HYPERLINK("http://www.twitter.com/NathanBLawrence/status/993875852604588032", "993875852604588032")</f>
        <v/>
      </c>
      <c r="B1622" s="2" t="n">
        <v>43228.64633101852</v>
      </c>
      <c r="C1622" t="n">
        <v>2</v>
      </c>
      <c r="D1622" t="n">
        <v>2</v>
      </c>
      <c r="E1622" t="s">
        <v>1633</v>
      </c>
      <c r="F1622" t="s"/>
      <c r="G1622" t="s"/>
      <c r="H1622" t="s"/>
      <c r="I1622" t="s"/>
      <c r="J1622" t="n">
        <v>-0.8270999999999999</v>
      </c>
      <c r="K1622" t="n">
        <v>0.268</v>
      </c>
      <c r="L1622" t="n">
        <v>0.67</v>
      </c>
      <c r="M1622" t="n">
        <v>0.062</v>
      </c>
    </row>
    <row r="1623" spans="1:13">
      <c r="A1623" s="1">
        <f>HYPERLINK("http://www.twitter.com/NathanBLawrence/status/993875547691216896", "993875547691216896")</f>
        <v/>
      </c>
      <c r="B1623" s="2" t="n">
        <v>43228.64548611111</v>
      </c>
      <c r="C1623" t="n">
        <v>4</v>
      </c>
      <c r="D1623" t="n">
        <v>4</v>
      </c>
      <c r="E1623" t="s">
        <v>1634</v>
      </c>
      <c r="F1623" t="s"/>
      <c r="G1623" t="s"/>
      <c r="H1623" t="s"/>
      <c r="I1623" t="s"/>
      <c r="J1623" t="n">
        <v>-0.8316</v>
      </c>
      <c r="K1623" t="n">
        <v>0.177</v>
      </c>
      <c r="L1623" t="n">
        <v>0.823</v>
      </c>
      <c r="M1623" t="n">
        <v>0</v>
      </c>
    </row>
    <row r="1624" spans="1:13">
      <c r="A1624" s="1">
        <f>HYPERLINK("http://www.twitter.com/NathanBLawrence/status/993875044362170368", "993875044362170368")</f>
        <v/>
      </c>
      <c r="B1624" s="2" t="n">
        <v>43228.64409722222</v>
      </c>
      <c r="C1624" t="n">
        <v>4</v>
      </c>
      <c r="D1624" t="n">
        <v>0</v>
      </c>
      <c r="E1624" t="s">
        <v>1635</v>
      </c>
      <c r="F1624" t="s"/>
      <c r="G1624" t="s"/>
      <c r="H1624" t="s"/>
      <c r="I1624" t="s"/>
      <c r="J1624" t="n">
        <v>0.4019</v>
      </c>
      <c r="K1624" t="n">
        <v>0</v>
      </c>
      <c r="L1624" t="n">
        <v>0.924</v>
      </c>
      <c r="M1624" t="n">
        <v>0.076</v>
      </c>
    </row>
    <row r="1625" spans="1:13">
      <c r="A1625" s="1">
        <f>HYPERLINK("http://www.twitter.com/NathanBLawrence/status/993874828116443136", "993874828116443136")</f>
        <v/>
      </c>
      <c r="B1625" s="2" t="n">
        <v>43228.64349537037</v>
      </c>
      <c r="C1625" t="n">
        <v>9</v>
      </c>
      <c r="D1625" t="n">
        <v>6</v>
      </c>
      <c r="E1625" t="s">
        <v>1636</v>
      </c>
      <c r="F1625" t="s"/>
      <c r="G1625" t="s"/>
      <c r="H1625" t="s"/>
      <c r="I1625" t="s"/>
      <c r="J1625" t="n">
        <v>-0.1027</v>
      </c>
      <c r="K1625" t="n">
        <v>0.032</v>
      </c>
      <c r="L1625" t="n">
        <v>0.968</v>
      </c>
      <c r="M1625" t="n">
        <v>0</v>
      </c>
    </row>
    <row r="1626" spans="1:13">
      <c r="A1626" s="1">
        <f>HYPERLINK("http://www.twitter.com/NathanBLawrence/status/993874225109852160", "993874225109852160")</f>
        <v/>
      </c>
      <c r="B1626" s="2" t="n">
        <v>43228.64184027778</v>
      </c>
      <c r="C1626" t="n">
        <v>6</v>
      </c>
      <c r="D1626" t="n">
        <v>2</v>
      </c>
      <c r="E1626" t="s">
        <v>1637</v>
      </c>
      <c r="F1626" t="s"/>
      <c r="G1626" t="s"/>
      <c r="H1626" t="s"/>
      <c r="I1626" t="s"/>
      <c r="J1626" t="n">
        <v>-0.5574</v>
      </c>
      <c r="K1626" t="n">
        <v>0.175</v>
      </c>
      <c r="L1626" t="n">
        <v>0.825</v>
      </c>
      <c r="M1626" t="n">
        <v>0</v>
      </c>
    </row>
    <row r="1627" spans="1:13">
      <c r="A1627" s="1">
        <f>HYPERLINK("http://www.twitter.com/NathanBLawrence/status/993874194973605889", "993874194973605889")</f>
        <v/>
      </c>
      <c r="B1627" s="2" t="n">
        <v>43228.64175925926</v>
      </c>
      <c r="C1627" t="n">
        <v>4</v>
      </c>
      <c r="D1627" t="n">
        <v>2</v>
      </c>
      <c r="E1627" t="s">
        <v>1638</v>
      </c>
      <c r="F1627" t="s"/>
      <c r="G1627" t="s"/>
      <c r="H1627" t="s"/>
      <c r="I1627" t="s"/>
      <c r="J1627" t="n">
        <v>0</v>
      </c>
      <c r="K1627" t="n">
        <v>0</v>
      </c>
      <c r="L1627" t="n">
        <v>1</v>
      </c>
      <c r="M1627" t="n">
        <v>0</v>
      </c>
    </row>
    <row r="1628" spans="1:13">
      <c r="A1628" s="1">
        <f>HYPERLINK("http://www.twitter.com/NathanBLawrence/status/993874142960087040", "993874142960087040")</f>
        <v/>
      </c>
      <c r="B1628" s="2" t="n">
        <v>43228.64160879629</v>
      </c>
      <c r="C1628" t="n">
        <v>4</v>
      </c>
      <c r="D1628" t="n">
        <v>3</v>
      </c>
      <c r="E1628" t="s">
        <v>1639</v>
      </c>
      <c r="F1628" t="s"/>
      <c r="G1628" t="s"/>
      <c r="H1628" t="s"/>
      <c r="I1628" t="s"/>
      <c r="J1628" t="n">
        <v>-0.6597</v>
      </c>
      <c r="K1628" t="n">
        <v>0.223</v>
      </c>
      <c r="L1628" t="n">
        <v>0.7</v>
      </c>
      <c r="M1628" t="n">
        <v>0.077</v>
      </c>
    </row>
    <row r="1629" spans="1:13">
      <c r="A1629" s="1">
        <f>HYPERLINK("http://www.twitter.com/NathanBLawrence/status/993874098081038336", "993874098081038336")</f>
        <v/>
      </c>
      <c r="B1629" s="2" t="n">
        <v>43228.64148148148</v>
      </c>
      <c r="C1629" t="n">
        <v>1</v>
      </c>
      <c r="D1629" t="n">
        <v>2</v>
      </c>
      <c r="E1629" t="s">
        <v>1640</v>
      </c>
      <c r="F1629" t="s"/>
      <c r="G1629" t="s"/>
      <c r="H1629" t="s"/>
      <c r="I1629" t="s"/>
      <c r="J1629" t="n">
        <v>0</v>
      </c>
      <c r="K1629" t="n">
        <v>0</v>
      </c>
      <c r="L1629" t="n">
        <v>1</v>
      </c>
      <c r="M1629" t="n">
        <v>0</v>
      </c>
    </row>
    <row r="1630" spans="1:13">
      <c r="A1630" s="1">
        <f>HYPERLINK("http://www.twitter.com/NathanBLawrence/status/993873965872381952", "993873965872381952")</f>
        <v/>
      </c>
      <c r="B1630" s="2" t="n">
        <v>43228.64112268519</v>
      </c>
      <c r="C1630" t="n">
        <v>9</v>
      </c>
      <c r="D1630" t="n">
        <v>6</v>
      </c>
      <c r="E1630" t="s">
        <v>1641</v>
      </c>
      <c r="F1630" t="s"/>
      <c r="G1630" t="s"/>
      <c r="H1630" t="s"/>
      <c r="I1630" t="s"/>
      <c r="J1630" t="n">
        <v>0.0258</v>
      </c>
      <c r="K1630" t="n">
        <v>0.093</v>
      </c>
      <c r="L1630" t="n">
        <v>0.8100000000000001</v>
      </c>
      <c r="M1630" t="n">
        <v>0.097</v>
      </c>
    </row>
    <row r="1631" spans="1:13">
      <c r="A1631" s="1">
        <f>HYPERLINK("http://www.twitter.com/NathanBLawrence/status/993873879620698113", "993873879620698113")</f>
        <v/>
      </c>
      <c r="B1631" s="2" t="n">
        <v>43228.64087962963</v>
      </c>
      <c r="C1631" t="n">
        <v>2</v>
      </c>
      <c r="D1631" t="n">
        <v>0</v>
      </c>
      <c r="E1631" t="s">
        <v>1642</v>
      </c>
      <c r="F1631" t="s"/>
      <c r="G1631" t="s"/>
      <c r="H1631" t="s"/>
      <c r="I1631" t="s"/>
      <c r="J1631" t="n">
        <v>0.4588</v>
      </c>
      <c r="K1631" t="n">
        <v>0.162</v>
      </c>
      <c r="L1631" t="n">
        <v>0.526</v>
      </c>
      <c r="M1631" t="n">
        <v>0.312</v>
      </c>
    </row>
    <row r="1632" spans="1:13">
      <c r="A1632" s="1">
        <f>HYPERLINK("http://www.twitter.com/NathanBLawrence/status/993873397296726017", "993873397296726017")</f>
        <v/>
      </c>
      <c r="B1632" s="2" t="n">
        <v>43228.63954861111</v>
      </c>
      <c r="C1632" t="n">
        <v>3</v>
      </c>
      <c r="D1632" t="n">
        <v>2</v>
      </c>
      <c r="E1632" t="s">
        <v>1643</v>
      </c>
      <c r="F1632" t="s"/>
      <c r="G1632" t="s"/>
      <c r="H1632" t="s"/>
      <c r="I1632" t="s"/>
      <c r="J1632" t="n">
        <v>-0.4939</v>
      </c>
      <c r="K1632" t="n">
        <v>0.359</v>
      </c>
      <c r="L1632" t="n">
        <v>0.417</v>
      </c>
      <c r="M1632" t="n">
        <v>0.224</v>
      </c>
    </row>
    <row r="1633" spans="1:13">
      <c r="A1633" s="1">
        <f>HYPERLINK("http://www.twitter.com/NathanBLawrence/status/993873363503214592", "993873363503214592")</f>
        <v/>
      </c>
      <c r="B1633" s="2" t="n">
        <v>43228.63945601852</v>
      </c>
      <c r="C1633" t="n">
        <v>3</v>
      </c>
      <c r="D1633" t="n">
        <v>2</v>
      </c>
      <c r="E1633" t="s">
        <v>1644</v>
      </c>
      <c r="F1633" t="s"/>
      <c r="G1633" t="s"/>
      <c r="H1633" t="s"/>
      <c r="I1633" t="s"/>
      <c r="J1633" t="n">
        <v>-0.7269</v>
      </c>
      <c r="K1633" t="n">
        <v>0.276</v>
      </c>
      <c r="L1633" t="n">
        <v>0.724</v>
      </c>
      <c r="M1633" t="n">
        <v>0</v>
      </c>
    </row>
    <row r="1634" spans="1:13">
      <c r="A1634" s="1">
        <f>HYPERLINK("http://www.twitter.com/NathanBLawrence/status/993873344242970625", "993873344242970625")</f>
        <v/>
      </c>
      <c r="B1634" s="2" t="n">
        <v>43228.63940972222</v>
      </c>
      <c r="C1634" t="n">
        <v>2</v>
      </c>
      <c r="D1634" t="n">
        <v>2</v>
      </c>
      <c r="E1634" t="s">
        <v>1645</v>
      </c>
      <c r="F1634" t="s"/>
      <c r="G1634" t="s"/>
      <c r="H1634" t="s"/>
      <c r="I1634" t="s"/>
      <c r="J1634" t="n">
        <v>-0.5719</v>
      </c>
      <c r="K1634" t="n">
        <v>0.239</v>
      </c>
      <c r="L1634" t="n">
        <v>0.761</v>
      </c>
      <c r="M1634" t="n">
        <v>0</v>
      </c>
    </row>
    <row r="1635" spans="1:13">
      <c r="A1635" s="1">
        <f>HYPERLINK("http://www.twitter.com/NathanBLawrence/status/993873276299395072", "993873276299395072")</f>
        <v/>
      </c>
      <c r="B1635" s="2" t="n">
        <v>43228.63921296296</v>
      </c>
      <c r="C1635" t="n">
        <v>4</v>
      </c>
      <c r="D1635" t="n">
        <v>1</v>
      </c>
      <c r="E1635" t="s">
        <v>1646</v>
      </c>
      <c r="F1635" t="s"/>
      <c r="G1635" t="s"/>
      <c r="H1635" t="s"/>
      <c r="I1635" t="s"/>
      <c r="J1635" t="n">
        <v>0.0343</v>
      </c>
      <c r="K1635" t="n">
        <v>0.16</v>
      </c>
      <c r="L1635" t="n">
        <v>0.672</v>
      </c>
      <c r="M1635" t="n">
        <v>0.167</v>
      </c>
    </row>
    <row r="1636" spans="1:13">
      <c r="A1636" s="1">
        <f>HYPERLINK("http://www.twitter.com/NathanBLawrence/status/993873247253889024", "993873247253889024")</f>
        <v/>
      </c>
      <c r="B1636" s="2" t="n">
        <v>43228.63914351852</v>
      </c>
      <c r="C1636" t="n">
        <v>4</v>
      </c>
      <c r="D1636" t="n">
        <v>6</v>
      </c>
      <c r="E1636" t="s">
        <v>1647</v>
      </c>
      <c r="F1636" t="s"/>
      <c r="G1636" t="s"/>
      <c r="H1636" t="s"/>
      <c r="I1636" t="s"/>
      <c r="J1636" t="n">
        <v>-0.6369</v>
      </c>
      <c r="K1636" t="n">
        <v>0.245</v>
      </c>
      <c r="L1636" t="n">
        <v>0.755</v>
      </c>
      <c r="M1636" t="n">
        <v>0</v>
      </c>
    </row>
    <row r="1637" spans="1:13">
      <c r="A1637" s="1">
        <f>HYPERLINK("http://www.twitter.com/NathanBLawrence/status/993873185891278849", "993873185891278849")</f>
        <v/>
      </c>
      <c r="B1637" s="2" t="n">
        <v>43228.63896990741</v>
      </c>
      <c r="C1637" t="n">
        <v>1</v>
      </c>
      <c r="D1637" t="n">
        <v>2</v>
      </c>
      <c r="E1637" t="s">
        <v>1648</v>
      </c>
      <c r="F1637" t="s"/>
      <c r="G1637" t="s"/>
      <c r="H1637" t="s"/>
      <c r="I1637" t="s"/>
      <c r="J1637" t="n">
        <v>-0.4767</v>
      </c>
      <c r="K1637" t="n">
        <v>0.162</v>
      </c>
      <c r="L1637" t="n">
        <v>0.838</v>
      </c>
      <c r="M1637" t="n">
        <v>0</v>
      </c>
    </row>
    <row r="1638" spans="1:13">
      <c r="A1638" s="1">
        <f>HYPERLINK("http://www.twitter.com/NathanBLawrence/status/993873014692265986", "993873014692265986")</f>
        <v/>
      </c>
      <c r="B1638" s="2" t="n">
        <v>43228.63849537037</v>
      </c>
      <c r="C1638" t="n">
        <v>6</v>
      </c>
      <c r="D1638" t="n">
        <v>4</v>
      </c>
      <c r="E1638" t="s">
        <v>1649</v>
      </c>
      <c r="F1638" t="s"/>
      <c r="G1638" t="s"/>
      <c r="H1638" t="s"/>
      <c r="I1638" t="s"/>
      <c r="J1638" t="n">
        <v>-0.4708</v>
      </c>
      <c r="K1638" t="n">
        <v>0.26</v>
      </c>
      <c r="L1638" t="n">
        <v>0.604</v>
      </c>
      <c r="M1638" t="n">
        <v>0.137</v>
      </c>
    </row>
    <row r="1639" spans="1:13">
      <c r="A1639" s="1">
        <f>HYPERLINK("http://www.twitter.com/NathanBLawrence/status/993872931787685888", "993872931787685888")</f>
        <v/>
      </c>
      <c r="B1639" s="2" t="n">
        <v>43228.63826388889</v>
      </c>
      <c r="C1639" t="n">
        <v>3</v>
      </c>
      <c r="D1639" t="n">
        <v>2</v>
      </c>
      <c r="E1639" t="s">
        <v>1650</v>
      </c>
      <c r="F1639" t="s"/>
      <c r="G1639" t="s"/>
      <c r="H1639" t="s"/>
      <c r="I1639" t="s"/>
      <c r="J1639" t="n">
        <v>-0.7184</v>
      </c>
      <c r="K1639" t="n">
        <v>0.286</v>
      </c>
      <c r="L1639" t="n">
        <v>0.714</v>
      </c>
      <c r="M1639" t="n">
        <v>0</v>
      </c>
    </row>
    <row r="1640" spans="1:13">
      <c r="A1640" s="1">
        <f>HYPERLINK("http://www.twitter.com/NathanBLawrence/status/993872894647128064", "993872894647128064")</f>
        <v/>
      </c>
      <c r="B1640" s="2" t="n">
        <v>43228.6381712963</v>
      </c>
      <c r="C1640" t="n">
        <v>8</v>
      </c>
      <c r="D1640" t="n">
        <v>7</v>
      </c>
      <c r="E1640" t="s">
        <v>1651</v>
      </c>
      <c r="F1640" t="s"/>
      <c r="G1640" t="s"/>
      <c r="H1640" t="s"/>
      <c r="I1640" t="s"/>
      <c r="J1640" t="n">
        <v>-0.4019</v>
      </c>
      <c r="K1640" t="n">
        <v>0.144</v>
      </c>
      <c r="L1640" t="n">
        <v>0.856</v>
      </c>
      <c r="M1640" t="n">
        <v>0</v>
      </c>
    </row>
    <row r="1641" spans="1:13">
      <c r="A1641" s="1">
        <f>HYPERLINK("http://www.twitter.com/NathanBLawrence/status/993872849105387520", "993872849105387520")</f>
        <v/>
      </c>
      <c r="B1641" s="2" t="n">
        <v>43228.63804398148</v>
      </c>
      <c r="C1641" t="n">
        <v>10</v>
      </c>
      <c r="D1641" t="n">
        <v>8</v>
      </c>
      <c r="E1641" t="s">
        <v>1652</v>
      </c>
      <c r="F1641" t="s"/>
      <c r="G1641" t="s"/>
      <c r="H1641" t="s"/>
      <c r="I1641" t="s"/>
      <c r="J1641" t="n">
        <v>0</v>
      </c>
      <c r="K1641" t="n">
        <v>0</v>
      </c>
      <c r="L1641" t="n">
        <v>1</v>
      </c>
      <c r="M1641" t="n">
        <v>0</v>
      </c>
    </row>
    <row r="1642" spans="1:13">
      <c r="A1642" s="1">
        <f>HYPERLINK("http://www.twitter.com/NathanBLawrence/status/993872673880006656", "993872673880006656")</f>
        <v/>
      </c>
      <c r="B1642" s="2" t="n">
        <v>43228.63755787037</v>
      </c>
      <c r="C1642" t="n">
        <v>5</v>
      </c>
      <c r="D1642" t="n">
        <v>3</v>
      </c>
      <c r="E1642" t="s">
        <v>1653</v>
      </c>
      <c r="F1642" t="s"/>
      <c r="G1642" t="s"/>
      <c r="H1642" t="s"/>
      <c r="I1642" t="s"/>
      <c r="J1642" t="n">
        <v>-0.8893</v>
      </c>
      <c r="K1642" t="n">
        <v>0.442</v>
      </c>
      <c r="L1642" t="n">
        <v>0.387</v>
      </c>
      <c r="M1642" t="n">
        <v>0.171</v>
      </c>
    </row>
    <row r="1643" spans="1:13">
      <c r="A1643" s="1">
        <f>HYPERLINK("http://www.twitter.com/NathanBLawrence/status/993872471290990592", "993872471290990592")</f>
        <v/>
      </c>
      <c r="B1643" s="2" t="n">
        <v>43228.63700231481</v>
      </c>
      <c r="C1643" t="n">
        <v>2</v>
      </c>
      <c r="D1643" t="n">
        <v>1</v>
      </c>
      <c r="E1643" t="s">
        <v>1654</v>
      </c>
      <c r="F1643" t="s"/>
      <c r="G1643" t="s"/>
      <c r="H1643" t="s"/>
      <c r="I1643" t="s"/>
      <c r="J1643" t="n">
        <v>-0.4767</v>
      </c>
      <c r="K1643" t="n">
        <v>0.215</v>
      </c>
      <c r="L1643" t="n">
        <v>0.785</v>
      </c>
      <c r="M1643" t="n">
        <v>0</v>
      </c>
    </row>
    <row r="1644" spans="1:13">
      <c r="A1644" s="1">
        <f>HYPERLINK("http://www.twitter.com/NathanBLawrence/status/993872296602456066", "993872296602456066")</f>
        <v/>
      </c>
      <c r="B1644" s="2" t="n">
        <v>43228.6365162037</v>
      </c>
      <c r="C1644" t="n">
        <v>5</v>
      </c>
      <c r="D1644" t="n">
        <v>1</v>
      </c>
      <c r="E1644" t="s">
        <v>1655</v>
      </c>
      <c r="F1644" t="s"/>
      <c r="G1644" t="s"/>
      <c r="H1644" t="s"/>
      <c r="I1644" t="s"/>
      <c r="J1644" t="n">
        <v>0</v>
      </c>
      <c r="K1644" t="n">
        <v>0</v>
      </c>
      <c r="L1644" t="n">
        <v>1</v>
      </c>
      <c r="M1644" t="n">
        <v>0</v>
      </c>
    </row>
    <row r="1645" spans="1:13">
      <c r="A1645" s="1">
        <f>HYPERLINK("http://www.twitter.com/NathanBLawrence/status/993872177500798987", "993872177500798987")</f>
        <v/>
      </c>
      <c r="B1645" s="2" t="n">
        <v>43228.63619212963</v>
      </c>
      <c r="C1645" t="n">
        <v>7</v>
      </c>
      <c r="D1645" t="n">
        <v>4</v>
      </c>
      <c r="E1645" t="s">
        <v>1656</v>
      </c>
      <c r="F1645" t="s"/>
      <c r="G1645" t="s"/>
      <c r="H1645" t="s"/>
      <c r="I1645" t="s"/>
      <c r="J1645" t="n">
        <v>0.126</v>
      </c>
      <c r="K1645" t="n">
        <v>0</v>
      </c>
      <c r="L1645" t="n">
        <v>0.9340000000000001</v>
      </c>
      <c r="M1645" t="n">
        <v>0.066</v>
      </c>
    </row>
    <row r="1646" spans="1:13">
      <c r="A1646" s="1">
        <f>HYPERLINK("http://www.twitter.com/NathanBLawrence/status/993872036052197383", "993872036052197383")</f>
        <v/>
      </c>
      <c r="B1646" s="2" t="n">
        <v>43228.63579861111</v>
      </c>
      <c r="C1646" t="n">
        <v>1</v>
      </c>
      <c r="D1646" t="n">
        <v>0</v>
      </c>
      <c r="E1646" t="s">
        <v>1657</v>
      </c>
      <c r="F1646" t="s"/>
      <c r="G1646" t="s"/>
      <c r="H1646" t="s"/>
      <c r="I1646" t="s"/>
      <c r="J1646" t="n">
        <v>-0.128</v>
      </c>
      <c r="K1646" t="n">
        <v>0.189</v>
      </c>
      <c r="L1646" t="n">
        <v>0.651</v>
      </c>
      <c r="M1646" t="n">
        <v>0.16</v>
      </c>
    </row>
    <row r="1647" spans="1:13">
      <c r="A1647" s="1">
        <f>HYPERLINK("http://www.twitter.com/NathanBLawrence/status/993871686498902018", "993871686498902018")</f>
        <v/>
      </c>
      <c r="B1647" s="2" t="n">
        <v>43228.63482638889</v>
      </c>
      <c r="C1647" t="n">
        <v>5</v>
      </c>
      <c r="D1647" t="n">
        <v>3</v>
      </c>
      <c r="E1647" t="s">
        <v>1658</v>
      </c>
      <c r="F1647" t="s"/>
      <c r="G1647" t="s"/>
      <c r="H1647" t="s"/>
      <c r="I1647" t="s"/>
      <c r="J1647" t="n">
        <v>0</v>
      </c>
      <c r="K1647" t="n">
        <v>0</v>
      </c>
      <c r="L1647" t="n">
        <v>1</v>
      </c>
      <c r="M1647" t="n">
        <v>0</v>
      </c>
    </row>
    <row r="1648" spans="1:13">
      <c r="A1648" s="1">
        <f>HYPERLINK("http://www.twitter.com/NathanBLawrence/status/993871483297349632", "993871483297349632")</f>
        <v/>
      </c>
      <c r="B1648" s="2" t="n">
        <v>43228.63427083333</v>
      </c>
      <c r="C1648" t="n">
        <v>0</v>
      </c>
      <c r="D1648" t="n">
        <v>112</v>
      </c>
      <c r="E1648" t="s">
        <v>1659</v>
      </c>
      <c r="F1648" t="s"/>
      <c r="G1648" t="s"/>
      <c r="H1648" t="s"/>
      <c r="I1648" t="s"/>
      <c r="J1648" t="n">
        <v>0.7027</v>
      </c>
      <c r="K1648" t="n">
        <v>0</v>
      </c>
      <c r="L1648" t="n">
        <v>0.774</v>
      </c>
      <c r="M1648" t="n">
        <v>0.226</v>
      </c>
    </row>
    <row r="1649" spans="1:13">
      <c r="A1649" s="1">
        <f>HYPERLINK("http://www.twitter.com/NathanBLawrence/status/993871420986802179", "993871420986802179")</f>
        <v/>
      </c>
      <c r="B1649" s="2" t="n">
        <v>43228.63409722222</v>
      </c>
      <c r="C1649" t="n">
        <v>3</v>
      </c>
      <c r="D1649" t="n">
        <v>2</v>
      </c>
      <c r="E1649" t="s">
        <v>1660</v>
      </c>
      <c r="F1649" t="s"/>
      <c r="G1649" t="s"/>
      <c r="H1649" t="s"/>
      <c r="I1649" t="s"/>
      <c r="J1649" t="n">
        <v>0.8661</v>
      </c>
      <c r="K1649" t="n">
        <v>0</v>
      </c>
      <c r="L1649" t="n">
        <v>0.763</v>
      </c>
      <c r="M1649" t="n">
        <v>0.237</v>
      </c>
    </row>
    <row r="1650" spans="1:13">
      <c r="A1650" s="1">
        <f>HYPERLINK("http://www.twitter.com/NathanBLawrence/status/993869704820228097", "993869704820228097")</f>
        <v/>
      </c>
      <c r="B1650" s="2" t="n">
        <v>43228.62936342593</v>
      </c>
      <c r="C1650" t="n">
        <v>1</v>
      </c>
      <c r="D1650" t="n">
        <v>1</v>
      </c>
      <c r="E1650" t="s">
        <v>1661</v>
      </c>
      <c r="F1650" t="s"/>
      <c r="G1650" t="s"/>
      <c r="H1650" t="s"/>
      <c r="I1650" t="s"/>
      <c r="J1650" t="n">
        <v>0.6155</v>
      </c>
      <c r="K1650" t="n">
        <v>0</v>
      </c>
      <c r="L1650" t="n">
        <v>0.642</v>
      </c>
      <c r="M1650" t="n">
        <v>0.358</v>
      </c>
    </row>
    <row r="1651" spans="1:13">
      <c r="A1651" s="1">
        <f>HYPERLINK("http://www.twitter.com/NathanBLawrence/status/993869551845572611", "993869551845572611")</f>
        <v/>
      </c>
      <c r="B1651" s="2" t="n">
        <v>43228.62894675926</v>
      </c>
      <c r="C1651" t="n">
        <v>12</v>
      </c>
      <c r="D1651" t="n">
        <v>5</v>
      </c>
      <c r="E1651" t="s">
        <v>1662</v>
      </c>
      <c r="F1651" t="s"/>
      <c r="G1651" t="s"/>
      <c r="H1651" t="s"/>
      <c r="I1651" t="s"/>
      <c r="J1651" t="n">
        <v>-0.4019</v>
      </c>
      <c r="K1651" t="n">
        <v>0.197</v>
      </c>
      <c r="L1651" t="n">
        <v>0.803</v>
      </c>
      <c r="M1651" t="n">
        <v>0</v>
      </c>
    </row>
    <row r="1652" spans="1:13">
      <c r="A1652" s="1">
        <f>HYPERLINK("http://www.twitter.com/NathanBLawrence/status/993869081332695040", "993869081332695040")</f>
        <v/>
      </c>
      <c r="B1652" s="2" t="n">
        <v>43228.62763888889</v>
      </c>
      <c r="C1652" t="n">
        <v>7</v>
      </c>
      <c r="D1652" t="n">
        <v>1</v>
      </c>
      <c r="E1652" t="s">
        <v>1663</v>
      </c>
      <c r="F1652" t="s"/>
      <c r="G1652" t="s"/>
      <c r="H1652" t="s"/>
      <c r="I1652" t="s"/>
      <c r="J1652" t="n">
        <v>0.8683999999999999</v>
      </c>
      <c r="K1652" t="n">
        <v>0</v>
      </c>
      <c r="L1652" t="n">
        <v>0.672</v>
      </c>
      <c r="M1652" t="n">
        <v>0.328</v>
      </c>
    </row>
    <row r="1653" spans="1:13">
      <c r="A1653" s="1">
        <f>HYPERLINK("http://www.twitter.com/NathanBLawrence/status/993868822883876865", "993868822883876865")</f>
        <v/>
      </c>
      <c r="B1653" s="2" t="n">
        <v>43228.62693287037</v>
      </c>
      <c r="C1653" t="n">
        <v>1</v>
      </c>
      <c r="D1653" t="n">
        <v>0</v>
      </c>
      <c r="E1653" t="s">
        <v>1664</v>
      </c>
      <c r="F1653" t="s"/>
      <c r="G1653" t="s"/>
      <c r="H1653" t="s"/>
      <c r="I1653" t="s"/>
      <c r="J1653" t="n">
        <v>0</v>
      </c>
      <c r="K1653" t="n">
        <v>0</v>
      </c>
      <c r="L1653" t="n">
        <v>1</v>
      </c>
      <c r="M1653" t="n">
        <v>0</v>
      </c>
    </row>
    <row r="1654" spans="1:13">
      <c r="A1654" s="1">
        <f>HYPERLINK("http://www.twitter.com/NathanBLawrence/status/993868391856259072", "993868391856259072")</f>
        <v/>
      </c>
      <c r="B1654" s="2" t="n">
        <v>43228.62574074074</v>
      </c>
      <c r="C1654" t="n">
        <v>8</v>
      </c>
      <c r="D1654" t="n">
        <v>9</v>
      </c>
      <c r="E1654" t="s">
        <v>1665</v>
      </c>
      <c r="F1654" t="s"/>
      <c r="G1654" t="s"/>
      <c r="H1654" t="s"/>
      <c r="I1654" t="s"/>
      <c r="J1654" t="n">
        <v>0.521</v>
      </c>
      <c r="K1654" t="n">
        <v>0.05</v>
      </c>
      <c r="L1654" t="n">
        <v>0.8159999999999999</v>
      </c>
      <c r="M1654" t="n">
        <v>0.134</v>
      </c>
    </row>
    <row r="1655" spans="1:13">
      <c r="A1655" s="1">
        <f>HYPERLINK("http://www.twitter.com/NathanBLawrence/status/993867556287954944", "993867556287954944")</f>
        <v/>
      </c>
      <c r="B1655" s="2" t="n">
        <v>43228.6234375</v>
      </c>
      <c r="C1655" t="n">
        <v>6</v>
      </c>
      <c r="D1655" t="n">
        <v>7</v>
      </c>
      <c r="E1655" t="s">
        <v>1666</v>
      </c>
      <c r="F1655" t="s"/>
      <c r="G1655" t="s"/>
      <c r="H1655" t="s"/>
      <c r="I1655" t="s"/>
      <c r="J1655" t="n">
        <v>0.34</v>
      </c>
      <c r="K1655" t="n">
        <v>0.065</v>
      </c>
      <c r="L1655" t="n">
        <v>0.8</v>
      </c>
      <c r="M1655" t="n">
        <v>0.135</v>
      </c>
    </row>
    <row r="1656" spans="1:13">
      <c r="A1656" s="1">
        <f>HYPERLINK("http://www.twitter.com/NathanBLawrence/status/993867241409073152", "993867241409073152")</f>
        <v/>
      </c>
      <c r="B1656" s="2" t="n">
        <v>43228.62256944444</v>
      </c>
      <c r="C1656" t="n">
        <v>2</v>
      </c>
      <c r="D1656" t="n">
        <v>2</v>
      </c>
      <c r="E1656" t="s">
        <v>1667</v>
      </c>
      <c r="F1656" t="s"/>
      <c r="G1656" t="s"/>
      <c r="H1656" t="s"/>
      <c r="I1656" t="s"/>
      <c r="J1656" t="n">
        <v>-0.7184</v>
      </c>
      <c r="K1656" t="n">
        <v>0.286</v>
      </c>
      <c r="L1656" t="n">
        <v>0.714</v>
      </c>
      <c r="M1656" t="n">
        <v>0</v>
      </c>
    </row>
    <row r="1657" spans="1:13">
      <c r="A1657" s="1">
        <f>HYPERLINK("http://www.twitter.com/NathanBLawrence/status/993867128875896833", "993867128875896833")</f>
        <v/>
      </c>
      <c r="B1657" s="2" t="n">
        <v>43228.62225694444</v>
      </c>
      <c r="C1657" t="n">
        <v>3</v>
      </c>
      <c r="D1657" t="n">
        <v>5</v>
      </c>
      <c r="E1657" t="s">
        <v>1668</v>
      </c>
      <c r="F1657" t="s"/>
      <c r="G1657" t="s"/>
      <c r="H1657" t="s"/>
      <c r="I1657" t="s"/>
      <c r="J1657" t="n">
        <v>-0.7579</v>
      </c>
      <c r="K1657" t="n">
        <v>0.351</v>
      </c>
      <c r="L1657" t="n">
        <v>0.649</v>
      </c>
      <c r="M1657" t="n">
        <v>0</v>
      </c>
    </row>
    <row r="1658" spans="1:13">
      <c r="A1658" s="1">
        <f>HYPERLINK("http://www.twitter.com/NathanBLawrence/status/993866953524633600", "993866953524633600")</f>
        <v/>
      </c>
      <c r="B1658" s="2" t="n">
        <v>43228.62177083334</v>
      </c>
      <c r="C1658" t="n">
        <v>11</v>
      </c>
      <c r="D1658" t="n">
        <v>6</v>
      </c>
      <c r="E1658" t="s">
        <v>1669</v>
      </c>
      <c r="F1658" t="s"/>
      <c r="G1658" t="s"/>
      <c r="H1658" t="s"/>
      <c r="I1658" t="s"/>
      <c r="J1658" t="n">
        <v>0</v>
      </c>
      <c r="K1658" t="n">
        <v>0</v>
      </c>
      <c r="L1658" t="n">
        <v>1</v>
      </c>
      <c r="M1658" t="n">
        <v>0</v>
      </c>
    </row>
    <row r="1659" spans="1:13">
      <c r="A1659" s="1">
        <f>HYPERLINK("http://www.twitter.com/NathanBLawrence/status/993866588192296960", "993866588192296960")</f>
        <v/>
      </c>
      <c r="B1659" s="2" t="n">
        <v>43228.62076388889</v>
      </c>
      <c r="C1659" t="n">
        <v>3</v>
      </c>
      <c r="D1659" t="n">
        <v>2</v>
      </c>
      <c r="E1659" t="s">
        <v>1670</v>
      </c>
      <c r="F1659" t="s"/>
      <c r="G1659" t="s"/>
      <c r="H1659" t="s"/>
      <c r="I1659" t="s"/>
      <c r="J1659" t="n">
        <v>0</v>
      </c>
      <c r="K1659" t="n">
        <v>0</v>
      </c>
      <c r="L1659" t="n">
        <v>1</v>
      </c>
      <c r="M1659" t="n">
        <v>0</v>
      </c>
    </row>
    <row r="1660" spans="1:13">
      <c r="A1660" s="1">
        <f>HYPERLINK("http://www.twitter.com/NathanBLawrence/status/993865721162612737", "993865721162612737")</f>
        <v/>
      </c>
      <c r="B1660" s="2" t="n">
        <v>43228.61836805556</v>
      </c>
      <c r="C1660" t="n">
        <v>3</v>
      </c>
      <c r="D1660" t="n">
        <v>2</v>
      </c>
      <c r="E1660" t="s">
        <v>1671</v>
      </c>
      <c r="F1660" t="s"/>
      <c r="G1660" t="s"/>
      <c r="H1660" t="s"/>
      <c r="I1660" t="s"/>
      <c r="J1660" t="n">
        <v>-0.8528</v>
      </c>
      <c r="K1660" t="n">
        <v>0.483</v>
      </c>
      <c r="L1660" t="n">
        <v>0.517</v>
      </c>
      <c r="M1660" t="n">
        <v>0</v>
      </c>
    </row>
    <row r="1661" spans="1:13">
      <c r="A1661" s="1">
        <f>HYPERLINK("http://www.twitter.com/NathanBLawrence/status/993864262094241797", "993864262094241797")</f>
        <v/>
      </c>
      <c r="B1661" s="2" t="n">
        <v>43228.61434027777</v>
      </c>
      <c r="C1661" t="n">
        <v>6</v>
      </c>
      <c r="D1661" t="n">
        <v>9</v>
      </c>
      <c r="E1661" t="s">
        <v>1672</v>
      </c>
      <c r="F1661" t="s"/>
      <c r="G1661" t="s"/>
      <c r="H1661" t="s"/>
      <c r="I1661" t="s"/>
      <c r="J1661" t="n">
        <v>-0.658</v>
      </c>
      <c r="K1661" t="n">
        <v>0.213</v>
      </c>
      <c r="L1661" t="n">
        <v>0.664</v>
      </c>
      <c r="M1661" t="n">
        <v>0.122</v>
      </c>
    </row>
    <row r="1662" spans="1:13">
      <c r="A1662" s="1">
        <f>HYPERLINK("http://www.twitter.com/NathanBLawrence/status/993862815453597696", "993862815453597696")</f>
        <v/>
      </c>
      <c r="B1662" s="2" t="n">
        <v>43228.61034722222</v>
      </c>
      <c r="C1662" t="n">
        <v>1</v>
      </c>
      <c r="D1662" t="n">
        <v>0</v>
      </c>
      <c r="E1662" t="s">
        <v>1673</v>
      </c>
      <c r="F1662" t="s"/>
      <c r="G1662" t="s"/>
      <c r="H1662" t="s"/>
      <c r="I1662" t="s"/>
      <c r="J1662" t="n">
        <v>-0.5423</v>
      </c>
      <c r="K1662" t="n">
        <v>0.304</v>
      </c>
      <c r="L1662" t="n">
        <v>0.696</v>
      </c>
      <c r="M1662" t="n">
        <v>0</v>
      </c>
    </row>
    <row r="1663" spans="1:13">
      <c r="A1663" s="1">
        <f>HYPERLINK("http://www.twitter.com/NathanBLawrence/status/993862672222371841", "993862672222371841")</f>
        <v/>
      </c>
      <c r="B1663" s="2" t="n">
        <v>43228.6099537037</v>
      </c>
      <c r="C1663" t="n">
        <v>18</v>
      </c>
      <c r="D1663" t="n">
        <v>16</v>
      </c>
      <c r="E1663" t="s">
        <v>1674</v>
      </c>
      <c r="F1663" t="s"/>
      <c r="G1663" t="s"/>
      <c r="H1663" t="s"/>
      <c r="I1663" t="s"/>
      <c r="J1663" t="n">
        <v>0.5007</v>
      </c>
      <c r="K1663" t="n">
        <v>0</v>
      </c>
      <c r="L1663" t="n">
        <v>0.9</v>
      </c>
      <c r="M1663" t="n">
        <v>0.1</v>
      </c>
    </row>
    <row r="1664" spans="1:13">
      <c r="A1664" s="1">
        <f>HYPERLINK("http://www.twitter.com/NathanBLawrence/status/993862475631087622", "993862475631087622")</f>
        <v/>
      </c>
      <c r="B1664" s="2" t="n">
        <v>43228.60940972222</v>
      </c>
      <c r="C1664" t="n">
        <v>7</v>
      </c>
      <c r="D1664" t="n">
        <v>7</v>
      </c>
      <c r="E1664" t="s">
        <v>1675</v>
      </c>
      <c r="F1664" t="s"/>
      <c r="G1664" t="s"/>
      <c r="H1664" t="s"/>
      <c r="I1664" t="s"/>
      <c r="J1664" t="n">
        <v>0</v>
      </c>
      <c r="K1664" t="n">
        <v>0</v>
      </c>
      <c r="L1664" t="n">
        <v>1</v>
      </c>
      <c r="M1664" t="n">
        <v>0</v>
      </c>
    </row>
    <row r="1665" spans="1:13">
      <c r="A1665" s="1">
        <f>HYPERLINK("http://www.twitter.com/NathanBLawrence/status/993861370096508930", "993861370096508930")</f>
        <v/>
      </c>
      <c r="B1665" s="2" t="n">
        <v>43228.60636574074</v>
      </c>
      <c r="C1665" t="n">
        <v>10</v>
      </c>
      <c r="D1665" t="n">
        <v>13</v>
      </c>
      <c r="E1665" t="s">
        <v>1676</v>
      </c>
      <c r="F1665" t="s"/>
      <c r="G1665" t="s"/>
      <c r="H1665" t="s"/>
      <c r="I1665" t="s"/>
      <c r="J1665" t="n">
        <v>0.296</v>
      </c>
      <c r="K1665" t="n">
        <v>0</v>
      </c>
      <c r="L1665" t="n">
        <v>0.845</v>
      </c>
      <c r="M1665" t="n">
        <v>0.155</v>
      </c>
    </row>
    <row r="1666" spans="1:13">
      <c r="A1666" s="1">
        <f>HYPERLINK("http://www.twitter.com/NathanBLawrence/status/993861157843750912", "993861157843750912")</f>
        <v/>
      </c>
      <c r="B1666" s="2" t="n">
        <v>43228.60577546297</v>
      </c>
      <c r="C1666" t="n">
        <v>22</v>
      </c>
      <c r="D1666" t="n">
        <v>16</v>
      </c>
      <c r="E1666" t="s">
        <v>1677</v>
      </c>
      <c r="F1666">
        <f>HYPERLINK("http://pbs.twimg.com/media/DcrnXqZVAAYLSZk.jpg", "http://pbs.twimg.com/media/DcrnXqZVAAYLSZk.jpg")</f>
        <v/>
      </c>
      <c r="G1666" t="s"/>
      <c r="H1666" t="s"/>
      <c r="I1666" t="s"/>
      <c r="J1666" t="n">
        <v>0</v>
      </c>
      <c r="K1666" t="n">
        <v>0</v>
      </c>
      <c r="L1666" t="n">
        <v>1</v>
      </c>
      <c r="M1666" t="n">
        <v>0</v>
      </c>
    </row>
    <row r="1667" spans="1:13">
      <c r="A1667" s="1">
        <f>HYPERLINK("http://www.twitter.com/NathanBLawrence/status/993860873377628160", "993860873377628160")</f>
        <v/>
      </c>
      <c r="B1667" s="2" t="n">
        <v>43228.60498842593</v>
      </c>
      <c r="C1667" t="n">
        <v>12</v>
      </c>
      <c r="D1667" t="n">
        <v>9</v>
      </c>
      <c r="E1667" t="s">
        <v>1678</v>
      </c>
      <c r="F1667" t="s"/>
      <c r="G1667" t="s"/>
      <c r="H1667" t="s"/>
      <c r="I1667" t="s"/>
      <c r="J1667" t="n">
        <v>-0.977</v>
      </c>
      <c r="K1667" t="n">
        <v>0.435</v>
      </c>
      <c r="L1667" t="n">
        <v>0.5649999999999999</v>
      </c>
      <c r="M1667" t="n">
        <v>0</v>
      </c>
    </row>
    <row r="1668" spans="1:13">
      <c r="A1668" s="1">
        <f>HYPERLINK("http://www.twitter.com/NathanBLawrence/status/993860478362243076", "993860478362243076")</f>
        <v/>
      </c>
      <c r="B1668" s="2" t="n">
        <v>43228.60390046296</v>
      </c>
      <c r="C1668" t="n">
        <v>3</v>
      </c>
      <c r="D1668" t="n">
        <v>2</v>
      </c>
      <c r="E1668" t="s">
        <v>1679</v>
      </c>
      <c r="F1668" t="s"/>
      <c r="G1668" t="s"/>
      <c r="H1668" t="s"/>
      <c r="I1668" t="s"/>
      <c r="J1668" t="n">
        <v>0.5106000000000001</v>
      </c>
      <c r="K1668" t="n">
        <v>0</v>
      </c>
      <c r="L1668" t="n">
        <v>0.8090000000000001</v>
      </c>
      <c r="M1668" t="n">
        <v>0.191</v>
      </c>
    </row>
    <row r="1669" spans="1:13">
      <c r="A1669" s="1">
        <f>HYPERLINK("http://www.twitter.com/NathanBLawrence/status/993619218460372992", "993619218460372992")</f>
        <v/>
      </c>
      <c r="B1669" s="2" t="n">
        <v>43227.93814814815</v>
      </c>
      <c r="C1669" t="n">
        <v>3</v>
      </c>
      <c r="D1669" t="n">
        <v>1</v>
      </c>
      <c r="E1669" t="s">
        <v>1680</v>
      </c>
      <c r="F1669" t="s"/>
      <c r="G1669" t="s"/>
      <c r="H1669" t="s"/>
      <c r="I1669" t="s"/>
      <c r="J1669" t="n">
        <v>-0.6486</v>
      </c>
      <c r="K1669" t="n">
        <v>0.323</v>
      </c>
      <c r="L1669" t="n">
        <v>0.677</v>
      </c>
      <c r="M1669" t="n">
        <v>0</v>
      </c>
    </row>
    <row r="1670" spans="1:13">
      <c r="A1670" s="1">
        <f>HYPERLINK("http://www.twitter.com/NathanBLawrence/status/993619085538738176", "993619085538738176")</f>
        <v/>
      </c>
      <c r="B1670" s="2" t="n">
        <v>43227.93778935185</v>
      </c>
      <c r="C1670" t="n">
        <v>7</v>
      </c>
      <c r="D1670" t="n">
        <v>0</v>
      </c>
      <c r="E1670" t="s">
        <v>1681</v>
      </c>
      <c r="F1670" t="s"/>
      <c r="G1670" t="s"/>
      <c r="H1670" t="s"/>
      <c r="I1670" t="s"/>
      <c r="J1670" t="n">
        <v>0.3382</v>
      </c>
      <c r="K1670" t="n">
        <v>0</v>
      </c>
      <c r="L1670" t="n">
        <v>0.898</v>
      </c>
      <c r="M1670" t="n">
        <v>0.102</v>
      </c>
    </row>
    <row r="1671" spans="1:13">
      <c r="A1671" s="1">
        <f>HYPERLINK("http://www.twitter.com/NathanBLawrence/status/993618871868248065", "993618871868248065")</f>
        <v/>
      </c>
      <c r="B1671" s="2" t="n">
        <v>43227.93719907408</v>
      </c>
      <c r="C1671" t="n">
        <v>7</v>
      </c>
      <c r="D1671" t="n">
        <v>9</v>
      </c>
      <c r="E1671" t="s">
        <v>1682</v>
      </c>
      <c r="F1671" t="s"/>
      <c r="G1671" t="s"/>
      <c r="H1671" t="s"/>
      <c r="I1671" t="s"/>
      <c r="J1671" t="n">
        <v>0.296</v>
      </c>
      <c r="K1671" t="n">
        <v>0</v>
      </c>
      <c r="L1671" t="n">
        <v>0.845</v>
      </c>
      <c r="M1671" t="n">
        <v>0.155</v>
      </c>
    </row>
    <row r="1672" spans="1:13">
      <c r="A1672" s="1">
        <f>HYPERLINK("http://www.twitter.com/NathanBLawrence/status/993618539612323840", "993618539612323840")</f>
        <v/>
      </c>
      <c r="B1672" s="2" t="n">
        <v>43227.93628472222</v>
      </c>
      <c r="C1672" t="n">
        <v>14</v>
      </c>
      <c r="D1672" t="n">
        <v>5</v>
      </c>
      <c r="E1672" t="s">
        <v>1683</v>
      </c>
      <c r="F1672" t="s"/>
      <c r="G1672" t="s"/>
      <c r="H1672" t="s"/>
      <c r="I1672" t="s"/>
      <c r="J1672" t="n">
        <v>-0.4939</v>
      </c>
      <c r="K1672" t="n">
        <v>0.348</v>
      </c>
      <c r="L1672" t="n">
        <v>0.652</v>
      </c>
      <c r="M1672" t="n">
        <v>0</v>
      </c>
    </row>
    <row r="1673" spans="1:13">
      <c r="A1673" s="1">
        <f>HYPERLINK("http://www.twitter.com/NathanBLawrence/status/993618433789984768", "993618433789984768")</f>
        <v/>
      </c>
      <c r="B1673" s="2" t="n">
        <v>43227.9359837963</v>
      </c>
      <c r="C1673" t="n">
        <v>5</v>
      </c>
      <c r="D1673" t="n">
        <v>0</v>
      </c>
      <c r="E1673" t="s">
        <v>1684</v>
      </c>
      <c r="F1673" t="s"/>
      <c r="G1673" t="s"/>
      <c r="H1673" t="s"/>
      <c r="I1673" t="s"/>
      <c r="J1673" t="n">
        <v>-0.3612</v>
      </c>
      <c r="K1673" t="n">
        <v>0.304</v>
      </c>
      <c r="L1673" t="n">
        <v>0.696</v>
      </c>
      <c r="M1673" t="n">
        <v>0</v>
      </c>
    </row>
    <row r="1674" spans="1:13">
      <c r="A1674" s="1">
        <f>HYPERLINK("http://www.twitter.com/NathanBLawrence/status/993611372469469185", "993611372469469185")</f>
        <v/>
      </c>
      <c r="B1674" s="2" t="n">
        <v>43227.91650462963</v>
      </c>
      <c r="C1674" t="n">
        <v>26</v>
      </c>
      <c r="D1674" t="n">
        <v>22</v>
      </c>
      <c r="E1674" t="s">
        <v>1685</v>
      </c>
      <c r="F1674" t="s"/>
      <c r="G1674" t="s"/>
      <c r="H1674" t="s"/>
      <c r="I1674" t="s"/>
      <c r="J1674" t="n">
        <v>0</v>
      </c>
      <c r="K1674" t="n">
        <v>0</v>
      </c>
      <c r="L1674" t="n">
        <v>1</v>
      </c>
      <c r="M1674" t="n">
        <v>0</v>
      </c>
    </row>
    <row r="1675" spans="1:13">
      <c r="A1675" s="1">
        <f>HYPERLINK("http://www.twitter.com/NathanBLawrence/status/993610967148781571", "993610967148781571")</f>
        <v/>
      </c>
      <c r="B1675" s="2" t="n">
        <v>43227.91538194445</v>
      </c>
      <c r="C1675" t="n">
        <v>12</v>
      </c>
      <c r="D1675" t="n">
        <v>2</v>
      </c>
      <c r="E1675" t="s">
        <v>1686</v>
      </c>
      <c r="F1675" t="s"/>
      <c r="G1675" t="s"/>
      <c r="H1675" t="s"/>
      <c r="I1675" t="s"/>
      <c r="J1675" t="n">
        <v>0.5007</v>
      </c>
      <c r="K1675" t="n">
        <v>0</v>
      </c>
      <c r="L1675" t="n">
        <v>0.9</v>
      </c>
      <c r="M1675" t="n">
        <v>0.1</v>
      </c>
    </row>
    <row r="1676" spans="1:13">
      <c r="A1676" s="1">
        <f>HYPERLINK("http://www.twitter.com/NathanBLawrence/status/993602199316975616", "993602199316975616")</f>
        <v/>
      </c>
      <c r="B1676" s="2" t="n">
        <v>43227.89119212963</v>
      </c>
      <c r="C1676" t="n">
        <v>7</v>
      </c>
      <c r="D1676" t="n">
        <v>5</v>
      </c>
      <c r="E1676" t="s">
        <v>1687</v>
      </c>
      <c r="F1676" t="s"/>
      <c r="G1676" t="s"/>
      <c r="H1676" t="s"/>
      <c r="I1676" t="s"/>
      <c r="J1676" t="n">
        <v>0.6249</v>
      </c>
      <c r="K1676" t="n">
        <v>0</v>
      </c>
      <c r="L1676" t="n">
        <v>0.638</v>
      </c>
      <c r="M1676" t="n">
        <v>0.362</v>
      </c>
    </row>
    <row r="1677" spans="1:13">
      <c r="A1677" s="1">
        <f>HYPERLINK("http://www.twitter.com/NathanBLawrence/status/993602119516151808", "993602119516151808")</f>
        <v/>
      </c>
      <c r="B1677" s="2" t="n">
        <v>43227.89097222222</v>
      </c>
      <c r="C1677" t="n">
        <v>14</v>
      </c>
      <c r="D1677" t="n">
        <v>4</v>
      </c>
      <c r="E1677" t="s">
        <v>1688</v>
      </c>
      <c r="F1677" t="s"/>
      <c r="G1677" t="s"/>
      <c r="H1677" t="s"/>
      <c r="I1677" t="s"/>
      <c r="J1677" t="n">
        <v>-0.4574</v>
      </c>
      <c r="K1677" t="n">
        <v>0.319</v>
      </c>
      <c r="L1677" t="n">
        <v>0.516</v>
      </c>
      <c r="M1677" t="n">
        <v>0.165</v>
      </c>
    </row>
    <row r="1678" spans="1:13">
      <c r="A1678" s="1">
        <f>HYPERLINK("http://www.twitter.com/NathanBLawrence/status/993601990876848128", "993601990876848128")</f>
        <v/>
      </c>
      <c r="B1678" s="2" t="n">
        <v>43227.89061342592</v>
      </c>
      <c r="C1678" t="n">
        <v>2</v>
      </c>
      <c r="D1678" t="n">
        <v>0</v>
      </c>
      <c r="E1678" t="s">
        <v>1689</v>
      </c>
      <c r="F1678" t="s"/>
      <c r="G1678" t="s"/>
      <c r="H1678" t="s"/>
      <c r="I1678" t="s"/>
      <c r="J1678" t="n">
        <v>-0.5423</v>
      </c>
      <c r="K1678" t="n">
        <v>0.368</v>
      </c>
      <c r="L1678" t="n">
        <v>0.632</v>
      </c>
      <c r="M1678" t="n">
        <v>0</v>
      </c>
    </row>
    <row r="1679" spans="1:13">
      <c r="A1679" s="1">
        <f>HYPERLINK("http://www.twitter.com/NathanBLawrence/status/993601834525732865", "993601834525732865")</f>
        <v/>
      </c>
      <c r="B1679" s="2" t="n">
        <v>43227.89018518518</v>
      </c>
      <c r="C1679" t="n">
        <v>7</v>
      </c>
      <c r="D1679" t="n">
        <v>4</v>
      </c>
      <c r="E1679" t="s">
        <v>1690</v>
      </c>
      <c r="F1679" t="s"/>
      <c r="G1679" t="s"/>
      <c r="H1679" t="s"/>
      <c r="I1679" t="s"/>
      <c r="J1679" t="n">
        <v>0</v>
      </c>
      <c r="K1679" t="n">
        <v>0</v>
      </c>
      <c r="L1679" t="n">
        <v>1</v>
      </c>
      <c r="M1679" t="n">
        <v>0</v>
      </c>
    </row>
    <row r="1680" spans="1:13">
      <c r="A1680" s="1">
        <f>HYPERLINK("http://www.twitter.com/NathanBLawrence/status/993601708314918912", "993601708314918912")</f>
        <v/>
      </c>
      <c r="B1680" s="2" t="n">
        <v>43227.88983796296</v>
      </c>
      <c r="C1680" t="n">
        <v>8</v>
      </c>
      <c r="D1680" t="n">
        <v>2</v>
      </c>
      <c r="E1680" t="s">
        <v>1691</v>
      </c>
      <c r="F1680" t="s"/>
      <c r="G1680" t="s"/>
      <c r="H1680" t="s"/>
      <c r="I1680" t="s"/>
      <c r="J1680" t="n">
        <v>-0.6705</v>
      </c>
      <c r="K1680" t="n">
        <v>0.314</v>
      </c>
      <c r="L1680" t="n">
        <v>0.6860000000000001</v>
      </c>
      <c r="M1680" t="n">
        <v>0</v>
      </c>
    </row>
    <row r="1681" spans="1:13">
      <c r="A1681" s="1">
        <f>HYPERLINK("http://www.twitter.com/NathanBLawrence/status/993601636625874944", "993601636625874944")</f>
        <v/>
      </c>
      <c r="B1681" s="2" t="n">
        <v>43227.88964120371</v>
      </c>
      <c r="C1681" t="n">
        <v>15</v>
      </c>
      <c r="D1681" t="n">
        <v>3</v>
      </c>
      <c r="E1681" t="s">
        <v>1692</v>
      </c>
      <c r="F1681" t="s"/>
      <c r="G1681" t="s"/>
      <c r="H1681" t="s"/>
      <c r="I1681" t="s"/>
      <c r="J1681" t="n">
        <v>-0.296</v>
      </c>
      <c r="K1681" t="n">
        <v>0.099</v>
      </c>
      <c r="L1681" t="n">
        <v>0.901</v>
      </c>
      <c r="M1681" t="n">
        <v>0</v>
      </c>
    </row>
    <row r="1682" spans="1:13">
      <c r="A1682" s="1">
        <f>HYPERLINK("http://www.twitter.com/NathanBLawrence/status/993540863425826816", "993540863425826816")</f>
        <v/>
      </c>
      <c r="B1682" s="2" t="n">
        <v>43227.72193287037</v>
      </c>
      <c r="C1682" t="n">
        <v>29</v>
      </c>
      <c r="D1682" t="n">
        <v>16</v>
      </c>
      <c r="E1682" t="s">
        <v>1693</v>
      </c>
      <c r="F1682" t="s"/>
      <c r="G1682" t="s"/>
      <c r="H1682" t="s"/>
      <c r="I1682" t="s"/>
      <c r="J1682" t="n">
        <v>-0.7024</v>
      </c>
      <c r="K1682" t="n">
        <v>0.328</v>
      </c>
      <c r="L1682" t="n">
        <v>0.672</v>
      </c>
      <c r="M1682" t="n">
        <v>0</v>
      </c>
    </row>
    <row r="1683" spans="1:13">
      <c r="A1683" s="1">
        <f>HYPERLINK("http://www.twitter.com/NathanBLawrence/status/993501753843662848", "993501753843662848")</f>
        <v/>
      </c>
      <c r="B1683" s="2" t="n">
        <v>43227.6140162037</v>
      </c>
      <c r="C1683" t="n">
        <v>13</v>
      </c>
      <c r="D1683" t="n">
        <v>8</v>
      </c>
      <c r="E1683" t="s">
        <v>1694</v>
      </c>
      <c r="F1683" t="s"/>
      <c r="G1683" t="s"/>
      <c r="H1683" t="s"/>
      <c r="I1683" t="s"/>
      <c r="J1683" t="n">
        <v>0</v>
      </c>
      <c r="K1683" t="n">
        <v>0</v>
      </c>
      <c r="L1683" t="n">
        <v>1</v>
      </c>
      <c r="M1683" t="n">
        <v>0</v>
      </c>
    </row>
    <row r="1684" spans="1:13">
      <c r="A1684" s="1">
        <f>HYPERLINK("http://www.twitter.com/NathanBLawrence/status/993501617751126016", "993501617751126016")</f>
        <v/>
      </c>
      <c r="B1684" s="2" t="n">
        <v>43227.61363425926</v>
      </c>
      <c r="C1684" t="n">
        <v>0</v>
      </c>
      <c r="D1684" t="n">
        <v>38</v>
      </c>
      <c r="E1684" t="s">
        <v>1695</v>
      </c>
      <c r="F1684" t="s"/>
      <c r="G1684" t="s"/>
      <c r="H1684" t="s"/>
      <c r="I1684" t="s"/>
      <c r="J1684" t="n">
        <v>-0.3074</v>
      </c>
      <c r="K1684" t="n">
        <v>0.129</v>
      </c>
      <c r="L1684" t="n">
        <v>0.792</v>
      </c>
      <c r="M1684" t="n">
        <v>0.079</v>
      </c>
    </row>
    <row r="1685" spans="1:13">
      <c r="A1685" s="1">
        <f>HYPERLINK("http://www.twitter.com/NathanBLawrence/status/993501567012683777", "993501567012683777")</f>
        <v/>
      </c>
      <c r="B1685" s="2" t="n">
        <v>43227.61349537037</v>
      </c>
      <c r="C1685" t="n">
        <v>0</v>
      </c>
      <c r="D1685" t="n">
        <v>35</v>
      </c>
      <c r="E1685" t="s">
        <v>1696</v>
      </c>
      <c r="F1685">
        <f>HYPERLINK("http://pbs.twimg.com/media/DcYZnGQXcAEHfyD.jpg", "http://pbs.twimg.com/media/DcYZnGQXcAEHfyD.jpg")</f>
        <v/>
      </c>
      <c r="G1685" t="s"/>
      <c r="H1685" t="s"/>
      <c r="I1685" t="s"/>
      <c r="J1685" t="n">
        <v>0</v>
      </c>
      <c r="K1685" t="n">
        <v>0</v>
      </c>
      <c r="L1685" t="n">
        <v>1</v>
      </c>
      <c r="M1685" t="n">
        <v>0</v>
      </c>
    </row>
    <row r="1686" spans="1:13">
      <c r="A1686" s="1">
        <f>HYPERLINK("http://www.twitter.com/NathanBLawrence/status/993501496317636610", "993501496317636610")</f>
        <v/>
      </c>
      <c r="B1686" s="2" t="n">
        <v>43227.61329861111</v>
      </c>
      <c r="C1686" t="n">
        <v>0</v>
      </c>
      <c r="D1686" t="n">
        <v>1048</v>
      </c>
      <c r="E1686" t="s">
        <v>1697</v>
      </c>
      <c r="F1686">
        <f>HYPERLINK("http://pbs.twimg.com/media/DQ8q8R1W4AYXu5O.jpg", "http://pbs.twimg.com/media/DQ8q8R1W4AYXu5O.jpg")</f>
        <v/>
      </c>
      <c r="G1686" t="s"/>
      <c r="H1686" t="s"/>
      <c r="I1686" t="s"/>
      <c r="J1686" t="n">
        <v>0</v>
      </c>
      <c r="K1686" t="n">
        <v>0</v>
      </c>
      <c r="L1686" t="n">
        <v>1</v>
      </c>
      <c r="M1686" t="n">
        <v>0</v>
      </c>
    </row>
    <row r="1687" spans="1:13">
      <c r="A1687" s="1">
        <f>HYPERLINK("http://www.twitter.com/NathanBLawrence/status/993453278191992834", "993453278191992834")</f>
        <v/>
      </c>
      <c r="B1687" s="2" t="n">
        <v>43227.48024305556</v>
      </c>
      <c r="C1687" t="n">
        <v>9</v>
      </c>
      <c r="D1687" t="n">
        <v>3</v>
      </c>
      <c r="E1687" t="s">
        <v>1698</v>
      </c>
      <c r="F1687" t="s"/>
      <c r="G1687" t="s"/>
      <c r="H1687" t="s"/>
      <c r="I1687" t="s"/>
      <c r="J1687" t="n">
        <v>0</v>
      </c>
      <c r="K1687" t="n">
        <v>0</v>
      </c>
      <c r="L1687" t="n">
        <v>1</v>
      </c>
      <c r="M1687" t="n">
        <v>0</v>
      </c>
    </row>
    <row r="1688" spans="1:13">
      <c r="A1688" s="1">
        <f>HYPERLINK("http://www.twitter.com/NathanBLawrence/status/993453175649722374", "993453175649722374")</f>
        <v/>
      </c>
      <c r="B1688" s="2" t="n">
        <v>43227.47996527778</v>
      </c>
      <c r="C1688" t="n">
        <v>0</v>
      </c>
      <c r="D1688" t="n">
        <v>3521</v>
      </c>
      <c r="E1688" t="s">
        <v>1699</v>
      </c>
      <c r="F1688" t="s"/>
      <c r="G1688" t="s"/>
      <c r="H1688" t="s"/>
      <c r="I1688" t="s"/>
      <c r="J1688" t="n">
        <v>0</v>
      </c>
      <c r="K1688" t="n">
        <v>0</v>
      </c>
      <c r="L1688" t="n">
        <v>1</v>
      </c>
      <c r="M1688" t="n">
        <v>0</v>
      </c>
    </row>
    <row r="1689" spans="1:13">
      <c r="A1689" s="1">
        <f>HYPERLINK("http://www.twitter.com/NathanBLawrence/status/993453022717005824", "993453022717005824")</f>
        <v/>
      </c>
      <c r="B1689" s="2" t="n">
        <v>43227.47953703703</v>
      </c>
      <c r="C1689" t="n">
        <v>0</v>
      </c>
      <c r="D1689" t="n">
        <v>601</v>
      </c>
      <c r="E1689" t="s">
        <v>1700</v>
      </c>
      <c r="F1689" t="s"/>
      <c r="G1689" t="s"/>
      <c r="H1689" t="s"/>
      <c r="I1689" t="s"/>
      <c r="J1689" t="n">
        <v>0.8126</v>
      </c>
      <c r="K1689" t="n">
        <v>0</v>
      </c>
      <c r="L1689" t="n">
        <v>0.73</v>
      </c>
      <c r="M1689" t="n">
        <v>0.27</v>
      </c>
    </row>
    <row r="1690" spans="1:13">
      <c r="A1690" s="1">
        <f>HYPERLINK("http://www.twitter.com/NathanBLawrence/status/993452984389419008", "993452984389419008")</f>
        <v/>
      </c>
      <c r="B1690" s="2" t="n">
        <v>43227.47943287037</v>
      </c>
      <c r="C1690" t="n">
        <v>0</v>
      </c>
      <c r="D1690" t="n">
        <v>156</v>
      </c>
      <c r="E1690" t="s">
        <v>1701</v>
      </c>
      <c r="F1690" t="s"/>
      <c r="G1690" t="s"/>
      <c r="H1690" t="s"/>
      <c r="I1690" t="s"/>
      <c r="J1690" t="n">
        <v>-0.5423</v>
      </c>
      <c r="K1690" t="n">
        <v>0.163</v>
      </c>
      <c r="L1690" t="n">
        <v>0.837</v>
      </c>
      <c r="M1690" t="n">
        <v>0</v>
      </c>
    </row>
    <row r="1691" spans="1:13">
      <c r="A1691" s="1">
        <f>HYPERLINK("http://www.twitter.com/NathanBLawrence/status/993452931495018498", "993452931495018498")</f>
        <v/>
      </c>
      <c r="B1691" s="2" t="n">
        <v>43227.47928240741</v>
      </c>
      <c r="C1691" t="n">
        <v>0</v>
      </c>
      <c r="D1691" t="n">
        <v>509</v>
      </c>
      <c r="E1691" t="s">
        <v>1702</v>
      </c>
      <c r="F1691">
        <f>HYPERLINK("http://pbs.twimg.com/media/Dch61rtVwAc51Mi.jpg", "http://pbs.twimg.com/media/Dch61rtVwAc51Mi.jpg")</f>
        <v/>
      </c>
      <c r="G1691" t="s"/>
      <c r="H1691" t="s"/>
      <c r="I1691" t="s"/>
      <c r="J1691" t="n">
        <v>-0.4767</v>
      </c>
      <c r="K1691" t="n">
        <v>0.157</v>
      </c>
      <c r="L1691" t="n">
        <v>0.843</v>
      </c>
      <c r="M1691" t="n">
        <v>0</v>
      </c>
    </row>
    <row r="1692" spans="1:13">
      <c r="A1692" s="1">
        <f>HYPERLINK("http://www.twitter.com/NathanBLawrence/status/993452607468326912", "993452607468326912")</f>
        <v/>
      </c>
      <c r="B1692" s="2" t="n">
        <v>43227.4783912037</v>
      </c>
      <c r="C1692" t="n">
        <v>0</v>
      </c>
      <c r="D1692" t="n">
        <v>44</v>
      </c>
      <c r="E1692" t="s">
        <v>1703</v>
      </c>
      <c r="F1692">
        <f>HYPERLINK("http://pbs.twimg.com/media/DckDcZ_VAAEqtA1.jpg", "http://pbs.twimg.com/media/DckDcZ_VAAEqtA1.jpg")</f>
        <v/>
      </c>
      <c r="G1692" t="s"/>
      <c r="H1692" t="s"/>
      <c r="I1692" t="s"/>
      <c r="J1692" t="n">
        <v>0</v>
      </c>
      <c r="K1692" t="n">
        <v>0</v>
      </c>
      <c r="L1692" t="n">
        <v>1</v>
      </c>
      <c r="M1692" t="n">
        <v>0</v>
      </c>
    </row>
    <row r="1693" spans="1:13">
      <c r="A1693" s="1">
        <f>HYPERLINK("http://www.twitter.com/NathanBLawrence/status/993452500198936578", "993452500198936578")</f>
        <v/>
      </c>
      <c r="B1693" s="2" t="n">
        <v>43227.47810185186</v>
      </c>
      <c r="C1693" t="n">
        <v>0</v>
      </c>
      <c r="D1693" t="n">
        <v>4</v>
      </c>
      <c r="E1693" t="s">
        <v>1704</v>
      </c>
      <c r="F1693">
        <f>HYPERLINK("http://pbs.twimg.com/media/DckyOcXV0AEGxZe.jpg", "http://pbs.twimg.com/media/DckyOcXV0AEGxZe.jpg")</f>
        <v/>
      </c>
      <c r="G1693" t="s"/>
      <c r="H1693" t="s"/>
      <c r="I1693" t="s"/>
      <c r="J1693" t="n">
        <v>0</v>
      </c>
      <c r="K1693" t="n">
        <v>0</v>
      </c>
      <c r="L1693" t="n">
        <v>1</v>
      </c>
      <c r="M1693" t="n">
        <v>0</v>
      </c>
    </row>
    <row r="1694" spans="1:13">
      <c r="A1694" s="1">
        <f>HYPERLINK("http://www.twitter.com/NathanBLawrence/status/993451271863463938", "993451271863463938")</f>
        <v/>
      </c>
      <c r="B1694" s="2" t="n">
        <v>43227.47471064814</v>
      </c>
      <c r="C1694" t="n">
        <v>10</v>
      </c>
      <c r="D1694" t="n">
        <v>5</v>
      </c>
      <c r="E1694" t="s">
        <v>1705</v>
      </c>
      <c r="F1694" t="s"/>
      <c r="G1694" t="s"/>
      <c r="H1694" t="s"/>
      <c r="I1694" t="s"/>
      <c r="J1694" t="n">
        <v>-0.7876</v>
      </c>
      <c r="K1694" t="n">
        <v>0.192</v>
      </c>
      <c r="L1694" t="n">
        <v>0.779</v>
      </c>
      <c r="M1694" t="n">
        <v>0.028</v>
      </c>
    </row>
    <row r="1695" spans="1:13">
      <c r="A1695" s="1">
        <f>HYPERLINK("http://www.twitter.com/NathanBLawrence/status/993450827988647936", "993450827988647936")</f>
        <v/>
      </c>
      <c r="B1695" s="2" t="n">
        <v>43227.4734837963</v>
      </c>
      <c r="C1695" t="n">
        <v>3</v>
      </c>
      <c r="D1695" t="n">
        <v>1</v>
      </c>
      <c r="E1695" t="s">
        <v>1706</v>
      </c>
      <c r="F1695" t="s"/>
      <c r="G1695" t="s"/>
      <c r="H1695" t="s"/>
      <c r="I1695" t="s"/>
      <c r="J1695" t="n">
        <v>-0.296</v>
      </c>
      <c r="K1695" t="n">
        <v>0.136</v>
      </c>
      <c r="L1695" t="n">
        <v>0.864</v>
      </c>
      <c r="M1695" t="n">
        <v>0</v>
      </c>
    </row>
    <row r="1696" spans="1:13">
      <c r="A1696" s="1">
        <f>HYPERLINK("http://www.twitter.com/NathanBLawrence/status/993450482659086336", "993450482659086336")</f>
        <v/>
      </c>
      <c r="B1696" s="2" t="n">
        <v>43227.47253472222</v>
      </c>
      <c r="C1696" t="n">
        <v>6</v>
      </c>
      <c r="D1696" t="n">
        <v>3</v>
      </c>
      <c r="E1696" t="s">
        <v>1707</v>
      </c>
      <c r="F1696" t="s"/>
      <c r="G1696" t="s"/>
      <c r="H1696" t="s"/>
      <c r="I1696" t="s"/>
      <c r="J1696" t="n">
        <v>-0.8591</v>
      </c>
      <c r="K1696" t="n">
        <v>0.213</v>
      </c>
      <c r="L1696" t="n">
        <v>0.787</v>
      </c>
      <c r="M1696" t="n">
        <v>0</v>
      </c>
    </row>
    <row r="1697" spans="1:13">
      <c r="A1697" s="1">
        <f>HYPERLINK("http://www.twitter.com/NathanBLawrence/status/993450078747574272", "993450078747574272")</f>
        <v/>
      </c>
      <c r="B1697" s="2" t="n">
        <v>43227.47141203703</v>
      </c>
      <c r="C1697" t="n">
        <v>0</v>
      </c>
      <c r="D1697" t="n">
        <v>718</v>
      </c>
      <c r="E1697" t="s">
        <v>1708</v>
      </c>
      <c r="F1697" t="s"/>
      <c r="G1697" t="s"/>
      <c r="H1697" t="s"/>
      <c r="I1697" t="s"/>
      <c r="J1697" t="n">
        <v>-0.2023</v>
      </c>
      <c r="K1697" t="n">
        <v>0.153</v>
      </c>
      <c r="L1697" t="n">
        <v>0.847</v>
      </c>
      <c r="M1697" t="n">
        <v>0</v>
      </c>
    </row>
    <row r="1698" spans="1:13">
      <c r="A1698" s="1">
        <f>HYPERLINK("http://www.twitter.com/NathanBLawrence/status/993449960363323392", "993449960363323392")</f>
        <v/>
      </c>
      <c r="B1698" s="2" t="n">
        <v>43227.47108796296</v>
      </c>
      <c r="C1698" t="n">
        <v>15</v>
      </c>
      <c r="D1698" t="n">
        <v>13</v>
      </c>
      <c r="E1698" t="s">
        <v>1709</v>
      </c>
      <c r="F1698" t="s"/>
      <c r="G1698" t="s"/>
      <c r="H1698" t="s"/>
      <c r="I1698" t="s"/>
      <c r="J1698" t="n">
        <v>-0.6908</v>
      </c>
      <c r="K1698" t="n">
        <v>0.143</v>
      </c>
      <c r="L1698" t="n">
        <v>0.8139999999999999</v>
      </c>
      <c r="M1698" t="n">
        <v>0.043</v>
      </c>
    </row>
    <row r="1699" spans="1:13">
      <c r="A1699" s="1">
        <f>HYPERLINK("http://www.twitter.com/NathanBLawrence/status/993449291334144000", "993449291334144000")</f>
        <v/>
      </c>
      <c r="B1699" s="2" t="n">
        <v>43227.46924768519</v>
      </c>
      <c r="C1699" t="n">
        <v>0</v>
      </c>
      <c r="D1699" t="n">
        <v>126</v>
      </c>
      <c r="E1699" t="s">
        <v>1710</v>
      </c>
      <c r="F1699" t="s"/>
      <c r="G1699" t="s"/>
      <c r="H1699" t="s"/>
      <c r="I1699" t="s"/>
      <c r="J1699" t="n">
        <v>-0.5719</v>
      </c>
      <c r="K1699" t="n">
        <v>0.222</v>
      </c>
      <c r="L1699" t="n">
        <v>0.778</v>
      </c>
      <c r="M1699" t="n">
        <v>0</v>
      </c>
    </row>
    <row r="1700" spans="1:13">
      <c r="A1700" s="1">
        <f>HYPERLINK("http://www.twitter.com/NathanBLawrence/status/993449001889415169", "993449001889415169")</f>
        <v/>
      </c>
      <c r="B1700" s="2" t="n">
        <v>43227.46844907408</v>
      </c>
      <c r="C1700" t="n">
        <v>0</v>
      </c>
      <c r="D1700" t="n">
        <v>168</v>
      </c>
      <c r="E1700" t="s">
        <v>1711</v>
      </c>
      <c r="F1700" t="s"/>
      <c r="G1700" t="s"/>
      <c r="H1700" t="s"/>
      <c r="I1700" t="s"/>
      <c r="J1700" t="n">
        <v>0.5927</v>
      </c>
      <c r="K1700" t="n">
        <v>0</v>
      </c>
      <c r="L1700" t="n">
        <v>0.728</v>
      </c>
      <c r="M1700" t="n">
        <v>0.272</v>
      </c>
    </row>
    <row r="1701" spans="1:13">
      <c r="A1701" s="1">
        <f>HYPERLINK("http://www.twitter.com/NathanBLawrence/status/993448937502605312", "993448937502605312")</f>
        <v/>
      </c>
      <c r="B1701" s="2" t="n">
        <v>43227.46826388889</v>
      </c>
      <c r="C1701" t="n">
        <v>4</v>
      </c>
      <c r="D1701" t="n">
        <v>2</v>
      </c>
      <c r="E1701" t="s">
        <v>1712</v>
      </c>
      <c r="F1701" t="s"/>
      <c r="G1701" t="s"/>
      <c r="H1701" t="s"/>
      <c r="I1701" t="s"/>
      <c r="J1701" t="n">
        <v>-0.5256</v>
      </c>
      <c r="K1701" t="n">
        <v>0.629</v>
      </c>
      <c r="L1701" t="n">
        <v>0.371</v>
      </c>
      <c r="M1701" t="n">
        <v>0</v>
      </c>
    </row>
    <row r="1702" spans="1:13">
      <c r="A1702" s="1">
        <f>HYPERLINK("http://www.twitter.com/NathanBLawrence/status/993448506814689280", "993448506814689280")</f>
        <v/>
      </c>
      <c r="B1702" s="2" t="n">
        <v>43227.46708333334</v>
      </c>
      <c r="C1702" t="n">
        <v>0</v>
      </c>
      <c r="D1702" t="n">
        <v>27</v>
      </c>
      <c r="E1702" t="s">
        <v>1713</v>
      </c>
      <c r="F1702">
        <f>HYPERLINK("http://pbs.twimg.com/media/DYl5pujUQAAvrKY.jpg", "http://pbs.twimg.com/media/DYl5pujUQAAvrKY.jpg")</f>
        <v/>
      </c>
      <c r="G1702" t="s"/>
      <c r="H1702" t="s"/>
      <c r="I1702" t="s"/>
      <c r="J1702" t="n">
        <v>-0.0772</v>
      </c>
      <c r="K1702" t="n">
        <v>0.164</v>
      </c>
      <c r="L1702" t="n">
        <v>0.6879999999999999</v>
      </c>
      <c r="M1702" t="n">
        <v>0.148</v>
      </c>
    </row>
    <row r="1703" spans="1:13">
      <c r="A1703" s="1">
        <f>HYPERLINK("http://www.twitter.com/NathanBLawrence/status/993448461797281793", "993448461797281793")</f>
        <v/>
      </c>
      <c r="B1703" s="2" t="n">
        <v>43227.46695601852</v>
      </c>
      <c r="C1703" t="n">
        <v>0</v>
      </c>
      <c r="D1703" t="n">
        <v>54</v>
      </c>
      <c r="E1703" t="s">
        <v>1714</v>
      </c>
      <c r="F1703" t="s"/>
      <c r="G1703" t="s"/>
      <c r="H1703" t="s"/>
      <c r="I1703" t="s"/>
      <c r="J1703" t="n">
        <v>-0.4019</v>
      </c>
      <c r="K1703" t="n">
        <v>0.172</v>
      </c>
      <c r="L1703" t="n">
        <v>0.828</v>
      </c>
      <c r="M1703" t="n">
        <v>0</v>
      </c>
    </row>
    <row r="1704" spans="1:13">
      <c r="A1704" s="1">
        <f>HYPERLINK("http://www.twitter.com/NathanBLawrence/status/993448304359882752", "993448304359882752")</f>
        <v/>
      </c>
      <c r="B1704" s="2" t="n">
        <v>43227.46651620371</v>
      </c>
      <c r="C1704" t="n">
        <v>0</v>
      </c>
      <c r="D1704" t="n">
        <v>4</v>
      </c>
      <c r="E1704" t="s">
        <v>1715</v>
      </c>
      <c r="F1704" t="s"/>
      <c r="G1704" t="s"/>
      <c r="H1704" t="s"/>
      <c r="I1704" t="s"/>
      <c r="J1704" t="n">
        <v>0.8074</v>
      </c>
      <c r="K1704" t="n">
        <v>0</v>
      </c>
      <c r="L1704" t="n">
        <v>0.722</v>
      </c>
      <c r="M1704" t="n">
        <v>0.278</v>
      </c>
    </row>
    <row r="1705" spans="1:13">
      <c r="A1705" s="1">
        <f>HYPERLINK("http://www.twitter.com/NathanBLawrence/status/993448102899011584", "993448102899011584")</f>
        <v/>
      </c>
      <c r="B1705" s="2" t="n">
        <v>43227.46596064815</v>
      </c>
      <c r="C1705" t="n">
        <v>0</v>
      </c>
      <c r="D1705" t="n">
        <v>1</v>
      </c>
      <c r="E1705" t="s">
        <v>1716</v>
      </c>
      <c r="F1705" t="s"/>
      <c r="G1705" t="s"/>
      <c r="H1705" t="s"/>
      <c r="I1705" t="s"/>
      <c r="J1705" t="n">
        <v>0.6486</v>
      </c>
      <c r="K1705" t="n">
        <v>0</v>
      </c>
      <c r="L1705" t="n">
        <v>0.751</v>
      </c>
      <c r="M1705" t="n">
        <v>0.249</v>
      </c>
    </row>
    <row r="1706" spans="1:13">
      <c r="A1706" s="1">
        <f>HYPERLINK("http://www.twitter.com/NathanBLawrence/status/993447986813255681", "993447986813255681")</f>
        <v/>
      </c>
      <c r="B1706" s="2" t="n">
        <v>43227.46564814815</v>
      </c>
      <c r="C1706" t="n">
        <v>0</v>
      </c>
      <c r="D1706" t="n">
        <v>277</v>
      </c>
      <c r="E1706" t="s">
        <v>1717</v>
      </c>
      <c r="F1706" t="s"/>
      <c r="G1706" t="s"/>
      <c r="H1706" t="s"/>
      <c r="I1706" t="s"/>
      <c r="J1706" t="n">
        <v>0.2732</v>
      </c>
      <c r="K1706" t="n">
        <v>0</v>
      </c>
      <c r="L1706" t="n">
        <v>0.87</v>
      </c>
      <c r="M1706" t="n">
        <v>0.13</v>
      </c>
    </row>
    <row r="1707" spans="1:13">
      <c r="A1707" s="1">
        <f>HYPERLINK("http://www.twitter.com/NathanBLawrence/status/993447858471776256", "993447858471776256")</f>
        <v/>
      </c>
      <c r="B1707" s="2" t="n">
        <v>43227.46528935185</v>
      </c>
      <c r="C1707" t="n">
        <v>3</v>
      </c>
      <c r="D1707" t="n">
        <v>0</v>
      </c>
      <c r="E1707" t="s">
        <v>1718</v>
      </c>
      <c r="F1707" t="s"/>
      <c r="G1707" t="s"/>
      <c r="H1707" t="s"/>
      <c r="I1707" t="s"/>
      <c r="J1707" t="n">
        <v>0.6988</v>
      </c>
      <c r="K1707" t="n">
        <v>0</v>
      </c>
      <c r="L1707" t="n">
        <v>0.8179999999999999</v>
      </c>
      <c r="M1707" t="n">
        <v>0.182</v>
      </c>
    </row>
    <row r="1708" spans="1:13">
      <c r="A1708" s="1">
        <f>HYPERLINK("http://www.twitter.com/NathanBLawrence/status/993447507249131520", "993447507249131520")</f>
        <v/>
      </c>
      <c r="B1708" s="2" t="n">
        <v>43227.46431712963</v>
      </c>
      <c r="C1708" t="n">
        <v>2</v>
      </c>
      <c r="D1708" t="n">
        <v>0</v>
      </c>
      <c r="E1708" t="s">
        <v>1719</v>
      </c>
      <c r="F1708" t="s"/>
      <c r="G1708" t="s"/>
      <c r="H1708" t="s"/>
      <c r="I1708" t="s"/>
      <c r="J1708" t="n">
        <v>0</v>
      </c>
      <c r="K1708" t="n">
        <v>0</v>
      </c>
      <c r="L1708" t="n">
        <v>1</v>
      </c>
      <c r="M1708" t="n">
        <v>0</v>
      </c>
    </row>
    <row r="1709" spans="1:13">
      <c r="A1709" s="1">
        <f>HYPERLINK("http://www.twitter.com/NathanBLawrence/status/993447293629087744", "993447293629087744")</f>
        <v/>
      </c>
      <c r="B1709" s="2" t="n">
        <v>43227.46372685185</v>
      </c>
      <c r="C1709" t="n">
        <v>0</v>
      </c>
      <c r="D1709" t="n">
        <v>527</v>
      </c>
      <c r="E1709" t="s">
        <v>1720</v>
      </c>
      <c r="F1709" t="s"/>
      <c r="G1709" t="s"/>
      <c r="H1709" t="s"/>
      <c r="I1709" t="s"/>
      <c r="J1709" t="n">
        <v>-0.5719</v>
      </c>
      <c r="K1709" t="n">
        <v>0.171</v>
      </c>
      <c r="L1709" t="n">
        <v>0.829</v>
      </c>
      <c r="M1709" t="n">
        <v>0</v>
      </c>
    </row>
    <row r="1710" spans="1:13">
      <c r="A1710" s="1">
        <f>HYPERLINK("http://www.twitter.com/NathanBLawrence/status/993446903630069760", "993446903630069760")</f>
        <v/>
      </c>
      <c r="B1710" s="2" t="n">
        <v>43227.46265046296</v>
      </c>
      <c r="C1710" t="n">
        <v>0</v>
      </c>
      <c r="D1710" t="n">
        <v>120</v>
      </c>
      <c r="E1710" t="s">
        <v>1721</v>
      </c>
      <c r="F1710" t="s"/>
      <c r="G1710" t="s"/>
      <c r="H1710" t="s"/>
      <c r="I1710" t="s"/>
      <c r="J1710" t="n">
        <v>-0.3818</v>
      </c>
      <c r="K1710" t="n">
        <v>0.167</v>
      </c>
      <c r="L1710" t="n">
        <v>0.833</v>
      </c>
      <c r="M1710" t="n">
        <v>0</v>
      </c>
    </row>
    <row r="1711" spans="1:13">
      <c r="A1711" s="1">
        <f>HYPERLINK("http://www.twitter.com/NathanBLawrence/status/993446779583582208", "993446779583582208")</f>
        <v/>
      </c>
      <c r="B1711" s="2" t="n">
        <v>43227.46231481482</v>
      </c>
      <c r="C1711" t="n">
        <v>0</v>
      </c>
      <c r="D1711" t="n">
        <v>838</v>
      </c>
      <c r="E1711" t="s">
        <v>1722</v>
      </c>
      <c r="F1711" t="s"/>
      <c r="G1711" t="s"/>
      <c r="H1711" t="s"/>
      <c r="I1711" t="s"/>
      <c r="J1711" t="n">
        <v>0</v>
      </c>
      <c r="K1711" t="n">
        <v>0</v>
      </c>
      <c r="L1711" t="n">
        <v>1</v>
      </c>
      <c r="M1711" t="n">
        <v>0</v>
      </c>
    </row>
    <row r="1712" spans="1:13">
      <c r="A1712" s="1">
        <f>HYPERLINK("http://www.twitter.com/NathanBLawrence/status/993446557428035587", "993446557428035587")</f>
        <v/>
      </c>
      <c r="B1712" s="2" t="n">
        <v>43227.46170138889</v>
      </c>
      <c r="C1712" t="n">
        <v>6</v>
      </c>
      <c r="D1712" t="n">
        <v>3</v>
      </c>
      <c r="E1712" t="s">
        <v>1723</v>
      </c>
      <c r="F1712" t="s"/>
      <c r="G1712" t="s"/>
      <c r="H1712" t="s"/>
      <c r="I1712" t="s"/>
      <c r="J1712" t="n">
        <v>0</v>
      </c>
      <c r="K1712" t="n">
        <v>0</v>
      </c>
      <c r="L1712" t="n">
        <v>1</v>
      </c>
      <c r="M1712" t="n">
        <v>0</v>
      </c>
    </row>
    <row r="1713" spans="1:13">
      <c r="A1713" s="1">
        <f>HYPERLINK("http://www.twitter.com/NathanBLawrence/status/993445266945593344", "993445266945593344")</f>
        <v/>
      </c>
      <c r="B1713" s="2" t="n">
        <v>43227.45813657407</v>
      </c>
      <c r="C1713" t="n">
        <v>3</v>
      </c>
      <c r="D1713" t="n">
        <v>0</v>
      </c>
      <c r="E1713" t="s">
        <v>1724</v>
      </c>
      <c r="F1713" t="s"/>
      <c r="G1713" t="s"/>
      <c r="H1713" t="s"/>
      <c r="I1713" t="s"/>
      <c r="J1713" t="n">
        <v>-0.9419</v>
      </c>
      <c r="K1713" t="n">
        <v>0.414</v>
      </c>
      <c r="L1713" t="n">
        <v>0.586</v>
      </c>
      <c r="M1713" t="n">
        <v>0</v>
      </c>
    </row>
    <row r="1714" spans="1:13">
      <c r="A1714" s="1">
        <f>HYPERLINK("http://www.twitter.com/NathanBLawrence/status/993444767924039681", "993444767924039681")</f>
        <v/>
      </c>
      <c r="B1714" s="2" t="n">
        <v>43227.45675925926</v>
      </c>
      <c r="C1714" t="n">
        <v>0</v>
      </c>
      <c r="D1714" t="n">
        <v>1197</v>
      </c>
      <c r="E1714" t="s">
        <v>1725</v>
      </c>
      <c r="F1714" t="s"/>
      <c r="G1714" t="s"/>
      <c r="H1714" t="s"/>
      <c r="I1714" t="s"/>
      <c r="J1714" t="n">
        <v>0</v>
      </c>
      <c r="K1714" t="n">
        <v>0</v>
      </c>
      <c r="L1714" t="n">
        <v>1</v>
      </c>
      <c r="M1714" t="n">
        <v>0</v>
      </c>
    </row>
    <row r="1715" spans="1:13">
      <c r="A1715" s="1">
        <f>HYPERLINK("http://www.twitter.com/NathanBLawrence/status/993443857642635265", "993443857642635265")</f>
        <v/>
      </c>
      <c r="B1715" s="2" t="n">
        <v>43227.45424768519</v>
      </c>
      <c r="C1715" t="n">
        <v>4</v>
      </c>
      <c r="D1715" t="n">
        <v>5</v>
      </c>
      <c r="E1715" t="s">
        <v>1726</v>
      </c>
      <c r="F1715" t="s"/>
      <c r="G1715" t="s"/>
      <c r="H1715" t="s"/>
      <c r="I1715" t="s"/>
      <c r="J1715" t="n">
        <v>0.3802</v>
      </c>
      <c r="K1715" t="n">
        <v>0.066</v>
      </c>
      <c r="L1715" t="n">
        <v>0.774</v>
      </c>
      <c r="M1715" t="n">
        <v>0.16</v>
      </c>
    </row>
    <row r="1716" spans="1:13">
      <c r="A1716" s="1">
        <f>HYPERLINK("http://www.twitter.com/NathanBLawrence/status/993442739055292421", "993442739055292421")</f>
        <v/>
      </c>
      <c r="B1716" s="2" t="n">
        <v>43227.45115740741</v>
      </c>
      <c r="C1716" t="n">
        <v>3</v>
      </c>
      <c r="D1716" t="n">
        <v>2</v>
      </c>
      <c r="E1716" t="s">
        <v>1727</v>
      </c>
      <c r="F1716" t="s"/>
      <c r="G1716" t="s"/>
      <c r="H1716" t="s"/>
      <c r="I1716" t="s"/>
      <c r="J1716" t="n">
        <v>0</v>
      </c>
      <c r="K1716" t="n">
        <v>0</v>
      </c>
      <c r="L1716" t="n">
        <v>1</v>
      </c>
      <c r="M1716" t="n">
        <v>0</v>
      </c>
    </row>
    <row r="1717" spans="1:13">
      <c r="A1717" s="1">
        <f>HYPERLINK("http://www.twitter.com/NathanBLawrence/status/993442027042885632", "993442027042885632")</f>
        <v/>
      </c>
      <c r="B1717" s="2" t="n">
        <v>43227.44920138889</v>
      </c>
      <c r="C1717" t="n">
        <v>3</v>
      </c>
      <c r="D1717" t="n">
        <v>2</v>
      </c>
      <c r="E1717" t="s">
        <v>1728</v>
      </c>
      <c r="F1717" t="s"/>
      <c r="G1717" t="s"/>
      <c r="H1717" t="s"/>
      <c r="I1717" t="s"/>
      <c r="J1717" t="n">
        <v>-0.1007</v>
      </c>
      <c r="K1717" t="n">
        <v>0.168</v>
      </c>
      <c r="L1717" t="n">
        <v>0.6879999999999999</v>
      </c>
      <c r="M1717" t="n">
        <v>0.144</v>
      </c>
    </row>
    <row r="1718" spans="1:13">
      <c r="A1718" s="1">
        <f>HYPERLINK("http://www.twitter.com/NathanBLawrence/status/993440791019241473", "993440791019241473")</f>
        <v/>
      </c>
      <c r="B1718" s="2" t="n">
        <v>43227.44578703704</v>
      </c>
      <c r="C1718" t="n">
        <v>6</v>
      </c>
      <c r="D1718" t="n">
        <v>2</v>
      </c>
      <c r="E1718" t="s">
        <v>1729</v>
      </c>
      <c r="F1718" t="s"/>
      <c r="G1718" t="s"/>
      <c r="H1718" t="s"/>
      <c r="I1718" t="s"/>
      <c r="J1718" t="n">
        <v>0.4404</v>
      </c>
      <c r="K1718" t="n">
        <v>0</v>
      </c>
      <c r="L1718" t="n">
        <v>0.805</v>
      </c>
      <c r="M1718" t="n">
        <v>0.195</v>
      </c>
    </row>
    <row r="1719" spans="1:13">
      <c r="A1719" s="1">
        <f>HYPERLINK("http://www.twitter.com/NathanBLawrence/status/993440660924452864", "993440660924452864")</f>
        <v/>
      </c>
      <c r="B1719" s="2" t="n">
        <v>43227.44542824074</v>
      </c>
      <c r="C1719" t="n">
        <v>6</v>
      </c>
      <c r="D1719" t="n">
        <v>3</v>
      </c>
      <c r="E1719" t="s">
        <v>1730</v>
      </c>
      <c r="F1719" t="s"/>
      <c r="G1719" t="s"/>
      <c r="H1719" t="s"/>
      <c r="I1719" t="s"/>
      <c r="J1719" t="n">
        <v>-0.6887</v>
      </c>
      <c r="K1719" t="n">
        <v>0.156</v>
      </c>
      <c r="L1719" t="n">
        <v>0.773</v>
      </c>
      <c r="M1719" t="n">
        <v>0.07000000000000001</v>
      </c>
    </row>
    <row r="1720" spans="1:13">
      <c r="A1720" s="1">
        <f>HYPERLINK("http://www.twitter.com/NathanBLawrence/status/993440288336109569", "993440288336109569")</f>
        <v/>
      </c>
      <c r="B1720" s="2" t="n">
        <v>43227.44439814815</v>
      </c>
      <c r="C1720" t="n">
        <v>11</v>
      </c>
      <c r="D1720" t="n">
        <v>15</v>
      </c>
      <c r="E1720" t="s">
        <v>1731</v>
      </c>
      <c r="F1720" t="s"/>
      <c r="G1720" t="s"/>
      <c r="H1720" t="s"/>
      <c r="I1720" t="s"/>
      <c r="J1720" t="n">
        <v>0.9324</v>
      </c>
      <c r="K1720" t="n">
        <v>0.046</v>
      </c>
      <c r="L1720" t="n">
        <v>0.623</v>
      </c>
      <c r="M1720" t="n">
        <v>0.331</v>
      </c>
    </row>
    <row r="1721" spans="1:13">
      <c r="A1721" s="1">
        <f>HYPERLINK("http://www.twitter.com/NathanBLawrence/status/993440084702605313", "993440084702605313")</f>
        <v/>
      </c>
      <c r="B1721" s="2" t="n">
        <v>43227.44384259259</v>
      </c>
      <c r="C1721" t="n">
        <v>7</v>
      </c>
      <c r="D1721" t="n">
        <v>3</v>
      </c>
      <c r="E1721" t="s">
        <v>1732</v>
      </c>
      <c r="F1721" t="s"/>
      <c r="G1721" t="s"/>
      <c r="H1721" t="s"/>
      <c r="I1721" t="s"/>
      <c r="J1721" t="n">
        <v>0.2023</v>
      </c>
      <c r="K1721" t="n">
        <v>0</v>
      </c>
      <c r="L1721" t="n">
        <v>0.859</v>
      </c>
      <c r="M1721" t="n">
        <v>0.141</v>
      </c>
    </row>
    <row r="1722" spans="1:13">
      <c r="A1722" s="1">
        <f>HYPERLINK("http://www.twitter.com/NathanBLawrence/status/993438590922211329", "993438590922211329")</f>
        <v/>
      </c>
      <c r="B1722" s="2" t="n">
        <v>43227.43971064815</v>
      </c>
      <c r="C1722" t="n">
        <v>8</v>
      </c>
      <c r="D1722" t="n">
        <v>1</v>
      </c>
      <c r="E1722" t="s">
        <v>1733</v>
      </c>
      <c r="F1722" t="s"/>
      <c r="G1722" t="s"/>
      <c r="H1722" t="s"/>
      <c r="I1722" t="s"/>
      <c r="J1722" t="n">
        <v>-0.1531</v>
      </c>
      <c r="K1722" t="n">
        <v>0.202</v>
      </c>
      <c r="L1722" t="n">
        <v>0.673</v>
      </c>
      <c r="M1722" t="n">
        <v>0.125</v>
      </c>
    </row>
    <row r="1723" spans="1:13">
      <c r="A1723" s="1">
        <f>HYPERLINK("http://www.twitter.com/NathanBLawrence/status/993438369353945088", "993438369353945088")</f>
        <v/>
      </c>
      <c r="B1723" s="2" t="n">
        <v>43227.43910879629</v>
      </c>
      <c r="C1723" t="n">
        <v>2</v>
      </c>
      <c r="D1723" t="n">
        <v>1</v>
      </c>
      <c r="E1723" t="s">
        <v>1734</v>
      </c>
      <c r="F1723" t="s"/>
      <c r="G1723" t="s"/>
      <c r="H1723" t="s"/>
      <c r="I1723" t="s"/>
      <c r="J1723" t="n">
        <v>-0.4767</v>
      </c>
      <c r="K1723" t="n">
        <v>0.162</v>
      </c>
      <c r="L1723" t="n">
        <v>0.838</v>
      </c>
      <c r="M1723" t="n">
        <v>0</v>
      </c>
    </row>
    <row r="1724" spans="1:13">
      <c r="A1724" s="1">
        <f>HYPERLINK("http://www.twitter.com/NathanBLawrence/status/993437628379807745", "993437628379807745")</f>
        <v/>
      </c>
      <c r="B1724" s="2" t="n">
        <v>43227.43706018518</v>
      </c>
      <c r="C1724" t="n">
        <v>5</v>
      </c>
      <c r="D1724" t="n">
        <v>1</v>
      </c>
      <c r="E1724" t="s">
        <v>1735</v>
      </c>
      <c r="F1724" t="s"/>
      <c r="G1724" t="s"/>
      <c r="H1724" t="s"/>
      <c r="I1724" t="s"/>
      <c r="J1724" t="n">
        <v>-0.5859</v>
      </c>
      <c r="K1724" t="n">
        <v>0.255</v>
      </c>
      <c r="L1724" t="n">
        <v>0.745</v>
      </c>
      <c r="M1724" t="n">
        <v>0</v>
      </c>
    </row>
    <row r="1725" spans="1:13">
      <c r="A1725" s="1">
        <f>HYPERLINK("http://www.twitter.com/NathanBLawrence/status/993437144168321024", "993437144168321024")</f>
        <v/>
      </c>
      <c r="B1725" s="2" t="n">
        <v>43227.43571759259</v>
      </c>
      <c r="C1725" t="n">
        <v>0</v>
      </c>
      <c r="D1725" t="n">
        <v>335</v>
      </c>
      <c r="E1725" t="s">
        <v>1736</v>
      </c>
      <c r="F1725" t="s"/>
      <c r="G1725" t="s"/>
      <c r="H1725" t="s"/>
      <c r="I1725" t="s"/>
      <c r="J1725" t="n">
        <v>-0.3182</v>
      </c>
      <c r="K1725" t="n">
        <v>0.126</v>
      </c>
      <c r="L1725" t="n">
        <v>0.874</v>
      </c>
      <c r="M1725" t="n">
        <v>0</v>
      </c>
    </row>
    <row r="1726" spans="1:13">
      <c r="A1726" s="1">
        <f>HYPERLINK("http://www.twitter.com/NathanBLawrence/status/993436870129303553", "993436870129303553")</f>
        <v/>
      </c>
      <c r="B1726" s="2" t="n">
        <v>43227.43496527777</v>
      </c>
      <c r="C1726" t="n">
        <v>7</v>
      </c>
      <c r="D1726" t="n">
        <v>3</v>
      </c>
      <c r="E1726" t="s">
        <v>1737</v>
      </c>
      <c r="F1726" t="s"/>
      <c r="G1726" t="s"/>
      <c r="H1726" t="s"/>
      <c r="I1726" t="s"/>
      <c r="J1726" t="n">
        <v>0.4199</v>
      </c>
      <c r="K1726" t="n">
        <v>0</v>
      </c>
      <c r="L1726" t="n">
        <v>0.417</v>
      </c>
      <c r="M1726" t="n">
        <v>0.583</v>
      </c>
    </row>
    <row r="1727" spans="1:13">
      <c r="A1727" s="1">
        <f>HYPERLINK("http://www.twitter.com/NathanBLawrence/status/993436736679170049", "993436736679170049")</f>
        <v/>
      </c>
      <c r="B1727" s="2" t="n">
        <v>43227.4345949074</v>
      </c>
      <c r="C1727" t="n">
        <v>4</v>
      </c>
      <c r="D1727" t="n">
        <v>1</v>
      </c>
      <c r="E1727" t="s">
        <v>1738</v>
      </c>
      <c r="F1727" t="s"/>
      <c r="G1727" t="s"/>
      <c r="H1727" t="s"/>
      <c r="I1727" t="s"/>
      <c r="J1727" t="n">
        <v>0</v>
      </c>
      <c r="K1727" t="n">
        <v>0</v>
      </c>
      <c r="L1727" t="n">
        <v>1</v>
      </c>
      <c r="M1727" t="n">
        <v>0</v>
      </c>
    </row>
    <row r="1728" spans="1:13">
      <c r="A1728" s="1">
        <f>HYPERLINK("http://www.twitter.com/NathanBLawrence/status/993436474052825089", "993436474052825089")</f>
        <v/>
      </c>
      <c r="B1728" s="2" t="n">
        <v>43227.43387731481</v>
      </c>
      <c r="C1728" t="n">
        <v>3</v>
      </c>
      <c r="D1728" t="n">
        <v>0</v>
      </c>
      <c r="E1728" t="s">
        <v>1739</v>
      </c>
      <c r="F1728" t="s"/>
      <c r="G1728" t="s"/>
      <c r="H1728" t="s"/>
      <c r="I1728" t="s"/>
      <c r="J1728" t="n">
        <v>0</v>
      </c>
      <c r="K1728" t="n">
        <v>0</v>
      </c>
      <c r="L1728" t="n">
        <v>1</v>
      </c>
      <c r="M1728" t="n">
        <v>0</v>
      </c>
    </row>
    <row r="1729" spans="1:13">
      <c r="A1729" s="1">
        <f>HYPERLINK("http://www.twitter.com/NathanBLawrence/status/993436385079050240", "993436385079050240")</f>
        <v/>
      </c>
      <c r="B1729" s="2" t="n">
        <v>43227.43363425926</v>
      </c>
      <c r="C1729" t="n">
        <v>4</v>
      </c>
      <c r="D1729" t="n">
        <v>2</v>
      </c>
      <c r="E1729" t="s">
        <v>1740</v>
      </c>
      <c r="F1729" t="s"/>
      <c r="G1729" t="s"/>
      <c r="H1729" t="s"/>
      <c r="I1729" t="s"/>
      <c r="J1729" t="n">
        <v>0.3182</v>
      </c>
      <c r="K1729" t="n">
        <v>0</v>
      </c>
      <c r="L1729" t="n">
        <v>0.839</v>
      </c>
      <c r="M1729" t="n">
        <v>0.161</v>
      </c>
    </row>
    <row r="1730" spans="1:13">
      <c r="A1730" s="1">
        <f>HYPERLINK("http://www.twitter.com/NathanBLawrence/status/993436224839823361", "993436224839823361")</f>
        <v/>
      </c>
      <c r="B1730" s="2" t="n">
        <v>43227.43318287037</v>
      </c>
      <c r="C1730" t="n">
        <v>0</v>
      </c>
      <c r="D1730" t="n">
        <v>883</v>
      </c>
      <c r="E1730" t="s">
        <v>1741</v>
      </c>
      <c r="F1730" t="s"/>
      <c r="G1730" t="s"/>
      <c r="H1730" t="s"/>
      <c r="I1730" t="s"/>
      <c r="J1730" t="n">
        <v>-0.8658</v>
      </c>
      <c r="K1730" t="n">
        <v>0.33</v>
      </c>
      <c r="L1730" t="n">
        <v>0.627</v>
      </c>
      <c r="M1730" t="n">
        <v>0.043</v>
      </c>
    </row>
    <row r="1731" spans="1:13">
      <c r="A1731" s="1">
        <f>HYPERLINK("http://www.twitter.com/NathanBLawrence/status/993436129905991681", "993436129905991681")</f>
        <v/>
      </c>
      <c r="B1731" s="2" t="n">
        <v>43227.43292824074</v>
      </c>
      <c r="C1731" t="n">
        <v>7</v>
      </c>
      <c r="D1731" t="n">
        <v>2</v>
      </c>
      <c r="E1731" t="s">
        <v>1742</v>
      </c>
      <c r="F1731" t="s"/>
      <c r="G1731" t="s"/>
      <c r="H1731" t="s"/>
      <c r="I1731" t="s"/>
      <c r="J1731" t="n">
        <v>-0.4826</v>
      </c>
      <c r="K1731" t="n">
        <v>0.304</v>
      </c>
      <c r="L1731" t="n">
        <v>0.488</v>
      </c>
      <c r="M1731" t="n">
        <v>0.208</v>
      </c>
    </row>
    <row r="1732" spans="1:13">
      <c r="A1732" s="1">
        <f>HYPERLINK("http://www.twitter.com/NathanBLawrence/status/993435730914394113", "993435730914394113")</f>
        <v/>
      </c>
      <c r="B1732" s="2" t="n">
        <v>43227.4318287037</v>
      </c>
      <c r="C1732" t="n">
        <v>0</v>
      </c>
      <c r="D1732" t="n">
        <v>14737</v>
      </c>
      <c r="E1732" t="s">
        <v>1743</v>
      </c>
      <c r="F1732" t="s"/>
      <c r="G1732" t="s"/>
      <c r="H1732" t="s"/>
      <c r="I1732" t="s"/>
      <c r="J1732" t="n">
        <v>-0.6124000000000001</v>
      </c>
      <c r="K1732" t="n">
        <v>0.182</v>
      </c>
      <c r="L1732" t="n">
        <v>0.763</v>
      </c>
      <c r="M1732" t="n">
        <v>0.055</v>
      </c>
    </row>
    <row r="1733" spans="1:13">
      <c r="A1733" s="1">
        <f>HYPERLINK("http://www.twitter.com/NathanBLawrence/status/993435657648287745", "993435657648287745")</f>
        <v/>
      </c>
      <c r="B1733" s="2" t="n">
        <v>43227.43162037037</v>
      </c>
      <c r="C1733" t="n">
        <v>0</v>
      </c>
      <c r="D1733" t="n">
        <v>189</v>
      </c>
      <c r="E1733" t="s">
        <v>1744</v>
      </c>
      <c r="F1733">
        <f>HYPERLINK("http://pbs.twimg.com/media/DckC5eQUwAAXfaC.jpg", "http://pbs.twimg.com/media/DckC5eQUwAAXfaC.jpg")</f>
        <v/>
      </c>
      <c r="G1733">
        <f>HYPERLINK("http://pbs.twimg.com/media/DckC5fEVMAA39a2.jpg", "http://pbs.twimg.com/media/DckC5fEVMAA39a2.jpg")</f>
        <v/>
      </c>
      <c r="H1733" t="s"/>
      <c r="I1733" t="s"/>
      <c r="J1733" t="n">
        <v>0</v>
      </c>
      <c r="K1733" t="n">
        <v>0</v>
      </c>
      <c r="L1733" t="n">
        <v>1</v>
      </c>
      <c r="M1733" t="n">
        <v>0</v>
      </c>
    </row>
    <row r="1734" spans="1:13">
      <c r="A1734" s="1">
        <f>HYPERLINK("http://www.twitter.com/NathanBLawrence/status/993435588505124864", "993435588505124864")</f>
        <v/>
      </c>
      <c r="B1734" s="2" t="n">
        <v>43227.43143518519</v>
      </c>
      <c r="C1734" t="n">
        <v>0</v>
      </c>
      <c r="D1734" t="n">
        <v>2714</v>
      </c>
      <c r="E1734" t="s">
        <v>1745</v>
      </c>
      <c r="F1734">
        <f>HYPERLINK("http://pbs.twimg.com/media/DchyDoUVMAAFToA.jpg", "http://pbs.twimg.com/media/DchyDoUVMAAFToA.jpg")</f>
        <v/>
      </c>
      <c r="G1734" t="s"/>
      <c r="H1734" t="s"/>
      <c r="I1734" t="s"/>
      <c r="J1734" t="n">
        <v>-0.9001</v>
      </c>
      <c r="K1734" t="n">
        <v>0.411</v>
      </c>
      <c r="L1734" t="n">
        <v>0.482</v>
      </c>
      <c r="M1734" t="n">
        <v>0.107</v>
      </c>
    </row>
    <row r="1735" spans="1:13">
      <c r="A1735" s="1">
        <f>HYPERLINK("http://www.twitter.com/NathanBLawrence/status/993434684234199041", "993434684234199041")</f>
        <v/>
      </c>
      <c r="B1735" s="2" t="n">
        <v>43227.42893518518</v>
      </c>
      <c r="C1735" t="n">
        <v>0</v>
      </c>
      <c r="D1735" t="n">
        <v>3099</v>
      </c>
      <c r="E1735" t="s">
        <v>1746</v>
      </c>
      <c r="F1735">
        <f>HYPERLINK("https://video.twimg.com/amplify_video/993218212274683904/vid/1280x720/hrGP2Qoxe2TGpKa-.mp4?tag=2", "https://video.twimg.com/amplify_video/993218212274683904/vid/1280x720/hrGP2Qoxe2TGpKa-.mp4?tag=2")</f>
        <v/>
      </c>
      <c r="G1735" t="s"/>
      <c r="H1735" t="s"/>
      <c r="I1735" t="s"/>
      <c r="J1735" t="n">
        <v>0.5719</v>
      </c>
      <c r="K1735" t="n">
        <v>0</v>
      </c>
      <c r="L1735" t="n">
        <v>0.824</v>
      </c>
      <c r="M1735" t="n">
        <v>0.176</v>
      </c>
    </row>
    <row r="1736" spans="1:13">
      <c r="A1736" s="1">
        <f>HYPERLINK("http://www.twitter.com/NathanBLawrence/status/993434593645637638", "993434593645637638")</f>
        <v/>
      </c>
      <c r="B1736" s="2" t="n">
        <v>43227.42868055555</v>
      </c>
      <c r="C1736" t="n">
        <v>0</v>
      </c>
      <c r="D1736" t="n">
        <v>1207</v>
      </c>
      <c r="E1736" t="s">
        <v>1747</v>
      </c>
      <c r="F1736" t="s"/>
      <c r="G1736" t="s"/>
      <c r="H1736" t="s"/>
      <c r="I1736" t="s"/>
      <c r="J1736" t="n">
        <v>0</v>
      </c>
      <c r="K1736" t="n">
        <v>0</v>
      </c>
      <c r="L1736" t="n">
        <v>1</v>
      </c>
      <c r="M1736" t="n">
        <v>0</v>
      </c>
    </row>
    <row r="1737" spans="1:13">
      <c r="A1737" s="1">
        <f>HYPERLINK("http://www.twitter.com/NathanBLawrence/status/993434532496855040", "993434532496855040")</f>
        <v/>
      </c>
      <c r="B1737" s="2" t="n">
        <v>43227.42851851852</v>
      </c>
      <c r="C1737" t="n">
        <v>7</v>
      </c>
      <c r="D1737" t="n">
        <v>4</v>
      </c>
      <c r="E1737" t="s">
        <v>1748</v>
      </c>
      <c r="F1737" t="s"/>
      <c r="G1737" t="s"/>
      <c r="H1737" t="s"/>
      <c r="I1737" t="s"/>
      <c r="J1737" t="n">
        <v>0</v>
      </c>
      <c r="K1737" t="n">
        <v>0</v>
      </c>
      <c r="L1737" t="n">
        <v>1</v>
      </c>
      <c r="M1737" t="n">
        <v>0</v>
      </c>
    </row>
    <row r="1738" spans="1:13">
      <c r="A1738" s="1">
        <f>HYPERLINK("http://www.twitter.com/NathanBLawrence/status/993434312832765952", "993434312832765952")</f>
        <v/>
      </c>
      <c r="B1738" s="2" t="n">
        <v>43227.42790509259</v>
      </c>
      <c r="C1738" t="n">
        <v>0</v>
      </c>
      <c r="D1738" t="n">
        <v>0</v>
      </c>
      <c r="E1738" t="s">
        <v>1749</v>
      </c>
      <c r="F1738" t="s"/>
      <c r="G1738" t="s"/>
      <c r="H1738" t="s"/>
      <c r="I1738" t="s"/>
      <c r="J1738" t="n">
        <v>-0.8689</v>
      </c>
      <c r="K1738" t="n">
        <v>0.253</v>
      </c>
      <c r="L1738" t="n">
        <v>0.747</v>
      </c>
      <c r="M1738" t="n">
        <v>0</v>
      </c>
    </row>
    <row r="1739" spans="1:13">
      <c r="A1739" s="1">
        <f>HYPERLINK("http://www.twitter.com/NathanBLawrence/status/993433601403371522", "993433601403371522")</f>
        <v/>
      </c>
      <c r="B1739" s="2" t="n">
        <v>43227.42594907407</v>
      </c>
      <c r="C1739" t="n">
        <v>0</v>
      </c>
      <c r="D1739" t="n">
        <v>0</v>
      </c>
      <c r="E1739" t="s">
        <v>1750</v>
      </c>
      <c r="F1739" t="s"/>
      <c r="G1739" t="s"/>
      <c r="H1739" t="s"/>
      <c r="I1739" t="s"/>
      <c r="J1739" t="n">
        <v>-0.8617</v>
      </c>
      <c r="K1739" t="n">
        <v>0.235</v>
      </c>
      <c r="L1739" t="n">
        <v>0.64</v>
      </c>
      <c r="M1739" t="n">
        <v>0.125</v>
      </c>
    </row>
    <row r="1740" spans="1:13">
      <c r="A1740" s="1">
        <f>HYPERLINK("http://www.twitter.com/NathanBLawrence/status/993432894373675008", "993432894373675008")</f>
        <v/>
      </c>
      <c r="B1740" s="2" t="n">
        <v>43227.42399305556</v>
      </c>
      <c r="C1740" t="n">
        <v>0</v>
      </c>
      <c r="D1740" t="n">
        <v>0</v>
      </c>
      <c r="E1740" t="s">
        <v>1751</v>
      </c>
      <c r="F1740" t="s"/>
      <c r="G1740" t="s"/>
      <c r="H1740" t="s"/>
      <c r="I1740" t="s"/>
      <c r="J1740" t="n">
        <v>-0.5859</v>
      </c>
      <c r="K1740" t="n">
        <v>0.186</v>
      </c>
      <c r="L1740" t="n">
        <v>0.8139999999999999</v>
      </c>
      <c r="M1740" t="n">
        <v>0</v>
      </c>
    </row>
    <row r="1741" spans="1:13">
      <c r="A1741" s="1">
        <f>HYPERLINK("http://www.twitter.com/NathanBLawrence/status/993432640593084416", "993432640593084416")</f>
        <v/>
      </c>
      <c r="B1741" s="2" t="n">
        <v>43227.42329861111</v>
      </c>
      <c r="C1741" t="n">
        <v>20</v>
      </c>
      <c r="D1741" t="n">
        <v>5</v>
      </c>
      <c r="E1741" t="s">
        <v>1752</v>
      </c>
      <c r="F1741" t="s"/>
      <c r="G1741" t="s"/>
      <c r="H1741" t="s"/>
      <c r="I1741" t="s"/>
      <c r="J1741" t="n">
        <v>-0.6511</v>
      </c>
      <c r="K1741" t="n">
        <v>0.189</v>
      </c>
      <c r="L1741" t="n">
        <v>0.746</v>
      </c>
      <c r="M1741" t="n">
        <v>0.065</v>
      </c>
    </row>
    <row r="1742" spans="1:13">
      <c r="A1742" s="1">
        <f>HYPERLINK("http://www.twitter.com/NathanBLawrence/status/993431615509413888", "993431615509413888")</f>
        <v/>
      </c>
      <c r="B1742" s="2" t="n">
        <v>43227.42046296296</v>
      </c>
      <c r="C1742" t="n">
        <v>6</v>
      </c>
      <c r="D1742" t="n">
        <v>6</v>
      </c>
      <c r="E1742" t="s">
        <v>1753</v>
      </c>
      <c r="F1742" t="s"/>
      <c r="G1742" t="s"/>
      <c r="H1742" t="s"/>
      <c r="I1742" t="s"/>
      <c r="J1742" t="n">
        <v>-0.7125</v>
      </c>
      <c r="K1742" t="n">
        <v>0.275</v>
      </c>
      <c r="L1742" t="n">
        <v>0.725</v>
      </c>
      <c r="M1742" t="n">
        <v>0</v>
      </c>
    </row>
    <row r="1743" spans="1:13">
      <c r="A1743" s="1">
        <f>HYPERLINK("http://www.twitter.com/NathanBLawrence/status/993431227838296064", "993431227838296064")</f>
        <v/>
      </c>
      <c r="B1743" s="2" t="n">
        <v>43227.41939814815</v>
      </c>
      <c r="C1743" t="n">
        <v>6</v>
      </c>
      <c r="D1743" t="n">
        <v>1</v>
      </c>
      <c r="E1743" t="s">
        <v>1754</v>
      </c>
      <c r="F1743" t="s"/>
      <c r="G1743" t="s"/>
      <c r="H1743" t="s"/>
      <c r="I1743" t="s"/>
      <c r="J1743" t="n">
        <v>-0.6249</v>
      </c>
      <c r="K1743" t="n">
        <v>0.466</v>
      </c>
      <c r="L1743" t="n">
        <v>0.534</v>
      </c>
      <c r="M1743" t="n">
        <v>0</v>
      </c>
    </row>
    <row r="1744" spans="1:13">
      <c r="A1744" s="1">
        <f>HYPERLINK("http://www.twitter.com/NathanBLawrence/status/993430013826416640", "993430013826416640")</f>
        <v/>
      </c>
      <c r="B1744" s="2" t="n">
        <v>43227.41604166666</v>
      </c>
      <c r="C1744" t="n">
        <v>0</v>
      </c>
      <c r="D1744" t="n">
        <v>0</v>
      </c>
      <c r="E1744" t="s">
        <v>1755</v>
      </c>
      <c r="F1744" t="s"/>
      <c r="G1744" t="s"/>
      <c r="H1744" t="s"/>
      <c r="I1744" t="s"/>
      <c r="J1744" t="n">
        <v>-0.3725</v>
      </c>
      <c r="K1744" t="n">
        <v>0.218</v>
      </c>
      <c r="L1744" t="n">
        <v>0.646</v>
      </c>
      <c r="M1744" t="n">
        <v>0.136</v>
      </c>
    </row>
    <row r="1745" spans="1:13">
      <c r="A1745" s="1">
        <f>HYPERLINK("http://www.twitter.com/NathanBLawrence/status/993429210042531840", "993429210042531840")</f>
        <v/>
      </c>
      <c r="B1745" s="2" t="n">
        <v>43227.41383101852</v>
      </c>
      <c r="C1745" t="n">
        <v>3</v>
      </c>
      <c r="D1745" t="n">
        <v>2</v>
      </c>
      <c r="E1745" t="s">
        <v>1756</v>
      </c>
      <c r="F1745" t="s"/>
      <c r="G1745" t="s"/>
      <c r="H1745" t="s"/>
      <c r="I1745" t="s"/>
      <c r="J1745" t="n">
        <v>-0.0258</v>
      </c>
      <c r="K1745" t="n">
        <v>0.168</v>
      </c>
      <c r="L1745" t="n">
        <v>0.671</v>
      </c>
      <c r="M1745" t="n">
        <v>0.161</v>
      </c>
    </row>
    <row r="1746" spans="1:13">
      <c r="A1746" s="1">
        <f>HYPERLINK("http://www.twitter.com/NathanBLawrence/status/993429126097743872", "993429126097743872")</f>
        <v/>
      </c>
      <c r="B1746" s="2" t="n">
        <v>43227.41359953704</v>
      </c>
      <c r="C1746" t="n">
        <v>0</v>
      </c>
      <c r="D1746" t="n">
        <v>613</v>
      </c>
      <c r="E1746" t="s">
        <v>1757</v>
      </c>
      <c r="F1746" t="s"/>
      <c r="G1746" t="s"/>
      <c r="H1746" t="s"/>
      <c r="I1746" t="s"/>
      <c r="J1746" t="n">
        <v>-0.0258</v>
      </c>
      <c r="K1746" t="n">
        <v>0.148</v>
      </c>
      <c r="L1746" t="n">
        <v>0.71</v>
      </c>
      <c r="M1746" t="n">
        <v>0.142</v>
      </c>
    </row>
    <row r="1747" spans="1:13">
      <c r="A1747" s="1">
        <f>HYPERLINK("http://www.twitter.com/NathanBLawrence/status/993428691794345986", "993428691794345986")</f>
        <v/>
      </c>
      <c r="B1747" s="2" t="n">
        <v>43227.41239583334</v>
      </c>
      <c r="C1747" t="n">
        <v>3</v>
      </c>
      <c r="D1747" t="n">
        <v>1</v>
      </c>
      <c r="E1747" t="s">
        <v>1758</v>
      </c>
      <c r="F1747" t="s"/>
      <c r="G1747" t="s"/>
      <c r="H1747" t="s"/>
      <c r="I1747" t="s"/>
      <c r="J1747" t="n">
        <v>0.8433</v>
      </c>
      <c r="K1747" t="n">
        <v>0</v>
      </c>
      <c r="L1747" t="n">
        <v>0.331</v>
      </c>
      <c r="M1747" t="n">
        <v>0.669</v>
      </c>
    </row>
    <row r="1748" spans="1:13">
      <c r="A1748" s="1">
        <f>HYPERLINK("http://www.twitter.com/NathanBLawrence/status/993428429511929856", "993428429511929856")</f>
        <v/>
      </c>
      <c r="B1748" s="2" t="n">
        <v>43227.41167824074</v>
      </c>
      <c r="C1748" t="n">
        <v>0</v>
      </c>
      <c r="D1748" t="n">
        <v>1242</v>
      </c>
      <c r="E1748" t="s">
        <v>1759</v>
      </c>
      <c r="F1748" t="s"/>
      <c r="G1748" t="s"/>
      <c r="H1748" t="s"/>
      <c r="I1748" t="s"/>
      <c r="J1748" t="n">
        <v>-0.3612</v>
      </c>
      <c r="K1748" t="n">
        <v>0.14</v>
      </c>
      <c r="L1748" t="n">
        <v>0.786</v>
      </c>
      <c r="M1748" t="n">
        <v>0.074</v>
      </c>
    </row>
    <row r="1749" spans="1:13">
      <c r="A1749" s="1">
        <f>HYPERLINK("http://www.twitter.com/NathanBLawrence/status/993428314525057024", "993428314525057024")</f>
        <v/>
      </c>
      <c r="B1749" s="2" t="n">
        <v>43227.41135416667</v>
      </c>
      <c r="C1749" t="n">
        <v>0</v>
      </c>
      <c r="D1749" t="n">
        <v>133</v>
      </c>
      <c r="E1749" t="s">
        <v>1760</v>
      </c>
      <c r="F1749" t="s"/>
      <c r="G1749" t="s"/>
      <c r="H1749" t="s"/>
      <c r="I1749" t="s"/>
      <c r="J1749" t="n">
        <v>-0.4824</v>
      </c>
      <c r="K1749" t="n">
        <v>0.148</v>
      </c>
      <c r="L1749" t="n">
        <v>0.852</v>
      </c>
      <c r="M1749" t="n">
        <v>0</v>
      </c>
    </row>
    <row r="1750" spans="1:13">
      <c r="A1750" s="1">
        <f>HYPERLINK("http://www.twitter.com/NathanBLawrence/status/993426640087670784", "993426640087670784")</f>
        <v/>
      </c>
      <c r="B1750" s="2" t="n">
        <v>43227.40673611111</v>
      </c>
      <c r="C1750" t="n">
        <v>0</v>
      </c>
      <c r="D1750" t="n">
        <v>3</v>
      </c>
      <c r="E1750" t="s">
        <v>1761</v>
      </c>
      <c r="F1750" t="s"/>
      <c r="G1750" t="s"/>
      <c r="H1750" t="s"/>
      <c r="I1750" t="s"/>
      <c r="J1750" t="n">
        <v>0.607</v>
      </c>
      <c r="K1750" t="n">
        <v>0.126</v>
      </c>
      <c r="L1750" t="n">
        <v>0.619</v>
      </c>
      <c r="M1750" t="n">
        <v>0.255</v>
      </c>
    </row>
    <row r="1751" spans="1:13">
      <c r="A1751" s="1">
        <f>HYPERLINK("http://www.twitter.com/NathanBLawrence/status/993426182409404416", "993426182409404416")</f>
        <v/>
      </c>
      <c r="B1751" s="2" t="n">
        <v>43227.40547453704</v>
      </c>
      <c r="C1751" t="n">
        <v>4</v>
      </c>
      <c r="D1751" t="n">
        <v>1</v>
      </c>
      <c r="E1751" t="s">
        <v>1762</v>
      </c>
      <c r="F1751" t="s"/>
      <c r="G1751" t="s"/>
      <c r="H1751" t="s"/>
      <c r="I1751" t="s"/>
      <c r="J1751" t="n">
        <v>-0.5514</v>
      </c>
      <c r="K1751" t="n">
        <v>0.209</v>
      </c>
      <c r="L1751" t="n">
        <v>0.701</v>
      </c>
      <c r="M1751" t="n">
        <v>0.09</v>
      </c>
    </row>
    <row r="1752" spans="1:13">
      <c r="A1752" s="1">
        <f>HYPERLINK("http://www.twitter.com/NathanBLawrence/status/993425760818872320", "993425760818872320")</f>
        <v/>
      </c>
      <c r="B1752" s="2" t="n">
        <v>43227.40430555555</v>
      </c>
      <c r="C1752" t="n">
        <v>0</v>
      </c>
      <c r="D1752" t="n">
        <v>80</v>
      </c>
      <c r="E1752" t="s">
        <v>1763</v>
      </c>
      <c r="F1752" t="s"/>
      <c r="G1752" t="s"/>
      <c r="H1752" t="s"/>
      <c r="I1752" t="s"/>
      <c r="J1752" t="n">
        <v>0.4588</v>
      </c>
      <c r="K1752" t="n">
        <v>0</v>
      </c>
      <c r="L1752" t="n">
        <v>0.88</v>
      </c>
      <c r="M1752" t="n">
        <v>0.12</v>
      </c>
    </row>
    <row r="1753" spans="1:13">
      <c r="A1753" s="1">
        <f>HYPERLINK("http://www.twitter.com/NathanBLawrence/status/993424419237150720", "993424419237150720")</f>
        <v/>
      </c>
      <c r="B1753" s="2" t="n">
        <v>43227.40061342593</v>
      </c>
      <c r="C1753" t="n">
        <v>0</v>
      </c>
      <c r="D1753" t="n">
        <v>1986</v>
      </c>
      <c r="E1753" t="s">
        <v>1764</v>
      </c>
      <c r="F1753" t="s"/>
      <c r="G1753" t="s"/>
      <c r="H1753" t="s"/>
      <c r="I1753" t="s"/>
      <c r="J1753" t="n">
        <v>0</v>
      </c>
      <c r="K1753" t="n">
        <v>0</v>
      </c>
      <c r="L1753" t="n">
        <v>1</v>
      </c>
      <c r="M1753" t="n">
        <v>0</v>
      </c>
    </row>
    <row r="1754" spans="1:13">
      <c r="A1754" s="1">
        <f>HYPERLINK("http://www.twitter.com/NathanBLawrence/status/993424317068132357", "993424317068132357")</f>
        <v/>
      </c>
      <c r="B1754" s="2" t="n">
        <v>43227.40032407407</v>
      </c>
      <c r="C1754" t="n">
        <v>4</v>
      </c>
      <c r="D1754" t="n">
        <v>1</v>
      </c>
      <c r="E1754" t="s">
        <v>1765</v>
      </c>
      <c r="F1754" t="s"/>
      <c r="G1754" t="s"/>
      <c r="H1754" t="s"/>
      <c r="I1754" t="s"/>
      <c r="J1754" t="n">
        <v>-0.628</v>
      </c>
      <c r="K1754" t="n">
        <v>0.265</v>
      </c>
      <c r="L1754" t="n">
        <v>0.658</v>
      </c>
      <c r="M1754" t="n">
        <v>0.078</v>
      </c>
    </row>
    <row r="1755" spans="1:13">
      <c r="A1755" s="1">
        <f>HYPERLINK("http://www.twitter.com/NathanBLawrence/status/993423961290518528", "993423961290518528")</f>
        <v/>
      </c>
      <c r="B1755" s="2" t="n">
        <v>43227.39934027778</v>
      </c>
      <c r="C1755" t="n">
        <v>0</v>
      </c>
      <c r="D1755" t="n">
        <v>3</v>
      </c>
      <c r="E1755" t="s">
        <v>1766</v>
      </c>
      <c r="F1755">
        <f>HYPERLINK("http://pbs.twimg.com/media/DckZXWuXcAAzNJ-.jpg", "http://pbs.twimg.com/media/DckZXWuXcAAzNJ-.jpg")</f>
        <v/>
      </c>
      <c r="G1755" t="s"/>
      <c r="H1755" t="s"/>
      <c r="I1755" t="s"/>
      <c r="J1755" t="n">
        <v>0.5859</v>
      </c>
      <c r="K1755" t="n">
        <v>0</v>
      </c>
      <c r="L1755" t="n">
        <v>0.798</v>
      </c>
      <c r="M1755" t="n">
        <v>0.202</v>
      </c>
    </row>
    <row r="1756" spans="1:13">
      <c r="A1756" s="1">
        <f>HYPERLINK("http://www.twitter.com/NathanBLawrence/status/993423906189885440", "993423906189885440")</f>
        <v/>
      </c>
      <c r="B1756" s="2" t="n">
        <v>43227.39918981482</v>
      </c>
      <c r="C1756" t="n">
        <v>0</v>
      </c>
      <c r="D1756" t="n">
        <v>1786</v>
      </c>
      <c r="E1756" t="s">
        <v>1767</v>
      </c>
      <c r="F1756" t="s"/>
      <c r="G1756" t="s"/>
      <c r="H1756" t="s"/>
      <c r="I1756" t="s"/>
      <c r="J1756" t="n">
        <v>0</v>
      </c>
      <c r="K1756" t="n">
        <v>0</v>
      </c>
      <c r="L1756" t="n">
        <v>1</v>
      </c>
      <c r="M1756" t="n">
        <v>0</v>
      </c>
    </row>
    <row r="1757" spans="1:13">
      <c r="A1757" s="1">
        <f>HYPERLINK("http://www.twitter.com/NathanBLawrence/status/993423849529098241", "993423849529098241")</f>
        <v/>
      </c>
      <c r="B1757" s="2" t="n">
        <v>43227.39903935185</v>
      </c>
      <c r="C1757" t="n">
        <v>3</v>
      </c>
      <c r="D1757" t="n">
        <v>1</v>
      </c>
      <c r="E1757" t="s">
        <v>1768</v>
      </c>
      <c r="F1757" t="s"/>
      <c r="G1757" t="s"/>
      <c r="H1757" t="s"/>
      <c r="I1757" t="s"/>
      <c r="J1757" t="n">
        <v>0.3182</v>
      </c>
      <c r="K1757" t="n">
        <v>0</v>
      </c>
      <c r="L1757" t="n">
        <v>0.5659999999999999</v>
      </c>
      <c r="M1757" t="n">
        <v>0.434</v>
      </c>
    </row>
    <row r="1758" spans="1:13">
      <c r="A1758" s="1">
        <f>HYPERLINK("http://www.twitter.com/NathanBLawrence/status/993423680976764929", "993423680976764929")</f>
        <v/>
      </c>
      <c r="B1758" s="2" t="n">
        <v>43227.39857638889</v>
      </c>
      <c r="C1758" t="n">
        <v>0</v>
      </c>
      <c r="D1758" t="n">
        <v>132</v>
      </c>
      <c r="E1758" t="s">
        <v>1769</v>
      </c>
      <c r="F1758" t="s"/>
      <c r="G1758" t="s"/>
      <c r="H1758" t="s"/>
      <c r="I1758" t="s"/>
      <c r="J1758" t="n">
        <v>-0.8401999999999999</v>
      </c>
      <c r="K1758" t="n">
        <v>0.458</v>
      </c>
      <c r="L1758" t="n">
        <v>0.542</v>
      </c>
      <c r="M1758" t="n">
        <v>0</v>
      </c>
    </row>
    <row r="1759" spans="1:13">
      <c r="A1759" s="1">
        <f>HYPERLINK("http://www.twitter.com/NathanBLawrence/status/993423626354343939", "993423626354343939")</f>
        <v/>
      </c>
      <c r="B1759" s="2" t="n">
        <v>43227.39842592592</v>
      </c>
      <c r="C1759" t="n">
        <v>0</v>
      </c>
      <c r="D1759" t="n">
        <v>3370</v>
      </c>
      <c r="E1759" t="s">
        <v>1770</v>
      </c>
      <c r="F1759">
        <f>HYPERLINK("http://pbs.twimg.com/media/DcjBM3fVwAAHKaP.jpg", "http://pbs.twimg.com/media/DcjBM3fVwAAHKaP.jpg")</f>
        <v/>
      </c>
      <c r="G1759" t="s"/>
      <c r="H1759" t="s"/>
      <c r="I1759" t="s"/>
      <c r="J1759" t="n">
        <v>0.6369</v>
      </c>
      <c r="K1759" t="n">
        <v>0</v>
      </c>
      <c r="L1759" t="n">
        <v>0.833</v>
      </c>
      <c r="M1759" t="n">
        <v>0.167</v>
      </c>
    </row>
    <row r="1760" spans="1:13">
      <c r="A1760" s="1">
        <f>HYPERLINK("http://www.twitter.com/NathanBLawrence/status/993423390366027781", "993423390366027781")</f>
        <v/>
      </c>
      <c r="B1760" s="2" t="n">
        <v>43227.39776620371</v>
      </c>
      <c r="C1760" t="n">
        <v>4</v>
      </c>
      <c r="D1760" t="n">
        <v>5</v>
      </c>
      <c r="E1760" t="s">
        <v>1771</v>
      </c>
      <c r="F1760" t="s"/>
      <c r="G1760" t="s"/>
      <c r="H1760" t="s"/>
      <c r="I1760" t="s"/>
      <c r="J1760" t="n">
        <v>-0.8143</v>
      </c>
      <c r="K1760" t="n">
        <v>0.376</v>
      </c>
      <c r="L1760" t="n">
        <v>0.624</v>
      </c>
      <c r="M1760" t="n">
        <v>0</v>
      </c>
    </row>
    <row r="1761" spans="1:13">
      <c r="A1761" s="1">
        <f>HYPERLINK("http://www.twitter.com/NathanBLawrence/status/993354312964165632", "993354312964165632")</f>
        <v/>
      </c>
      <c r="B1761" s="2" t="n">
        <v>43227.20715277778</v>
      </c>
      <c r="C1761" t="n">
        <v>0</v>
      </c>
      <c r="D1761" t="n">
        <v>21</v>
      </c>
      <c r="E1761" t="s">
        <v>1772</v>
      </c>
      <c r="F1761" t="s"/>
      <c r="G1761" t="s"/>
      <c r="H1761" t="s"/>
      <c r="I1761" t="s"/>
      <c r="J1761" t="n">
        <v>0.8478</v>
      </c>
      <c r="K1761" t="n">
        <v>0</v>
      </c>
      <c r="L1761" t="n">
        <v>0.55</v>
      </c>
      <c r="M1761" t="n">
        <v>0.45</v>
      </c>
    </row>
    <row r="1762" spans="1:13">
      <c r="A1762" s="1">
        <f>HYPERLINK("http://www.twitter.com/NathanBLawrence/status/993354251630919682", "993354251630919682")</f>
        <v/>
      </c>
      <c r="B1762" s="2" t="n">
        <v>43227.20697916667</v>
      </c>
      <c r="C1762" t="n">
        <v>0</v>
      </c>
      <c r="D1762" t="n">
        <v>276</v>
      </c>
      <c r="E1762" t="s">
        <v>1773</v>
      </c>
      <c r="F1762">
        <f>HYPERLINK("http://pbs.twimg.com/media/DcjGN2zUwAEJc_n.jpg", "http://pbs.twimg.com/media/DcjGN2zUwAEJc_n.jpg")</f>
        <v/>
      </c>
      <c r="G1762" t="s"/>
      <c r="H1762" t="s"/>
      <c r="I1762" t="s"/>
      <c r="J1762" t="n">
        <v>-0.5562</v>
      </c>
      <c r="K1762" t="n">
        <v>0.183</v>
      </c>
      <c r="L1762" t="n">
        <v>0.8169999999999999</v>
      </c>
      <c r="M1762" t="n">
        <v>0</v>
      </c>
    </row>
    <row r="1763" spans="1:13">
      <c r="A1763" s="1">
        <f>HYPERLINK("http://www.twitter.com/NathanBLawrence/status/993353968179806214", "993353968179806214")</f>
        <v/>
      </c>
      <c r="B1763" s="2" t="n">
        <v>43227.2062037037</v>
      </c>
      <c r="C1763" t="n">
        <v>2</v>
      </c>
      <c r="D1763" t="n">
        <v>1</v>
      </c>
      <c r="E1763" t="s">
        <v>1774</v>
      </c>
      <c r="F1763" t="s"/>
      <c r="G1763" t="s"/>
      <c r="H1763" t="s"/>
      <c r="I1763" t="s"/>
      <c r="J1763" t="n">
        <v>0</v>
      </c>
      <c r="K1763" t="n">
        <v>0</v>
      </c>
      <c r="L1763" t="n">
        <v>1</v>
      </c>
      <c r="M1763" t="n">
        <v>0</v>
      </c>
    </row>
    <row r="1764" spans="1:13">
      <c r="A1764" s="1">
        <f>HYPERLINK("http://www.twitter.com/NathanBLawrence/status/993353730371174401", "993353730371174401")</f>
        <v/>
      </c>
      <c r="B1764" s="2" t="n">
        <v>43227.20554398148</v>
      </c>
      <c r="C1764" t="n">
        <v>0</v>
      </c>
      <c r="D1764" t="n">
        <v>1941</v>
      </c>
      <c r="E1764" t="s">
        <v>1775</v>
      </c>
      <c r="F1764" t="s"/>
      <c r="G1764" t="s"/>
      <c r="H1764" t="s"/>
      <c r="I1764" t="s"/>
      <c r="J1764" t="n">
        <v>-0.0516</v>
      </c>
      <c r="K1764" t="n">
        <v>0.078</v>
      </c>
      <c r="L1764" t="n">
        <v>0.851</v>
      </c>
      <c r="M1764" t="n">
        <v>0.07099999999999999</v>
      </c>
    </row>
    <row r="1765" spans="1:13">
      <c r="A1765" s="1">
        <f>HYPERLINK("http://www.twitter.com/NathanBLawrence/status/993353526972633088", "993353526972633088")</f>
        <v/>
      </c>
      <c r="B1765" s="2" t="n">
        <v>43227.20498842592</v>
      </c>
      <c r="C1765" t="n">
        <v>0</v>
      </c>
      <c r="D1765" t="n">
        <v>27</v>
      </c>
      <c r="E1765" t="s">
        <v>1776</v>
      </c>
      <c r="F1765" t="s"/>
      <c r="G1765" t="s"/>
      <c r="H1765" t="s"/>
      <c r="I1765" t="s"/>
      <c r="J1765" t="n">
        <v>0.4939</v>
      </c>
      <c r="K1765" t="n">
        <v>0</v>
      </c>
      <c r="L1765" t="n">
        <v>0.819</v>
      </c>
      <c r="M1765" t="n">
        <v>0.181</v>
      </c>
    </row>
    <row r="1766" spans="1:13">
      <c r="A1766" s="1">
        <f>HYPERLINK("http://www.twitter.com/NathanBLawrence/status/993353432403603456", "993353432403603456")</f>
        <v/>
      </c>
      <c r="B1766" s="2" t="n">
        <v>43227.20472222222</v>
      </c>
      <c r="C1766" t="n">
        <v>0</v>
      </c>
      <c r="D1766" t="n">
        <v>79</v>
      </c>
      <c r="E1766" t="s">
        <v>1777</v>
      </c>
      <c r="F1766">
        <f>HYPERLINK("http://pbs.twimg.com/media/Dcd1hYEWkAA57rX.jpg", "http://pbs.twimg.com/media/Dcd1hYEWkAA57rX.jpg")</f>
        <v/>
      </c>
      <c r="G1766">
        <f>HYPERLINK("http://pbs.twimg.com/media/Dcd1hYHX0AI5TSd.jpg", "http://pbs.twimg.com/media/Dcd1hYHX0AI5TSd.jpg")</f>
        <v/>
      </c>
      <c r="H1766">
        <f>HYPERLINK("http://pbs.twimg.com/media/Dcd1hYAX4AIxU5C.jpg", "http://pbs.twimg.com/media/Dcd1hYAX4AIxU5C.jpg")</f>
        <v/>
      </c>
      <c r="I1766">
        <f>HYPERLINK("http://pbs.twimg.com/media/Dcd1hYEWsAULhvr.jpg", "http://pbs.twimg.com/media/Dcd1hYEWsAULhvr.jpg")</f>
        <v/>
      </c>
      <c r="J1766" t="n">
        <v>0.7783</v>
      </c>
      <c r="K1766" t="n">
        <v>0.073</v>
      </c>
      <c r="L1766" t="n">
        <v>0.629</v>
      </c>
      <c r="M1766" t="n">
        <v>0.298</v>
      </c>
    </row>
    <row r="1767" spans="1:13">
      <c r="A1767" s="1">
        <f>HYPERLINK("http://www.twitter.com/NathanBLawrence/status/993353228082278400", "993353228082278400")</f>
        <v/>
      </c>
      <c r="B1767" s="2" t="n">
        <v>43227.20415509259</v>
      </c>
      <c r="C1767" t="n">
        <v>0</v>
      </c>
      <c r="D1767" t="n">
        <v>1874</v>
      </c>
      <c r="E1767" t="s">
        <v>1778</v>
      </c>
      <c r="F1767" t="s"/>
      <c r="G1767" t="s"/>
      <c r="H1767" t="s"/>
      <c r="I1767" t="s"/>
      <c r="J1767" t="n">
        <v>0.2263</v>
      </c>
      <c r="K1767" t="n">
        <v>0.093</v>
      </c>
      <c r="L1767" t="n">
        <v>0.778</v>
      </c>
      <c r="M1767" t="n">
        <v>0.128</v>
      </c>
    </row>
    <row r="1768" spans="1:13">
      <c r="A1768" s="1">
        <f>HYPERLINK("http://www.twitter.com/NathanBLawrence/status/993349600525172736", "993349600525172736")</f>
        <v/>
      </c>
      <c r="B1768" s="2" t="n">
        <v>43227.19414351852</v>
      </c>
      <c r="C1768" t="n">
        <v>12</v>
      </c>
      <c r="D1768" t="n">
        <v>11</v>
      </c>
      <c r="E1768" t="s">
        <v>1779</v>
      </c>
      <c r="F1768" t="s"/>
      <c r="G1768" t="s"/>
      <c r="H1768" t="s"/>
      <c r="I1768" t="s"/>
      <c r="J1768" t="n">
        <v>0.4404</v>
      </c>
      <c r="K1768" t="n">
        <v>0</v>
      </c>
      <c r="L1768" t="n">
        <v>0.9379999999999999</v>
      </c>
      <c r="M1768" t="n">
        <v>0.062</v>
      </c>
    </row>
    <row r="1769" spans="1:13">
      <c r="A1769" s="1">
        <f>HYPERLINK("http://www.twitter.com/NathanBLawrence/status/993348385125031936", "993348385125031936")</f>
        <v/>
      </c>
      <c r="B1769" s="2" t="n">
        <v>43227.19079861111</v>
      </c>
      <c r="C1769" t="n">
        <v>6</v>
      </c>
      <c r="D1769" t="n">
        <v>1</v>
      </c>
      <c r="E1769" t="s">
        <v>1780</v>
      </c>
      <c r="F1769" t="s"/>
      <c r="G1769" t="s"/>
      <c r="H1769" t="s"/>
      <c r="I1769" t="s"/>
      <c r="J1769" t="n">
        <v>0.4404</v>
      </c>
      <c r="K1769" t="n">
        <v>0</v>
      </c>
      <c r="L1769" t="n">
        <v>0.756</v>
      </c>
      <c r="M1769" t="n">
        <v>0.244</v>
      </c>
    </row>
    <row r="1770" spans="1:13">
      <c r="A1770" s="1">
        <f>HYPERLINK("http://www.twitter.com/NathanBLawrence/status/993348070732517376", "993348070732517376")</f>
        <v/>
      </c>
      <c r="B1770" s="2" t="n">
        <v>43227.18993055556</v>
      </c>
      <c r="C1770" t="n">
        <v>3</v>
      </c>
      <c r="D1770" t="n">
        <v>5</v>
      </c>
      <c r="E1770" t="s">
        <v>1781</v>
      </c>
      <c r="F1770" t="s"/>
      <c r="G1770" t="s"/>
      <c r="H1770" t="s"/>
      <c r="I1770" t="s"/>
      <c r="J1770" t="n">
        <v>0</v>
      </c>
      <c r="K1770" t="n">
        <v>0</v>
      </c>
      <c r="L1770" t="n">
        <v>1</v>
      </c>
      <c r="M1770" t="n">
        <v>0</v>
      </c>
    </row>
    <row r="1771" spans="1:13">
      <c r="A1771" s="1">
        <f>HYPERLINK("http://www.twitter.com/NathanBLawrence/status/993347887135244288", "993347887135244288")</f>
        <v/>
      </c>
      <c r="B1771" s="2" t="n">
        <v>43227.18942129629</v>
      </c>
      <c r="C1771" t="n">
        <v>6</v>
      </c>
      <c r="D1771" t="n">
        <v>4</v>
      </c>
      <c r="E1771" t="s">
        <v>1782</v>
      </c>
      <c r="F1771" t="s"/>
      <c r="G1771" t="s"/>
      <c r="H1771" t="s"/>
      <c r="I1771" t="s"/>
      <c r="J1771" t="n">
        <v>0.34</v>
      </c>
      <c r="K1771" t="n">
        <v>0</v>
      </c>
      <c r="L1771" t="n">
        <v>0.876</v>
      </c>
      <c r="M1771" t="n">
        <v>0.124</v>
      </c>
    </row>
    <row r="1772" spans="1:13">
      <c r="A1772" s="1">
        <f>HYPERLINK("http://www.twitter.com/NathanBLawrence/status/993347287647580160", "993347287647580160")</f>
        <v/>
      </c>
      <c r="B1772" s="2" t="n">
        <v>43227.1877662037</v>
      </c>
      <c r="C1772" t="n">
        <v>12</v>
      </c>
      <c r="D1772" t="n">
        <v>11</v>
      </c>
      <c r="E1772" t="s">
        <v>1783</v>
      </c>
      <c r="F1772" t="s"/>
      <c r="G1772" t="s"/>
      <c r="H1772" t="s"/>
      <c r="I1772" t="s"/>
      <c r="J1772" t="n">
        <v>0</v>
      </c>
      <c r="K1772" t="n">
        <v>0</v>
      </c>
      <c r="L1772" t="n">
        <v>1</v>
      </c>
      <c r="M1772" t="n">
        <v>0</v>
      </c>
    </row>
    <row r="1773" spans="1:13">
      <c r="A1773" s="1">
        <f>HYPERLINK("http://www.twitter.com/NathanBLawrence/status/993346487584096256", "993346487584096256")</f>
        <v/>
      </c>
      <c r="B1773" s="2" t="n">
        <v>43227.18555555555</v>
      </c>
      <c r="C1773" t="n">
        <v>0</v>
      </c>
      <c r="D1773" t="n">
        <v>19</v>
      </c>
      <c r="E1773" t="s">
        <v>1784</v>
      </c>
      <c r="F1773">
        <f>HYPERLINK("http://pbs.twimg.com/media/DcjyFqOU8AAfu7U.jpg", "http://pbs.twimg.com/media/DcjyFqOU8AAfu7U.jpg")</f>
        <v/>
      </c>
      <c r="G1773" t="s"/>
      <c r="H1773" t="s"/>
      <c r="I1773" t="s"/>
      <c r="J1773" t="n">
        <v>-0.34</v>
      </c>
      <c r="K1773" t="n">
        <v>0.094</v>
      </c>
      <c r="L1773" t="n">
        <v>0.906</v>
      </c>
      <c r="M1773" t="n">
        <v>0</v>
      </c>
    </row>
    <row r="1774" spans="1:13">
      <c r="A1774" s="1">
        <f>HYPERLINK("http://www.twitter.com/NathanBLawrence/status/993346352082964480", "993346352082964480")</f>
        <v/>
      </c>
      <c r="B1774" s="2" t="n">
        <v>43227.18518518518</v>
      </c>
      <c r="C1774" t="n">
        <v>0</v>
      </c>
      <c r="D1774" t="n">
        <v>4</v>
      </c>
      <c r="E1774" t="s">
        <v>1785</v>
      </c>
      <c r="F1774" t="s"/>
      <c r="G1774" t="s"/>
      <c r="H1774" t="s"/>
      <c r="I1774" t="s"/>
      <c r="J1774" t="n">
        <v>0</v>
      </c>
      <c r="K1774" t="n">
        <v>0</v>
      </c>
      <c r="L1774" t="n">
        <v>1</v>
      </c>
      <c r="M1774" t="n">
        <v>0</v>
      </c>
    </row>
    <row r="1775" spans="1:13">
      <c r="A1775" s="1">
        <f>HYPERLINK("http://www.twitter.com/NathanBLawrence/status/993346244616437761", "993346244616437761")</f>
        <v/>
      </c>
      <c r="B1775" s="2" t="n">
        <v>43227.18488425926</v>
      </c>
      <c r="C1775" t="n">
        <v>11</v>
      </c>
      <c r="D1775" t="n">
        <v>7</v>
      </c>
      <c r="E1775" t="s">
        <v>1786</v>
      </c>
      <c r="F1775" t="s"/>
      <c r="G1775" t="s"/>
      <c r="H1775" t="s"/>
      <c r="I1775" t="s"/>
      <c r="J1775" t="n">
        <v>0</v>
      </c>
      <c r="K1775" t="n">
        <v>0</v>
      </c>
      <c r="L1775" t="n">
        <v>1</v>
      </c>
      <c r="M1775" t="n">
        <v>0</v>
      </c>
    </row>
    <row r="1776" spans="1:13">
      <c r="A1776" s="1">
        <f>HYPERLINK("http://www.twitter.com/NathanBLawrence/status/993346017075445760", "993346017075445760")</f>
        <v/>
      </c>
      <c r="B1776" s="2" t="n">
        <v>43227.18425925926</v>
      </c>
      <c r="C1776" t="n">
        <v>0</v>
      </c>
      <c r="D1776" t="n">
        <v>678</v>
      </c>
      <c r="E1776" t="s">
        <v>1787</v>
      </c>
      <c r="F1776">
        <f>HYPERLINK("http://pbs.twimg.com/media/DcjXiL3X4AAcW4k.jpg", "http://pbs.twimg.com/media/DcjXiL3X4AAcW4k.jpg")</f>
        <v/>
      </c>
      <c r="G1776" t="s"/>
      <c r="H1776" t="s"/>
      <c r="I1776" t="s"/>
      <c r="J1776" t="n">
        <v>-0.7088</v>
      </c>
      <c r="K1776" t="n">
        <v>0.273</v>
      </c>
      <c r="L1776" t="n">
        <v>0.727</v>
      </c>
      <c r="M1776" t="n">
        <v>0</v>
      </c>
    </row>
    <row r="1777" spans="1:13">
      <c r="A1777" s="1">
        <f>HYPERLINK("http://www.twitter.com/NathanBLawrence/status/993345965141577728", "993345965141577728")</f>
        <v/>
      </c>
      <c r="B1777" s="2" t="n">
        <v>43227.18412037037</v>
      </c>
      <c r="C1777" t="n">
        <v>0</v>
      </c>
      <c r="D1777" t="n">
        <v>5120</v>
      </c>
      <c r="E1777" t="s">
        <v>1788</v>
      </c>
      <c r="F1777">
        <f>HYPERLINK("http://pbs.twimg.com/media/DcJhumYWAAA-frb.jpg", "http://pbs.twimg.com/media/DcJhumYWAAA-frb.jpg")</f>
        <v/>
      </c>
      <c r="G1777" t="s"/>
      <c r="H1777" t="s"/>
      <c r="I1777" t="s"/>
      <c r="J1777" t="n">
        <v>-0.871</v>
      </c>
      <c r="K1777" t="n">
        <v>0.388</v>
      </c>
      <c r="L1777" t="n">
        <v>0.612</v>
      </c>
      <c r="M1777" t="n">
        <v>0</v>
      </c>
    </row>
    <row r="1778" spans="1:13">
      <c r="A1778" s="1">
        <f>HYPERLINK("http://www.twitter.com/NathanBLawrence/status/993345894614552576", "993345894614552576")</f>
        <v/>
      </c>
      <c r="B1778" s="2" t="n">
        <v>43227.18392361111</v>
      </c>
      <c r="C1778" t="n">
        <v>0</v>
      </c>
      <c r="D1778" t="n">
        <v>36</v>
      </c>
      <c r="E1778" t="s">
        <v>1789</v>
      </c>
      <c r="F1778">
        <f>HYPERLINK("http://pbs.twimg.com/media/Dcik95EVQAAW6oT.jpg", "http://pbs.twimg.com/media/Dcik95EVQAAW6oT.jpg")</f>
        <v/>
      </c>
      <c r="G1778" t="s"/>
      <c r="H1778" t="s"/>
      <c r="I1778" t="s"/>
      <c r="J1778" t="n">
        <v>-0.296</v>
      </c>
      <c r="K1778" t="n">
        <v>0.099</v>
      </c>
      <c r="L1778" t="n">
        <v>0.901</v>
      </c>
      <c r="M1778" t="n">
        <v>0</v>
      </c>
    </row>
    <row r="1779" spans="1:13">
      <c r="A1779" s="1">
        <f>HYPERLINK("http://www.twitter.com/NathanBLawrence/status/993345740494684160", "993345740494684160")</f>
        <v/>
      </c>
      <c r="B1779" s="2" t="n">
        <v>43227.18349537037</v>
      </c>
      <c r="C1779" t="n">
        <v>0</v>
      </c>
      <c r="D1779" t="n">
        <v>2533</v>
      </c>
      <c r="E1779" t="s">
        <v>1790</v>
      </c>
      <c r="F1779">
        <f>HYPERLINK("https://video.twimg.com/amplify_video/993126471811194880/vid/1280x720/PtlGqeIoKp48_x60.mp4?tag=2", "https://video.twimg.com/amplify_video/993126471811194880/vid/1280x720/PtlGqeIoKp48_x60.mp4?tag=2")</f>
        <v/>
      </c>
      <c r="G1779" t="s"/>
      <c r="H1779" t="s"/>
      <c r="I1779" t="s"/>
      <c r="J1779" t="n">
        <v>-0.2263</v>
      </c>
      <c r="K1779" t="n">
        <v>0.08599999999999999</v>
      </c>
      <c r="L1779" t="n">
        <v>0.863</v>
      </c>
      <c r="M1779" t="n">
        <v>0.051</v>
      </c>
    </row>
    <row r="1780" spans="1:13">
      <c r="A1780" s="1">
        <f>HYPERLINK("http://www.twitter.com/NathanBLawrence/status/993345671368327169", "993345671368327169")</f>
        <v/>
      </c>
      <c r="B1780" s="2" t="n">
        <v>43227.18331018519</v>
      </c>
      <c r="C1780" t="n">
        <v>0</v>
      </c>
      <c r="D1780" t="n">
        <v>4</v>
      </c>
      <c r="E1780" t="s">
        <v>1791</v>
      </c>
      <c r="F1780" t="s"/>
      <c r="G1780" t="s"/>
      <c r="H1780" t="s"/>
      <c r="I1780" t="s"/>
      <c r="J1780" t="n">
        <v>0.0688</v>
      </c>
      <c r="K1780" t="n">
        <v>0.163</v>
      </c>
      <c r="L1780" t="n">
        <v>0.666</v>
      </c>
      <c r="M1780" t="n">
        <v>0.171</v>
      </c>
    </row>
    <row r="1781" spans="1:13">
      <c r="A1781" s="1">
        <f>HYPERLINK("http://www.twitter.com/NathanBLawrence/status/993345495165632512", "993345495165632512")</f>
        <v/>
      </c>
      <c r="B1781" s="2" t="n">
        <v>43227.18282407407</v>
      </c>
      <c r="C1781" t="n">
        <v>0</v>
      </c>
      <c r="D1781" t="n">
        <v>23</v>
      </c>
      <c r="E1781" t="s">
        <v>1792</v>
      </c>
      <c r="F1781">
        <f>HYPERLINK("http://pbs.twimg.com/media/DckKU4mUwAEdHIk.jpg", "http://pbs.twimg.com/media/DckKU4mUwAEdHIk.jpg")</f>
        <v/>
      </c>
      <c r="G1781" t="s"/>
      <c r="H1781" t="s"/>
      <c r="I1781" t="s"/>
      <c r="J1781" t="n">
        <v>0.9540999999999999</v>
      </c>
      <c r="K1781" t="n">
        <v>0</v>
      </c>
      <c r="L1781" t="n">
        <v>0.415</v>
      </c>
      <c r="M1781" t="n">
        <v>0.585</v>
      </c>
    </row>
    <row r="1782" spans="1:13">
      <c r="A1782" s="1">
        <f>HYPERLINK("http://www.twitter.com/NathanBLawrence/status/993345352110493696", "993345352110493696")</f>
        <v/>
      </c>
      <c r="B1782" s="2" t="n">
        <v>43227.18243055556</v>
      </c>
      <c r="C1782" t="n">
        <v>0</v>
      </c>
      <c r="D1782" t="n">
        <v>2710</v>
      </c>
      <c r="E1782" t="s">
        <v>1793</v>
      </c>
      <c r="F1782" t="s"/>
      <c r="G1782" t="s"/>
      <c r="H1782" t="s"/>
      <c r="I1782" t="s"/>
      <c r="J1782" t="n">
        <v>0.4941</v>
      </c>
      <c r="K1782" t="n">
        <v>0.077</v>
      </c>
      <c r="L1782" t="n">
        <v>0.774</v>
      </c>
      <c r="M1782" t="n">
        <v>0.148</v>
      </c>
    </row>
    <row r="1783" spans="1:13">
      <c r="A1783" s="1">
        <f>HYPERLINK("http://www.twitter.com/NathanBLawrence/status/993344876786806784", "993344876786806784")</f>
        <v/>
      </c>
      <c r="B1783" s="2" t="n">
        <v>43227.18111111111</v>
      </c>
      <c r="C1783" t="n">
        <v>0</v>
      </c>
      <c r="D1783" t="n">
        <v>1975</v>
      </c>
      <c r="E1783" t="s">
        <v>1794</v>
      </c>
      <c r="F1783">
        <f>HYPERLINK("http://pbs.twimg.com/media/DKlElwrVwAAudht.jpg", "http://pbs.twimg.com/media/DKlElwrVwAAudht.jpg")</f>
        <v/>
      </c>
      <c r="G1783" t="s"/>
      <c r="H1783" t="s"/>
      <c r="I1783" t="s"/>
      <c r="J1783" t="n">
        <v>-0.4215</v>
      </c>
      <c r="K1783" t="n">
        <v>0.167</v>
      </c>
      <c r="L1783" t="n">
        <v>0.833</v>
      </c>
      <c r="M1783" t="n">
        <v>0</v>
      </c>
    </row>
    <row r="1784" spans="1:13">
      <c r="A1784" s="1">
        <f>HYPERLINK("http://www.twitter.com/NathanBLawrence/status/993344682133344256", "993344682133344256")</f>
        <v/>
      </c>
      <c r="B1784" s="2" t="n">
        <v>43227.1805787037</v>
      </c>
      <c r="C1784" t="n">
        <v>0</v>
      </c>
      <c r="D1784" t="n">
        <v>293</v>
      </c>
      <c r="E1784" t="s">
        <v>1795</v>
      </c>
      <c r="F1784" t="s"/>
      <c r="G1784" t="s"/>
      <c r="H1784" t="s"/>
      <c r="I1784" t="s"/>
      <c r="J1784" t="n">
        <v>0.9022</v>
      </c>
      <c r="K1784" t="n">
        <v>0</v>
      </c>
      <c r="L1784" t="n">
        <v>0.623</v>
      </c>
      <c r="M1784" t="n">
        <v>0.377</v>
      </c>
    </row>
    <row r="1785" spans="1:13">
      <c r="A1785" s="1">
        <f>HYPERLINK("http://www.twitter.com/NathanBLawrence/status/993344415665086464", "993344415665086464")</f>
        <v/>
      </c>
      <c r="B1785" s="2" t="n">
        <v>43227.17983796296</v>
      </c>
      <c r="C1785" t="n">
        <v>0</v>
      </c>
      <c r="D1785" t="n">
        <v>197</v>
      </c>
      <c r="E1785" t="s">
        <v>1796</v>
      </c>
      <c r="F1785">
        <f>HYPERLINK("http://pbs.twimg.com/media/DS0jjkPX0AIw2M1.jpg", "http://pbs.twimg.com/media/DS0jjkPX0AIw2M1.jpg")</f>
        <v/>
      </c>
      <c r="G1785" t="s"/>
      <c r="H1785" t="s"/>
      <c r="I1785" t="s"/>
      <c r="J1785" t="n">
        <v>0.0258</v>
      </c>
      <c r="K1785" t="n">
        <v>0.154</v>
      </c>
      <c r="L1785" t="n">
        <v>0.656</v>
      </c>
      <c r="M1785" t="n">
        <v>0.19</v>
      </c>
    </row>
    <row r="1786" spans="1:13">
      <c r="A1786" s="1">
        <f>HYPERLINK("http://www.twitter.com/NathanBLawrence/status/993344150270500864", "993344150270500864")</f>
        <v/>
      </c>
      <c r="B1786" s="2" t="n">
        <v>43227.1791087963</v>
      </c>
      <c r="C1786" t="n">
        <v>6</v>
      </c>
      <c r="D1786" t="n">
        <v>6</v>
      </c>
      <c r="E1786" t="s">
        <v>1797</v>
      </c>
      <c r="F1786" t="s"/>
      <c r="G1786" t="s"/>
      <c r="H1786" t="s"/>
      <c r="I1786" t="s"/>
      <c r="J1786" t="n">
        <v>-0.7351</v>
      </c>
      <c r="K1786" t="n">
        <v>0.167</v>
      </c>
      <c r="L1786" t="n">
        <v>0.801</v>
      </c>
      <c r="M1786" t="n">
        <v>0.032</v>
      </c>
    </row>
    <row r="1787" spans="1:13">
      <c r="A1787" s="1">
        <f>HYPERLINK("http://www.twitter.com/NathanBLawrence/status/993343802940125184", "993343802940125184")</f>
        <v/>
      </c>
      <c r="B1787" s="2" t="n">
        <v>43227.17814814814</v>
      </c>
      <c r="C1787" t="n">
        <v>8</v>
      </c>
      <c r="D1787" t="n">
        <v>5</v>
      </c>
      <c r="E1787" t="s">
        <v>1798</v>
      </c>
      <c r="F1787" t="s"/>
      <c r="G1787" t="s"/>
      <c r="H1787" t="s"/>
      <c r="I1787" t="s"/>
      <c r="J1787" t="n">
        <v>-0.296</v>
      </c>
      <c r="K1787" t="n">
        <v>0.18</v>
      </c>
      <c r="L1787" t="n">
        <v>0.82</v>
      </c>
      <c r="M1787" t="n">
        <v>0</v>
      </c>
    </row>
    <row r="1788" spans="1:13">
      <c r="A1788" s="1">
        <f>HYPERLINK("http://www.twitter.com/NathanBLawrence/status/993343685923258369", "993343685923258369")</f>
        <v/>
      </c>
      <c r="B1788" s="2" t="n">
        <v>43227.17782407408</v>
      </c>
      <c r="C1788" t="n">
        <v>4</v>
      </c>
      <c r="D1788" t="n">
        <v>0</v>
      </c>
      <c r="E1788" t="s">
        <v>1799</v>
      </c>
      <c r="F1788" t="s"/>
      <c r="G1788" t="s"/>
      <c r="H1788" t="s"/>
      <c r="I1788" t="s"/>
      <c r="J1788" t="n">
        <v>0.4404</v>
      </c>
      <c r="K1788" t="n">
        <v>0</v>
      </c>
      <c r="L1788" t="n">
        <v>0.805</v>
      </c>
      <c r="M1788" t="n">
        <v>0.195</v>
      </c>
    </row>
    <row r="1789" spans="1:13">
      <c r="A1789" s="1">
        <f>HYPERLINK("http://www.twitter.com/NathanBLawrence/status/993343235035574272", "993343235035574272")</f>
        <v/>
      </c>
      <c r="B1789" s="2" t="n">
        <v>43227.17658564815</v>
      </c>
      <c r="C1789" t="n">
        <v>6</v>
      </c>
      <c r="D1789" t="n">
        <v>2</v>
      </c>
      <c r="E1789" t="s">
        <v>1800</v>
      </c>
      <c r="F1789" t="s"/>
      <c r="G1789" t="s"/>
      <c r="H1789" t="s"/>
      <c r="I1789" t="s"/>
      <c r="J1789" t="n">
        <v>-0.8655</v>
      </c>
      <c r="K1789" t="n">
        <v>0.427</v>
      </c>
      <c r="L1789" t="n">
        <v>0.475</v>
      </c>
      <c r="M1789" t="n">
        <v>0.098</v>
      </c>
    </row>
    <row r="1790" spans="1:13">
      <c r="A1790" s="1">
        <f>HYPERLINK("http://www.twitter.com/NathanBLawrence/status/993342366688788481", "993342366688788481")</f>
        <v/>
      </c>
      <c r="B1790" s="2" t="n">
        <v>43227.17418981482</v>
      </c>
      <c r="C1790" t="n">
        <v>0</v>
      </c>
      <c r="D1790" t="n">
        <v>89</v>
      </c>
      <c r="E1790" t="s">
        <v>1801</v>
      </c>
      <c r="F1790">
        <f>HYPERLINK("https://video.twimg.com/ext_tw_video/993321791215947777/pu/vid/1280x720/HGE-4AXRcLiYWWGN.mp4?tag=3", "https://video.twimg.com/ext_tw_video/993321791215947777/pu/vid/1280x720/HGE-4AXRcLiYWWGN.mp4?tag=3")</f>
        <v/>
      </c>
      <c r="G1790" t="s"/>
      <c r="H1790" t="s"/>
      <c r="I1790" t="s"/>
      <c r="J1790" t="n">
        <v>0.5423</v>
      </c>
      <c r="K1790" t="n">
        <v>0</v>
      </c>
      <c r="L1790" t="n">
        <v>0.83</v>
      </c>
      <c r="M1790" t="n">
        <v>0.17</v>
      </c>
    </row>
    <row r="1791" spans="1:13">
      <c r="A1791" s="1">
        <f>HYPERLINK("http://www.twitter.com/NathanBLawrence/status/993342265018933248", "993342265018933248")</f>
        <v/>
      </c>
      <c r="B1791" s="2" t="n">
        <v>43227.17391203704</v>
      </c>
      <c r="C1791" t="n">
        <v>0</v>
      </c>
      <c r="D1791" t="n">
        <v>5972</v>
      </c>
      <c r="E1791" t="s">
        <v>1802</v>
      </c>
      <c r="F1791" t="s"/>
      <c r="G1791" t="s"/>
      <c r="H1791" t="s"/>
      <c r="I1791" t="s"/>
      <c r="J1791" t="n">
        <v>-0.6486</v>
      </c>
      <c r="K1791" t="n">
        <v>0.158</v>
      </c>
      <c r="L1791" t="n">
        <v>0.842</v>
      </c>
      <c r="M1791" t="n">
        <v>0</v>
      </c>
    </row>
    <row r="1792" spans="1:13">
      <c r="A1792" s="1">
        <f>HYPERLINK("http://www.twitter.com/NathanBLawrence/status/993342212887822336", "993342212887822336")</f>
        <v/>
      </c>
      <c r="B1792" s="2" t="n">
        <v>43227.17376157407</v>
      </c>
      <c r="C1792" t="n">
        <v>0</v>
      </c>
      <c r="D1792" t="n">
        <v>452</v>
      </c>
      <c r="E1792" t="s">
        <v>1803</v>
      </c>
      <c r="F1792" t="s"/>
      <c r="G1792" t="s"/>
      <c r="H1792" t="s"/>
      <c r="I1792" t="s"/>
      <c r="J1792" t="n">
        <v>-0.4767</v>
      </c>
      <c r="K1792" t="n">
        <v>0.147</v>
      </c>
      <c r="L1792" t="n">
        <v>0.853</v>
      </c>
      <c r="M1792" t="n">
        <v>0</v>
      </c>
    </row>
    <row r="1793" spans="1:13">
      <c r="A1793" s="1">
        <f>HYPERLINK("http://www.twitter.com/NathanBLawrence/status/993342177727016960", "993342177727016960")</f>
        <v/>
      </c>
      <c r="B1793" s="2" t="n">
        <v>43227.17366898148</v>
      </c>
      <c r="C1793" t="n">
        <v>0</v>
      </c>
      <c r="D1793" t="n">
        <v>170</v>
      </c>
      <c r="E1793" t="s">
        <v>1804</v>
      </c>
      <c r="F1793" t="s"/>
      <c r="G1793" t="s"/>
      <c r="H1793" t="s"/>
      <c r="I1793" t="s"/>
      <c r="J1793" t="n">
        <v>-0.9368</v>
      </c>
      <c r="K1793" t="n">
        <v>0.418</v>
      </c>
      <c r="L1793" t="n">
        <v>0.582</v>
      </c>
      <c r="M1793" t="n">
        <v>0</v>
      </c>
    </row>
    <row r="1794" spans="1:13">
      <c r="A1794" s="1">
        <f>HYPERLINK("http://www.twitter.com/NathanBLawrence/status/993341868921339904", "993341868921339904")</f>
        <v/>
      </c>
      <c r="B1794" s="2" t="n">
        <v>43227.1728125</v>
      </c>
      <c r="C1794" t="n">
        <v>0</v>
      </c>
      <c r="D1794" t="n">
        <v>5566</v>
      </c>
      <c r="E1794" t="s">
        <v>1805</v>
      </c>
      <c r="F1794">
        <f>HYPERLINK("http://pbs.twimg.com/media/DbAXbTZWkAACY_x.jpg", "http://pbs.twimg.com/media/DbAXbTZWkAACY_x.jpg")</f>
        <v/>
      </c>
      <c r="G1794">
        <f>HYPERLINK("http://pbs.twimg.com/media/DbAXbT0W0AEyeYF.jpg", "http://pbs.twimg.com/media/DbAXbT0W0AEyeYF.jpg")</f>
        <v/>
      </c>
      <c r="H1794" t="s"/>
      <c r="I1794" t="s"/>
      <c r="J1794" t="n">
        <v>0.9191</v>
      </c>
      <c r="K1794" t="n">
        <v>0</v>
      </c>
      <c r="L1794" t="n">
        <v>0.593</v>
      </c>
      <c r="M1794" t="n">
        <v>0.407</v>
      </c>
    </row>
    <row r="1795" spans="1:13">
      <c r="A1795" s="1">
        <f>HYPERLINK("http://www.twitter.com/NathanBLawrence/status/993341374811418629", "993341374811418629")</f>
        <v/>
      </c>
      <c r="B1795" s="2" t="n">
        <v>43227.17144675926</v>
      </c>
      <c r="C1795" t="n">
        <v>0</v>
      </c>
      <c r="D1795" t="n">
        <v>720</v>
      </c>
      <c r="E1795" t="s">
        <v>1806</v>
      </c>
      <c r="F1795" t="s"/>
      <c r="G1795" t="s"/>
      <c r="H1795" t="s"/>
      <c r="I1795" t="s"/>
      <c r="J1795" t="n">
        <v>0.4966</v>
      </c>
      <c r="K1795" t="n">
        <v>0</v>
      </c>
      <c r="L1795" t="n">
        <v>0.867</v>
      </c>
      <c r="M1795" t="n">
        <v>0.133</v>
      </c>
    </row>
    <row r="1796" spans="1:13">
      <c r="A1796" s="1">
        <f>HYPERLINK("http://www.twitter.com/NathanBLawrence/status/993340048991965184", "993340048991965184")</f>
        <v/>
      </c>
      <c r="B1796" s="2" t="n">
        <v>43227.16778935185</v>
      </c>
      <c r="C1796" t="n">
        <v>18</v>
      </c>
      <c r="D1796" t="n">
        <v>9</v>
      </c>
      <c r="E1796" t="s">
        <v>1807</v>
      </c>
      <c r="F1796" t="s"/>
      <c r="G1796" t="s"/>
      <c r="H1796" t="s"/>
      <c r="I1796" t="s"/>
      <c r="J1796" t="n">
        <v>-0.8687</v>
      </c>
      <c r="K1796" t="n">
        <v>0.352</v>
      </c>
      <c r="L1796" t="n">
        <v>0.648</v>
      </c>
      <c r="M1796" t="n">
        <v>0</v>
      </c>
    </row>
    <row r="1797" spans="1:13">
      <c r="A1797" s="1">
        <f>HYPERLINK("http://www.twitter.com/NathanBLawrence/status/993338799361933312", "993338799361933312")</f>
        <v/>
      </c>
      <c r="B1797" s="2" t="n">
        <v>43227.16434027778</v>
      </c>
      <c r="C1797" t="n">
        <v>7</v>
      </c>
      <c r="D1797" t="n">
        <v>5</v>
      </c>
      <c r="E1797" t="s">
        <v>1808</v>
      </c>
      <c r="F1797" t="s"/>
      <c r="G1797" t="s"/>
      <c r="H1797" t="s"/>
      <c r="I1797" t="s"/>
      <c r="J1797" t="n">
        <v>-0.2732</v>
      </c>
      <c r="K1797" t="n">
        <v>0.077</v>
      </c>
      <c r="L1797" t="n">
        <v>0.872</v>
      </c>
      <c r="M1797" t="n">
        <v>0.051</v>
      </c>
    </row>
    <row r="1798" spans="1:13">
      <c r="A1798" s="1">
        <f>HYPERLINK("http://www.twitter.com/NathanBLawrence/status/993336833399447552", "993336833399447552")</f>
        <v/>
      </c>
      <c r="B1798" s="2" t="n">
        <v>43227.15892361111</v>
      </c>
      <c r="C1798" t="n">
        <v>4</v>
      </c>
      <c r="D1798" t="n">
        <v>0</v>
      </c>
      <c r="E1798" t="s">
        <v>1809</v>
      </c>
      <c r="F1798" t="s"/>
      <c r="G1798" t="s"/>
      <c r="H1798" t="s"/>
      <c r="I1798" t="s"/>
      <c r="J1798" t="n">
        <v>0</v>
      </c>
      <c r="K1798" t="n">
        <v>0</v>
      </c>
      <c r="L1798" t="n">
        <v>1</v>
      </c>
      <c r="M1798" t="n">
        <v>0</v>
      </c>
    </row>
    <row r="1799" spans="1:13">
      <c r="A1799" s="1">
        <f>HYPERLINK("http://www.twitter.com/NathanBLawrence/status/993336433946517505", "993336433946517505")</f>
        <v/>
      </c>
      <c r="B1799" s="2" t="n">
        <v>43227.1578125</v>
      </c>
      <c r="C1799" t="n">
        <v>30</v>
      </c>
      <c r="D1799" t="n">
        <v>17</v>
      </c>
      <c r="E1799" t="s">
        <v>1810</v>
      </c>
      <c r="F1799" t="s"/>
      <c r="G1799" t="s"/>
      <c r="H1799" t="s"/>
      <c r="I1799" t="s"/>
      <c r="J1799" t="n">
        <v>-0.516</v>
      </c>
      <c r="K1799" t="n">
        <v>0.068</v>
      </c>
      <c r="L1799" t="n">
        <v>0.9320000000000001</v>
      </c>
      <c r="M1799" t="n">
        <v>0</v>
      </c>
    </row>
    <row r="1800" spans="1:13">
      <c r="A1800" s="1">
        <f>HYPERLINK("http://www.twitter.com/NathanBLawrence/status/993335366403813377", "993335366403813377")</f>
        <v/>
      </c>
      <c r="B1800" s="2" t="n">
        <v>43227.15487268518</v>
      </c>
      <c r="C1800" t="n">
        <v>8</v>
      </c>
      <c r="D1800" t="n">
        <v>10</v>
      </c>
      <c r="E1800" t="s">
        <v>1811</v>
      </c>
      <c r="F1800" t="s"/>
      <c r="G1800" t="s"/>
      <c r="H1800" t="s"/>
      <c r="I1800" t="s"/>
      <c r="J1800" t="n">
        <v>0.0516</v>
      </c>
      <c r="K1800" t="n">
        <v>0.055</v>
      </c>
      <c r="L1800" t="n">
        <v>0.865</v>
      </c>
      <c r="M1800" t="n">
        <v>0.08</v>
      </c>
    </row>
    <row r="1801" spans="1:13">
      <c r="A1801" s="1">
        <f>HYPERLINK("http://www.twitter.com/NathanBLawrence/status/993333879372066816", "993333879372066816")</f>
        <v/>
      </c>
      <c r="B1801" s="2" t="n">
        <v>43227.15076388889</v>
      </c>
      <c r="C1801" t="n">
        <v>15</v>
      </c>
      <c r="D1801" t="n">
        <v>10</v>
      </c>
      <c r="E1801" t="s">
        <v>1812</v>
      </c>
      <c r="F1801" t="s"/>
      <c r="G1801" t="s"/>
      <c r="H1801" t="s"/>
      <c r="I1801" t="s"/>
      <c r="J1801" t="n">
        <v>-0.296</v>
      </c>
      <c r="K1801" t="n">
        <v>0.161</v>
      </c>
      <c r="L1801" t="n">
        <v>0.711</v>
      </c>
      <c r="M1801" t="n">
        <v>0.129</v>
      </c>
    </row>
    <row r="1802" spans="1:13">
      <c r="A1802" s="1">
        <f>HYPERLINK("http://www.twitter.com/NathanBLawrence/status/993333733812985858", "993333733812985858")</f>
        <v/>
      </c>
      <c r="B1802" s="2" t="n">
        <v>43227.15037037037</v>
      </c>
      <c r="C1802" t="n">
        <v>6</v>
      </c>
      <c r="D1802" t="n">
        <v>4</v>
      </c>
      <c r="E1802" t="s">
        <v>1813</v>
      </c>
      <c r="F1802" t="s"/>
      <c r="G1802" t="s"/>
      <c r="H1802" t="s"/>
      <c r="I1802" t="s"/>
      <c r="J1802" t="n">
        <v>-0.4019</v>
      </c>
      <c r="K1802" t="n">
        <v>0.204</v>
      </c>
      <c r="L1802" t="n">
        <v>0.6909999999999999</v>
      </c>
      <c r="M1802" t="n">
        <v>0.105</v>
      </c>
    </row>
    <row r="1803" spans="1:13">
      <c r="A1803" s="1">
        <f>HYPERLINK("http://www.twitter.com/NathanBLawrence/status/993333622441558017", "993333622441558017")</f>
        <v/>
      </c>
      <c r="B1803" s="2" t="n">
        <v>43227.15005787037</v>
      </c>
      <c r="C1803" t="n">
        <v>0</v>
      </c>
      <c r="D1803" t="n">
        <v>67407</v>
      </c>
      <c r="E1803" t="s">
        <v>1814</v>
      </c>
      <c r="F1803">
        <f>HYPERLINK("http://pbs.twimg.com/media/Dcj5dJ-X4AANWwd.jpg", "http://pbs.twimg.com/media/Dcj5dJ-X4AANWwd.jpg")</f>
        <v/>
      </c>
      <c r="G1803" t="s"/>
      <c r="H1803" t="s"/>
      <c r="I1803" t="s"/>
      <c r="J1803" t="n">
        <v>0.0772</v>
      </c>
      <c r="K1803" t="n">
        <v>0.073</v>
      </c>
      <c r="L1803" t="n">
        <v>0.843</v>
      </c>
      <c r="M1803" t="n">
        <v>0.08400000000000001</v>
      </c>
    </row>
    <row r="1804" spans="1:13">
      <c r="A1804" s="1">
        <f>HYPERLINK("http://www.twitter.com/NathanBLawrence/status/993333514530578432", "993333514530578432")</f>
        <v/>
      </c>
      <c r="B1804" s="2" t="n">
        <v>43227.14975694445</v>
      </c>
      <c r="C1804" t="n">
        <v>0</v>
      </c>
      <c r="D1804" t="n">
        <v>2352</v>
      </c>
      <c r="E1804" t="s">
        <v>1815</v>
      </c>
      <c r="F1804">
        <f>HYPERLINK("https://video.twimg.com/amplify_video/993105946200215553/vid/1280x720/ZlN83D187DVcmUW8.mp4?tag=2", "https://video.twimg.com/amplify_video/993105946200215553/vid/1280x720/ZlN83D187DVcmUW8.mp4?tag=2")</f>
        <v/>
      </c>
      <c r="G1804" t="s"/>
      <c r="H1804" t="s"/>
      <c r="I1804" t="s"/>
      <c r="J1804" t="n">
        <v>-0.6808</v>
      </c>
      <c r="K1804" t="n">
        <v>0.203</v>
      </c>
      <c r="L1804" t="n">
        <v>0.797</v>
      </c>
      <c r="M1804" t="n">
        <v>0</v>
      </c>
    </row>
    <row r="1805" spans="1:13">
      <c r="A1805" s="1">
        <f>HYPERLINK("http://www.twitter.com/NathanBLawrence/status/993333470083465216", "993333470083465216")</f>
        <v/>
      </c>
      <c r="B1805" s="2" t="n">
        <v>43227.1496412037</v>
      </c>
      <c r="C1805" t="n">
        <v>0</v>
      </c>
      <c r="D1805" t="n">
        <v>1944</v>
      </c>
      <c r="E1805" t="s">
        <v>1816</v>
      </c>
      <c r="F1805" t="s"/>
      <c r="G1805" t="s"/>
      <c r="H1805" t="s"/>
      <c r="I1805" t="s"/>
      <c r="J1805" t="n">
        <v>-0.4019</v>
      </c>
      <c r="K1805" t="n">
        <v>0.139</v>
      </c>
      <c r="L1805" t="n">
        <v>0.861</v>
      </c>
      <c r="M1805" t="n">
        <v>0</v>
      </c>
    </row>
    <row r="1806" spans="1:13">
      <c r="A1806" s="1">
        <f>HYPERLINK("http://www.twitter.com/NathanBLawrence/status/993333375472566273", "993333375472566273")</f>
        <v/>
      </c>
      <c r="B1806" s="2" t="n">
        <v>43227.149375</v>
      </c>
      <c r="C1806" t="n">
        <v>0</v>
      </c>
      <c r="D1806" t="n">
        <v>2917</v>
      </c>
      <c r="E1806" t="s">
        <v>1817</v>
      </c>
      <c r="F1806" t="s"/>
      <c r="G1806" t="s"/>
      <c r="H1806" t="s"/>
      <c r="I1806" t="s"/>
      <c r="J1806" t="n">
        <v>0.7901</v>
      </c>
      <c r="K1806" t="n">
        <v>0.102</v>
      </c>
      <c r="L1806" t="n">
        <v>0.53</v>
      </c>
      <c r="M1806" t="n">
        <v>0.367</v>
      </c>
    </row>
    <row r="1807" spans="1:13">
      <c r="A1807" s="1">
        <f>HYPERLINK("http://www.twitter.com/NathanBLawrence/status/993333175706243072", "993333175706243072")</f>
        <v/>
      </c>
      <c r="B1807" s="2" t="n">
        <v>43227.14881944445</v>
      </c>
      <c r="C1807" t="n">
        <v>7</v>
      </c>
      <c r="D1807" t="n">
        <v>5</v>
      </c>
      <c r="E1807" t="s">
        <v>1818</v>
      </c>
      <c r="F1807" t="s"/>
      <c r="G1807" t="s"/>
      <c r="H1807" t="s"/>
      <c r="I1807" t="s"/>
      <c r="J1807" t="n">
        <v>-0.1531</v>
      </c>
      <c r="K1807" t="n">
        <v>0.127</v>
      </c>
      <c r="L1807" t="n">
        <v>0.873</v>
      </c>
      <c r="M1807" t="n">
        <v>0</v>
      </c>
    </row>
    <row r="1808" spans="1:13">
      <c r="A1808" s="1">
        <f>HYPERLINK("http://www.twitter.com/NathanBLawrence/status/993332919228776448", "993332919228776448")</f>
        <v/>
      </c>
      <c r="B1808" s="2" t="n">
        <v>43227.14811342592</v>
      </c>
      <c r="C1808" t="n">
        <v>8</v>
      </c>
      <c r="D1808" t="n">
        <v>4</v>
      </c>
      <c r="E1808" t="s">
        <v>1819</v>
      </c>
      <c r="F1808" t="s"/>
      <c r="G1808" t="s"/>
      <c r="H1808" t="s"/>
      <c r="I1808" t="s"/>
      <c r="J1808" t="n">
        <v>0.5610000000000001</v>
      </c>
      <c r="K1808" t="n">
        <v>0.08500000000000001</v>
      </c>
      <c r="L1808" t="n">
        <v>0.657</v>
      </c>
      <c r="M1808" t="n">
        <v>0.258</v>
      </c>
    </row>
    <row r="1809" spans="1:13">
      <c r="A1809" s="1">
        <f>HYPERLINK("http://www.twitter.com/NathanBLawrence/status/993240115337019392", "993240115337019392")</f>
        <v/>
      </c>
      <c r="B1809" s="2" t="n">
        <v>43226.89202546296</v>
      </c>
      <c r="C1809" t="n">
        <v>3</v>
      </c>
      <c r="D1809" t="n">
        <v>1</v>
      </c>
      <c r="E1809" t="s">
        <v>1820</v>
      </c>
      <c r="F1809" t="s"/>
      <c r="G1809" t="s"/>
      <c r="H1809" t="s"/>
      <c r="I1809" t="s"/>
      <c r="J1809" t="n">
        <v>0.4926</v>
      </c>
      <c r="K1809" t="n">
        <v>0</v>
      </c>
      <c r="L1809" t="n">
        <v>0.803</v>
      </c>
      <c r="M1809" t="n">
        <v>0.197</v>
      </c>
    </row>
    <row r="1810" spans="1:13">
      <c r="A1810" s="1">
        <f>HYPERLINK("http://www.twitter.com/NathanBLawrence/status/993239947338379264", "993239947338379264")</f>
        <v/>
      </c>
      <c r="B1810" s="2" t="n">
        <v>43226.8915625</v>
      </c>
      <c r="C1810" t="n">
        <v>11</v>
      </c>
      <c r="D1810" t="n">
        <v>7</v>
      </c>
      <c r="E1810" t="s">
        <v>1821</v>
      </c>
      <c r="F1810" t="s"/>
      <c r="G1810" t="s"/>
      <c r="H1810" t="s"/>
      <c r="I1810" t="s"/>
      <c r="J1810" t="n">
        <v>-0.0772</v>
      </c>
      <c r="K1810" t="n">
        <v>0.106</v>
      </c>
      <c r="L1810" t="n">
        <v>0.894</v>
      </c>
      <c r="M1810" t="n">
        <v>0</v>
      </c>
    </row>
    <row r="1811" spans="1:13">
      <c r="A1811" s="1">
        <f>HYPERLINK("http://www.twitter.com/NathanBLawrence/status/993239627652677632", "993239627652677632")</f>
        <v/>
      </c>
      <c r="B1811" s="2" t="n">
        <v>43226.89068287037</v>
      </c>
      <c r="C1811" t="n">
        <v>15</v>
      </c>
      <c r="D1811" t="n">
        <v>6</v>
      </c>
      <c r="E1811" t="s">
        <v>1822</v>
      </c>
      <c r="F1811" t="s"/>
      <c r="G1811" t="s"/>
      <c r="H1811" t="s"/>
      <c r="I1811" t="s"/>
      <c r="J1811" t="n">
        <v>0</v>
      </c>
      <c r="K1811" t="n">
        <v>0</v>
      </c>
      <c r="L1811" t="n">
        <v>1</v>
      </c>
      <c r="M1811" t="n">
        <v>0</v>
      </c>
    </row>
    <row r="1812" spans="1:13">
      <c r="A1812" s="1">
        <f>HYPERLINK("http://www.twitter.com/NathanBLawrence/status/993239439651422208", "993239439651422208")</f>
        <v/>
      </c>
      <c r="B1812" s="2" t="n">
        <v>43226.89016203704</v>
      </c>
      <c r="C1812" t="n">
        <v>9</v>
      </c>
      <c r="D1812" t="n">
        <v>3</v>
      </c>
      <c r="E1812" t="s">
        <v>1823</v>
      </c>
      <c r="F1812" t="s"/>
      <c r="G1812" t="s"/>
      <c r="H1812" t="s"/>
      <c r="I1812" t="s"/>
      <c r="J1812" t="n">
        <v>0.4939</v>
      </c>
      <c r="K1812" t="n">
        <v>0</v>
      </c>
      <c r="L1812" t="n">
        <v>0.758</v>
      </c>
      <c r="M1812" t="n">
        <v>0.242</v>
      </c>
    </row>
    <row r="1813" spans="1:13">
      <c r="A1813" s="1">
        <f>HYPERLINK("http://www.twitter.com/NathanBLawrence/status/993237493498630144", "993237493498630144")</f>
        <v/>
      </c>
      <c r="B1813" s="2" t="n">
        <v>43226.88479166666</v>
      </c>
      <c r="C1813" t="n">
        <v>26</v>
      </c>
      <c r="D1813" t="n">
        <v>15</v>
      </c>
      <c r="E1813" t="s">
        <v>1824</v>
      </c>
      <c r="F1813" t="s"/>
      <c r="G1813" t="s"/>
      <c r="H1813" t="s"/>
      <c r="I1813" t="s"/>
      <c r="J1813" t="n">
        <v>0</v>
      </c>
      <c r="K1813" t="n">
        <v>0</v>
      </c>
      <c r="L1813" t="n">
        <v>1</v>
      </c>
      <c r="M1813" t="n">
        <v>0</v>
      </c>
    </row>
    <row r="1814" spans="1:13">
      <c r="A1814" s="1">
        <f>HYPERLINK("http://www.twitter.com/NathanBLawrence/status/993237271317954560", "993237271317954560")</f>
        <v/>
      </c>
      <c r="B1814" s="2" t="n">
        <v>43226.88417824074</v>
      </c>
      <c r="C1814" t="n">
        <v>9</v>
      </c>
      <c r="D1814" t="n">
        <v>8</v>
      </c>
      <c r="E1814" t="s">
        <v>1825</v>
      </c>
      <c r="F1814" t="s"/>
      <c r="G1814" t="s"/>
      <c r="H1814" t="s"/>
      <c r="I1814" t="s"/>
      <c r="J1814" t="n">
        <v>0</v>
      </c>
      <c r="K1814" t="n">
        <v>0</v>
      </c>
      <c r="L1814" t="n">
        <v>1</v>
      </c>
      <c r="M1814" t="n">
        <v>0</v>
      </c>
    </row>
    <row r="1815" spans="1:13">
      <c r="A1815" s="1">
        <f>HYPERLINK("http://www.twitter.com/NathanBLawrence/status/993237177797509120", "993237177797509120")</f>
        <v/>
      </c>
      <c r="B1815" s="2" t="n">
        <v>43226.88392361111</v>
      </c>
      <c r="C1815" t="n">
        <v>12</v>
      </c>
      <c r="D1815" t="n">
        <v>4</v>
      </c>
      <c r="E1815" t="s">
        <v>1826</v>
      </c>
      <c r="F1815" t="s"/>
      <c r="G1815" t="s"/>
      <c r="H1815" t="s"/>
      <c r="I1815" t="s"/>
      <c r="J1815" t="n">
        <v>-0.1695</v>
      </c>
      <c r="K1815" t="n">
        <v>0.094</v>
      </c>
      <c r="L1815" t="n">
        <v>0.906</v>
      </c>
      <c r="M1815" t="n">
        <v>0</v>
      </c>
    </row>
    <row r="1816" spans="1:13">
      <c r="A1816" s="1">
        <f>HYPERLINK("http://www.twitter.com/NathanBLawrence/status/993237141449723904", "993237141449723904")</f>
        <v/>
      </c>
      <c r="B1816" s="2" t="n">
        <v>43226.88381944445</v>
      </c>
      <c r="C1816" t="n">
        <v>7</v>
      </c>
      <c r="D1816" t="n">
        <v>10</v>
      </c>
      <c r="E1816" t="s">
        <v>1827</v>
      </c>
      <c r="F1816" t="s"/>
      <c r="G1816" t="s"/>
      <c r="H1816" t="s"/>
      <c r="I1816" t="s"/>
      <c r="J1816" t="n">
        <v>0</v>
      </c>
      <c r="K1816" t="n">
        <v>0</v>
      </c>
      <c r="L1816" t="n">
        <v>1</v>
      </c>
      <c r="M1816" t="n">
        <v>0</v>
      </c>
    </row>
    <row r="1817" spans="1:13">
      <c r="A1817" s="1">
        <f>HYPERLINK("http://www.twitter.com/NathanBLawrence/status/993237101096222721", "993237101096222721")</f>
        <v/>
      </c>
      <c r="B1817" s="2" t="n">
        <v>43226.88371527778</v>
      </c>
      <c r="C1817" t="n">
        <v>5</v>
      </c>
      <c r="D1817" t="n">
        <v>2</v>
      </c>
      <c r="E1817" t="s">
        <v>1828</v>
      </c>
      <c r="F1817" t="s"/>
      <c r="G1817" t="s"/>
      <c r="H1817" t="s"/>
      <c r="I1817" t="s"/>
      <c r="J1817" t="n">
        <v>0</v>
      </c>
      <c r="K1817" t="n">
        <v>0</v>
      </c>
      <c r="L1817" t="n">
        <v>1</v>
      </c>
      <c r="M1817" t="n">
        <v>0</v>
      </c>
    </row>
    <row r="1818" spans="1:13">
      <c r="A1818" s="1">
        <f>HYPERLINK("http://www.twitter.com/NathanBLawrence/status/993237061535547392", "993237061535547392")</f>
        <v/>
      </c>
      <c r="B1818" s="2" t="n">
        <v>43226.88359953704</v>
      </c>
      <c r="C1818" t="n">
        <v>7</v>
      </c>
      <c r="D1818" t="n">
        <v>1</v>
      </c>
      <c r="E1818" t="s">
        <v>1829</v>
      </c>
      <c r="F1818" t="s"/>
      <c r="G1818" t="s"/>
      <c r="H1818" t="s"/>
      <c r="I1818" t="s"/>
      <c r="J1818" t="n">
        <v>-0.7978</v>
      </c>
      <c r="K1818" t="n">
        <v>0.263</v>
      </c>
      <c r="L1818" t="n">
        <v>0.737</v>
      </c>
      <c r="M1818" t="n">
        <v>0</v>
      </c>
    </row>
    <row r="1819" spans="1:13">
      <c r="A1819" s="1">
        <f>HYPERLINK("http://www.twitter.com/NathanBLawrence/status/993237020632801280", "993237020632801280")</f>
        <v/>
      </c>
      <c r="B1819" s="2" t="n">
        <v>43226.88348379629</v>
      </c>
      <c r="C1819" t="n">
        <v>2</v>
      </c>
      <c r="D1819" t="n">
        <v>2</v>
      </c>
      <c r="E1819" t="s">
        <v>1830</v>
      </c>
      <c r="F1819" t="s"/>
      <c r="G1819" t="s"/>
      <c r="H1819" t="s"/>
      <c r="I1819" t="s"/>
      <c r="J1819" t="n">
        <v>-0.802</v>
      </c>
      <c r="K1819" t="n">
        <v>0.396</v>
      </c>
      <c r="L1819" t="n">
        <v>0.604</v>
      </c>
      <c r="M1819" t="n">
        <v>0</v>
      </c>
    </row>
    <row r="1820" spans="1:13">
      <c r="A1820" s="1">
        <f>HYPERLINK("http://www.twitter.com/NathanBLawrence/status/993236972482146305", "993236972482146305")</f>
        <v/>
      </c>
      <c r="B1820" s="2" t="n">
        <v>43226.88335648148</v>
      </c>
      <c r="C1820" t="n">
        <v>12</v>
      </c>
      <c r="D1820" t="n">
        <v>3</v>
      </c>
      <c r="E1820" t="s">
        <v>1831</v>
      </c>
      <c r="F1820" t="s"/>
      <c r="G1820" t="s"/>
      <c r="H1820" t="s"/>
      <c r="I1820" t="s"/>
      <c r="J1820" t="n">
        <v>-0.6155</v>
      </c>
      <c r="K1820" t="n">
        <v>0.223</v>
      </c>
      <c r="L1820" t="n">
        <v>0.706</v>
      </c>
      <c r="M1820" t="n">
        <v>0.07099999999999999</v>
      </c>
    </row>
    <row r="1821" spans="1:13">
      <c r="A1821" s="1">
        <f>HYPERLINK("http://www.twitter.com/NathanBLawrence/status/993236908300877824", "993236908300877824")</f>
        <v/>
      </c>
      <c r="B1821" s="2" t="n">
        <v>43226.88318287037</v>
      </c>
      <c r="C1821" t="n">
        <v>7</v>
      </c>
      <c r="D1821" t="n">
        <v>2</v>
      </c>
      <c r="E1821" t="s">
        <v>1832</v>
      </c>
      <c r="F1821" t="s"/>
      <c r="G1821" t="s"/>
      <c r="H1821" t="s"/>
      <c r="I1821" t="s"/>
      <c r="J1821" t="n">
        <v>-0.4939</v>
      </c>
      <c r="K1821" t="n">
        <v>0.167</v>
      </c>
      <c r="L1821" t="n">
        <v>0.833</v>
      </c>
      <c r="M1821" t="n">
        <v>0</v>
      </c>
    </row>
    <row r="1822" spans="1:13">
      <c r="A1822" s="1">
        <f>HYPERLINK("http://www.twitter.com/NathanBLawrence/status/993236750259515392", "993236750259515392")</f>
        <v/>
      </c>
      <c r="B1822" s="2" t="n">
        <v>43226.88274305555</v>
      </c>
      <c r="C1822" t="n">
        <v>6</v>
      </c>
      <c r="D1822" t="n">
        <v>2</v>
      </c>
      <c r="E1822" t="s">
        <v>1833</v>
      </c>
      <c r="F1822" t="s"/>
      <c r="G1822" t="s"/>
      <c r="H1822" t="s"/>
      <c r="I1822" t="s"/>
      <c r="J1822" t="n">
        <v>-0.4939</v>
      </c>
      <c r="K1822" t="n">
        <v>0.319</v>
      </c>
      <c r="L1822" t="n">
        <v>0.532</v>
      </c>
      <c r="M1822" t="n">
        <v>0.149</v>
      </c>
    </row>
    <row r="1823" spans="1:13">
      <c r="A1823" s="1">
        <f>HYPERLINK("http://www.twitter.com/NathanBLawrence/status/993236481010368512", "993236481010368512")</f>
        <v/>
      </c>
      <c r="B1823" s="2" t="n">
        <v>43226.88200231481</v>
      </c>
      <c r="C1823" t="n">
        <v>3</v>
      </c>
      <c r="D1823" t="n">
        <v>1</v>
      </c>
      <c r="E1823" t="s">
        <v>1834</v>
      </c>
      <c r="F1823" t="s"/>
      <c r="G1823" t="s"/>
      <c r="H1823" t="s"/>
      <c r="I1823" t="s"/>
      <c r="J1823" t="n">
        <v>-0.8156</v>
      </c>
      <c r="K1823" t="n">
        <v>0.348</v>
      </c>
      <c r="L1823" t="n">
        <v>0.652</v>
      </c>
      <c r="M1823" t="n">
        <v>0</v>
      </c>
    </row>
    <row r="1824" spans="1:13">
      <c r="A1824" s="1">
        <f>HYPERLINK("http://www.twitter.com/NathanBLawrence/status/993236374181445632", "993236374181445632")</f>
        <v/>
      </c>
      <c r="B1824" s="2" t="n">
        <v>43226.88170138889</v>
      </c>
      <c r="C1824" t="n">
        <v>13</v>
      </c>
      <c r="D1824" t="n">
        <v>4</v>
      </c>
      <c r="E1824" t="s">
        <v>1835</v>
      </c>
      <c r="F1824" t="s"/>
      <c r="G1824" t="s"/>
      <c r="H1824" t="s"/>
      <c r="I1824" t="s"/>
      <c r="J1824" t="n">
        <v>-0.5859</v>
      </c>
      <c r="K1824" t="n">
        <v>0.192</v>
      </c>
      <c r="L1824" t="n">
        <v>0.8080000000000001</v>
      </c>
      <c r="M1824" t="n">
        <v>0</v>
      </c>
    </row>
    <row r="1825" spans="1:13">
      <c r="A1825" s="1">
        <f>HYPERLINK("http://www.twitter.com/NathanBLawrence/status/993236096820699136", "993236096820699136")</f>
        <v/>
      </c>
      <c r="B1825" s="2" t="n">
        <v>43226.8809375</v>
      </c>
      <c r="C1825" t="n">
        <v>6</v>
      </c>
      <c r="D1825" t="n">
        <v>0</v>
      </c>
      <c r="E1825" t="s">
        <v>1836</v>
      </c>
      <c r="F1825" t="s"/>
      <c r="G1825" t="s"/>
      <c r="H1825" t="s"/>
      <c r="I1825" t="s"/>
      <c r="J1825" t="n">
        <v>0</v>
      </c>
      <c r="K1825" t="n">
        <v>0</v>
      </c>
      <c r="L1825" t="n">
        <v>1</v>
      </c>
      <c r="M1825" t="n">
        <v>0</v>
      </c>
    </row>
    <row r="1826" spans="1:13">
      <c r="A1826" s="1">
        <f>HYPERLINK("http://www.twitter.com/NathanBLawrence/status/993235966029586432", "993235966029586432")</f>
        <v/>
      </c>
      <c r="B1826" s="2" t="n">
        <v>43226.88057870371</v>
      </c>
      <c r="C1826" t="n">
        <v>6</v>
      </c>
      <c r="D1826" t="n">
        <v>2</v>
      </c>
      <c r="E1826" t="s">
        <v>1837</v>
      </c>
      <c r="F1826" t="s"/>
      <c r="G1826" t="s"/>
      <c r="H1826" t="s"/>
      <c r="I1826" t="s"/>
      <c r="J1826" t="n">
        <v>0.2263</v>
      </c>
      <c r="K1826" t="n">
        <v>0</v>
      </c>
      <c r="L1826" t="n">
        <v>0.888</v>
      </c>
      <c r="M1826" t="n">
        <v>0.112</v>
      </c>
    </row>
    <row r="1827" spans="1:13">
      <c r="A1827" s="1">
        <f>HYPERLINK("http://www.twitter.com/NathanBLawrence/status/993191183617736704", "993191183617736704")</f>
        <v/>
      </c>
      <c r="B1827" s="2" t="n">
        <v>43226.75700231481</v>
      </c>
      <c r="C1827" t="n">
        <v>15</v>
      </c>
      <c r="D1827" t="n">
        <v>7</v>
      </c>
      <c r="E1827" t="s">
        <v>1838</v>
      </c>
      <c r="F1827" t="s"/>
      <c r="G1827" t="s"/>
      <c r="H1827" t="s"/>
      <c r="I1827" t="s"/>
      <c r="J1827" t="n">
        <v>-0.8135</v>
      </c>
      <c r="K1827" t="n">
        <v>0.391</v>
      </c>
      <c r="L1827" t="n">
        <v>0.468</v>
      </c>
      <c r="M1827" t="n">
        <v>0.141</v>
      </c>
    </row>
    <row r="1828" spans="1:13">
      <c r="A1828" s="1">
        <f>HYPERLINK("http://www.twitter.com/NathanBLawrence/status/993190941103013888", "993190941103013888")</f>
        <v/>
      </c>
      <c r="B1828" s="2" t="n">
        <v>43226.75633101852</v>
      </c>
      <c r="C1828" t="n">
        <v>1</v>
      </c>
      <c r="D1828" t="n">
        <v>1</v>
      </c>
      <c r="E1828" t="s">
        <v>1839</v>
      </c>
      <c r="F1828" t="s"/>
      <c r="G1828" t="s"/>
      <c r="H1828" t="s"/>
      <c r="I1828" t="s"/>
      <c r="J1828" t="n">
        <v>0</v>
      </c>
      <c r="K1828" t="n">
        <v>0</v>
      </c>
      <c r="L1828" t="n">
        <v>1</v>
      </c>
      <c r="M1828" t="n">
        <v>0</v>
      </c>
    </row>
    <row r="1829" spans="1:13">
      <c r="A1829" s="1">
        <f>HYPERLINK("http://www.twitter.com/NathanBLawrence/status/993190786530357248", "993190786530357248")</f>
        <v/>
      </c>
      <c r="B1829" s="2" t="n">
        <v>43226.75590277778</v>
      </c>
      <c r="C1829" t="n">
        <v>2</v>
      </c>
      <c r="D1829" t="n">
        <v>1</v>
      </c>
      <c r="E1829" t="s">
        <v>1840</v>
      </c>
      <c r="F1829" t="s"/>
      <c r="G1829" t="s"/>
      <c r="H1829" t="s"/>
      <c r="I1829" t="s"/>
      <c r="J1829" t="n">
        <v>0.1027</v>
      </c>
      <c r="K1829" t="n">
        <v>0.134</v>
      </c>
      <c r="L1829" t="n">
        <v>0.704</v>
      </c>
      <c r="M1829" t="n">
        <v>0.162</v>
      </c>
    </row>
    <row r="1830" spans="1:13">
      <c r="A1830" s="1">
        <f>HYPERLINK("http://www.twitter.com/NathanBLawrence/status/993190704993062912", "993190704993062912")</f>
        <v/>
      </c>
      <c r="B1830" s="2" t="n">
        <v>43226.75568287037</v>
      </c>
      <c r="C1830" t="n">
        <v>2</v>
      </c>
      <c r="D1830" t="n">
        <v>1</v>
      </c>
      <c r="E1830" t="s">
        <v>1841</v>
      </c>
      <c r="F1830" t="s"/>
      <c r="G1830" t="s"/>
      <c r="H1830" t="s"/>
      <c r="I1830" t="s"/>
      <c r="J1830" t="n">
        <v>0.4019</v>
      </c>
      <c r="K1830" t="n">
        <v>0</v>
      </c>
      <c r="L1830" t="n">
        <v>0.769</v>
      </c>
      <c r="M1830" t="n">
        <v>0.231</v>
      </c>
    </row>
    <row r="1831" spans="1:13">
      <c r="A1831" s="1">
        <f>HYPERLINK("http://www.twitter.com/NathanBLawrence/status/993190589280567296", "993190589280567296")</f>
        <v/>
      </c>
      <c r="B1831" s="2" t="n">
        <v>43226.7553587963</v>
      </c>
      <c r="C1831" t="n">
        <v>1</v>
      </c>
      <c r="D1831" t="n">
        <v>0</v>
      </c>
      <c r="E1831" t="s">
        <v>1842</v>
      </c>
      <c r="F1831" t="s"/>
      <c r="G1831" t="s"/>
      <c r="H1831" t="s"/>
      <c r="I1831" t="s"/>
      <c r="J1831" t="n">
        <v>0</v>
      </c>
      <c r="K1831" t="n">
        <v>0</v>
      </c>
      <c r="L1831" t="n">
        <v>1</v>
      </c>
      <c r="M1831" t="n">
        <v>0</v>
      </c>
    </row>
    <row r="1832" spans="1:13">
      <c r="A1832" s="1">
        <f>HYPERLINK("http://www.twitter.com/NathanBLawrence/status/993190510704574465", "993190510704574465")</f>
        <v/>
      </c>
      <c r="B1832" s="2" t="n">
        <v>43226.75513888889</v>
      </c>
      <c r="C1832" t="n">
        <v>3</v>
      </c>
      <c r="D1832" t="n">
        <v>1</v>
      </c>
      <c r="E1832" t="s">
        <v>1843</v>
      </c>
      <c r="F1832" t="s"/>
      <c r="G1832" t="s"/>
      <c r="H1832" t="s"/>
      <c r="I1832" t="s"/>
      <c r="J1832" t="n">
        <v>0.5106000000000001</v>
      </c>
      <c r="K1832" t="n">
        <v>0</v>
      </c>
      <c r="L1832" t="n">
        <v>0.8090000000000001</v>
      </c>
      <c r="M1832" t="n">
        <v>0.191</v>
      </c>
    </row>
    <row r="1833" spans="1:13">
      <c r="A1833" s="1">
        <f>HYPERLINK("http://www.twitter.com/NathanBLawrence/status/993190437732040704", "993190437732040704")</f>
        <v/>
      </c>
      <c r="B1833" s="2" t="n">
        <v>43226.75494212963</v>
      </c>
      <c r="C1833" t="n">
        <v>2</v>
      </c>
      <c r="D1833" t="n">
        <v>1</v>
      </c>
      <c r="E1833" t="s">
        <v>1844</v>
      </c>
      <c r="F1833" t="s"/>
      <c r="G1833" t="s"/>
      <c r="H1833" t="s"/>
      <c r="I1833" t="s"/>
      <c r="J1833" t="n">
        <v>-0.5106000000000001</v>
      </c>
      <c r="K1833" t="n">
        <v>0.248</v>
      </c>
      <c r="L1833" t="n">
        <v>0.752</v>
      </c>
      <c r="M1833" t="n">
        <v>0</v>
      </c>
    </row>
    <row r="1834" spans="1:13">
      <c r="A1834" s="1">
        <f>HYPERLINK("http://www.twitter.com/NathanBLawrence/status/993190325920280576", "993190325920280576")</f>
        <v/>
      </c>
      <c r="B1834" s="2" t="n">
        <v>43226.75462962963</v>
      </c>
      <c r="C1834" t="n">
        <v>9</v>
      </c>
      <c r="D1834" t="n">
        <v>2</v>
      </c>
      <c r="E1834" t="s">
        <v>1845</v>
      </c>
      <c r="F1834" t="s"/>
      <c r="G1834" t="s"/>
      <c r="H1834" t="s"/>
      <c r="I1834" t="s"/>
      <c r="J1834" t="n">
        <v>0.4939</v>
      </c>
      <c r="K1834" t="n">
        <v>0</v>
      </c>
      <c r="L1834" t="n">
        <v>0.833</v>
      </c>
      <c r="M1834" t="n">
        <v>0.167</v>
      </c>
    </row>
    <row r="1835" spans="1:13">
      <c r="A1835" s="1">
        <f>HYPERLINK("http://www.twitter.com/NathanBLawrence/status/993190095686586368", "993190095686586368")</f>
        <v/>
      </c>
      <c r="B1835" s="2" t="n">
        <v>43226.75400462963</v>
      </c>
      <c r="C1835" t="n">
        <v>2</v>
      </c>
      <c r="D1835" t="n">
        <v>2</v>
      </c>
      <c r="E1835" t="s">
        <v>1846</v>
      </c>
      <c r="F1835" t="s"/>
      <c r="G1835" t="s"/>
      <c r="H1835" t="s"/>
      <c r="I1835" t="s"/>
      <c r="J1835" t="n">
        <v>0.6408</v>
      </c>
      <c r="K1835" t="n">
        <v>0.096</v>
      </c>
      <c r="L1835" t="n">
        <v>0.639</v>
      </c>
      <c r="M1835" t="n">
        <v>0.265</v>
      </c>
    </row>
    <row r="1836" spans="1:13">
      <c r="A1836" s="1">
        <f>HYPERLINK("http://www.twitter.com/NathanBLawrence/status/993189681100611584", "993189681100611584")</f>
        <v/>
      </c>
      <c r="B1836" s="2" t="n">
        <v>43226.7528587963</v>
      </c>
      <c r="C1836" t="n">
        <v>1</v>
      </c>
      <c r="D1836" t="n">
        <v>1</v>
      </c>
      <c r="E1836" t="s">
        <v>1847</v>
      </c>
      <c r="F1836" t="s"/>
      <c r="G1836" t="s"/>
      <c r="H1836" t="s"/>
      <c r="I1836" t="s"/>
      <c r="J1836" t="n">
        <v>-0.6625</v>
      </c>
      <c r="K1836" t="n">
        <v>0.207</v>
      </c>
      <c r="L1836" t="n">
        <v>0.793</v>
      </c>
      <c r="M1836" t="n">
        <v>0</v>
      </c>
    </row>
    <row r="1837" spans="1:13">
      <c r="A1837" s="1">
        <f>HYPERLINK("http://www.twitter.com/NathanBLawrence/status/993189617376489472", "993189617376489472")</f>
        <v/>
      </c>
      <c r="B1837" s="2" t="n">
        <v>43226.75268518519</v>
      </c>
      <c r="C1837" t="n">
        <v>4</v>
      </c>
      <c r="D1837" t="n">
        <v>2</v>
      </c>
      <c r="E1837" t="s">
        <v>1848</v>
      </c>
      <c r="F1837" t="s"/>
      <c r="G1837" t="s"/>
      <c r="H1837" t="s"/>
      <c r="I1837" t="s"/>
      <c r="J1837" t="n">
        <v>-0.836</v>
      </c>
      <c r="K1837" t="n">
        <v>0.372</v>
      </c>
      <c r="L1837" t="n">
        <v>0.628</v>
      </c>
      <c r="M1837" t="n">
        <v>0</v>
      </c>
    </row>
    <row r="1838" spans="1:13">
      <c r="A1838" s="1">
        <f>HYPERLINK("http://www.twitter.com/NathanBLawrence/status/992965448592379906", "992965448592379906")</f>
        <v/>
      </c>
      <c r="B1838" s="2" t="n">
        <v>43226.13409722222</v>
      </c>
      <c r="C1838" t="n">
        <v>0</v>
      </c>
      <c r="D1838" t="n">
        <v>0</v>
      </c>
      <c r="E1838" t="s">
        <v>1849</v>
      </c>
      <c r="F1838" t="s"/>
      <c r="G1838" t="s"/>
      <c r="H1838" t="s"/>
      <c r="I1838" t="s"/>
      <c r="J1838" t="n">
        <v>-0.7351</v>
      </c>
      <c r="K1838" t="n">
        <v>0.129</v>
      </c>
      <c r="L1838" t="n">
        <v>0.871</v>
      </c>
      <c r="M1838" t="n">
        <v>0</v>
      </c>
    </row>
    <row r="1839" spans="1:13">
      <c r="A1839" s="1">
        <f>HYPERLINK("http://www.twitter.com/NathanBLawrence/status/992922713692909568", "992922713692909568")</f>
        <v/>
      </c>
      <c r="B1839" s="2" t="n">
        <v>43226.01616898148</v>
      </c>
      <c r="C1839" t="n">
        <v>10</v>
      </c>
      <c r="D1839" t="n">
        <v>5</v>
      </c>
      <c r="E1839" t="s">
        <v>1850</v>
      </c>
      <c r="F1839" t="s"/>
      <c r="G1839" t="s"/>
      <c r="H1839" t="s"/>
      <c r="I1839" t="s"/>
      <c r="J1839" t="n">
        <v>0.8574000000000001</v>
      </c>
      <c r="K1839" t="n">
        <v>0</v>
      </c>
      <c r="L1839" t="n">
        <v>0.747</v>
      </c>
      <c r="M1839" t="n">
        <v>0.253</v>
      </c>
    </row>
    <row r="1840" spans="1:13">
      <c r="A1840" s="1">
        <f>HYPERLINK("http://www.twitter.com/NathanBLawrence/status/992922511678427136", "992922511678427136")</f>
        <v/>
      </c>
      <c r="B1840" s="2" t="n">
        <v>43226.01561342592</v>
      </c>
      <c r="C1840" t="n">
        <v>5</v>
      </c>
      <c r="D1840" t="n">
        <v>2</v>
      </c>
      <c r="E1840" t="s">
        <v>1851</v>
      </c>
      <c r="F1840" t="s"/>
      <c r="G1840" t="s"/>
      <c r="H1840" t="s"/>
      <c r="I1840" t="s"/>
      <c r="J1840" t="n">
        <v>0.8574000000000001</v>
      </c>
      <c r="K1840" t="n">
        <v>0</v>
      </c>
      <c r="L1840" t="n">
        <v>0.747</v>
      </c>
      <c r="M1840" t="n">
        <v>0.253</v>
      </c>
    </row>
    <row r="1841" spans="1:13">
      <c r="A1841" s="1">
        <f>HYPERLINK("http://www.twitter.com/NathanBLawrence/status/992921871715725312", "992921871715725312")</f>
        <v/>
      </c>
      <c r="B1841" s="2" t="n">
        <v>43226.01384259259</v>
      </c>
      <c r="C1841" t="n">
        <v>2</v>
      </c>
      <c r="D1841" t="n">
        <v>1</v>
      </c>
      <c r="E1841" t="s">
        <v>1852</v>
      </c>
      <c r="F1841" t="s"/>
      <c r="G1841" t="s"/>
      <c r="H1841" t="s"/>
      <c r="I1841" t="s"/>
      <c r="J1841" t="n">
        <v>0.8574000000000001</v>
      </c>
      <c r="K1841" t="n">
        <v>0</v>
      </c>
      <c r="L1841" t="n">
        <v>0.747</v>
      </c>
      <c r="M1841" t="n">
        <v>0.253</v>
      </c>
    </row>
    <row r="1842" spans="1:13">
      <c r="A1842" s="1">
        <f>HYPERLINK("http://www.twitter.com/NathanBLawrence/status/992921432639262720", "992921432639262720")</f>
        <v/>
      </c>
      <c r="B1842" s="2" t="n">
        <v>43226.01262731481</v>
      </c>
      <c r="C1842" t="n">
        <v>12</v>
      </c>
      <c r="D1842" t="n">
        <v>6</v>
      </c>
      <c r="E1842" t="s">
        <v>1853</v>
      </c>
      <c r="F1842" t="s"/>
      <c r="G1842" t="s"/>
      <c r="H1842" t="s"/>
      <c r="I1842" t="s"/>
      <c r="J1842" t="n">
        <v>-0.5837</v>
      </c>
      <c r="K1842" t="n">
        <v>0.201</v>
      </c>
      <c r="L1842" t="n">
        <v>0.799</v>
      </c>
      <c r="M1842" t="n">
        <v>0</v>
      </c>
    </row>
    <row r="1843" spans="1:13">
      <c r="A1843" s="1">
        <f>HYPERLINK("http://www.twitter.com/NathanBLawrence/status/992921079210364928", "992921079210364928")</f>
        <v/>
      </c>
      <c r="B1843" s="2" t="n">
        <v>43226.0116550926</v>
      </c>
      <c r="C1843" t="n">
        <v>21</v>
      </c>
      <c r="D1843" t="n">
        <v>10</v>
      </c>
      <c r="E1843" t="s">
        <v>1854</v>
      </c>
      <c r="F1843" t="s"/>
      <c r="G1843" t="s"/>
      <c r="H1843" t="s"/>
      <c r="I1843" t="s"/>
      <c r="J1843" t="n">
        <v>-0.6623</v>
      </c>
      <c r="K1843" t="n">
        <v>0.145</v>
      </c>
      <c r="L1843" t="n">
        <v>0.855</v>
      </c>
      <c r="M1843" t="n">
        <v>0</v>
      </c>
    </row>
    <row r="1844" spans="1:13">
      <c r="A1844" s="1">
        <f>HYPERLINK("http://www.twitter.com/NathanBLawrence/status/992920697893629952", "992920697893629952")</f>
        <v/>
      </c>
      <c r="B1844" s="2" t="n">
        <v>43226.01060185185</v>
      </c>
      <c r="C1844" t="n">
        <v>7</v>
      </c>
      <c r="D1844" t="n">
        <v>3</v>
      </c>
      <c r="E1844" t="s">
        <v>1855</v>
      </c>
      <c r="F1844" t="s"/>
      <c r="G1844" t="s"/>
      <c r="H1844" t="s"/>
      <c r="I1844" t="s"/>
      <c r="J1844" t="n">
        <v>0</v>
      </c>
      <c r="K1844" t="n">
        <v>0</v>
      </c>
      <c r="L1844" t="n">
        <v>1</v>
      </c>
      <c r="M1844" t="n">
        <v>0</v>
      </c>
    </row>
    <row r="1845" spans="1:13">
      <c r="A1845" s="1">
        <f>HYPERLINK("http://www.twitter.com/NathanBLawrence/status/992920467727040512", "992920467727040512")</f>
        <v/>
      </c>
      <c r="B1845" s="2" t="n">
        <v>43226.00996527778</v>
      </c>
      <c r="C1845" t="n">
        <v>33</v>
      </c>
      <c r="D1845" t="n">
        <v>17</v>
      </c>
      <c r="E1845" t="s">
        <v>1856</v>
      </c>
      <c r="F1845" t="s"/>
      <c r="G1845" t="s"/>
      <c r="H1845" t="s"/>
      <c r="I1845" t="s"/>
      <c r="J1845" t="n">
        <v>-0.4003</v>
      </c>
      <c r="K1845" t="n">
        <v>0.166</v>
      </c>
      <c r="L1845" t="n">
        <v>0.721</v>
      </c>
      <c r="M1845" t="n">
        <v>0.113</v>
      </c>
    </row>
    <row r="1846" spans="1:13">
      <c r="A1846" s="1">
        <f>HYPERLINK("http://www.twitter.com/NathanBLawrence/status/992919568480784384", "992919568480784384")</f>
        <v/>
      </c>
      <c r="B1846" s="2" t="n">
        <v>43226.00748842592</v>
      </c>
      <c r="C1846" t="n">
        <v>3</v>
      </c>
      <c r="D1846" t="n">
        <v>2</v>
      </c>
      <c r="E1846" t="s">
        <v>1857</v>
      </c>
      <c r="F1846" t="s"/>
      <c r="G1846" t="s"/>
      <c r="H1846" t="s"/>
      <c r="I1846" t="s"/>
      <c r="J1846" t="n">
        <v>0</v>
      </c>
      <c r="K1846" t="n">
        <v>0</v>
      </c>
      <c r="L1846" t="n">
        <v>1</v>
      </c>
      <c r="M1846" t="n">
        <v>0</v>
      </c>
    </row>
    <row r="1847" spans="1:13">
      <c r="A1847" s="1">
        <f>HYPERLINK("http://www.twitter.com/NathanBLawrence/status/992919221959966720", "992919221959966720")</f>
        <v/>
      </c>
      <c r="B1847" s="2" t="n">
        <v>43226.00652777778</v>
      </c>
      <c r="C1847" t="n">
        <v>12</v>
      </c>
      <c r="D1847" t="n">
        <v>8</v>
      </c>
      <c r="E1847" t="s">
        <v>1858</v>
      </c>
      <c r="F1847" t="s"/>
      <c r="G1847" t="s"/>
      <c r="H1847" t="s"/>
      <c r="I1847" t="s"/>
      <c r="J1847" t="n">
        <v>-0.628</v>
      </c>
      <c r="K1847" t="n">
        <v>0.111</v>
      </c>
      <c r="L1847" t="n">
        <v>0.889</v>
      </c>
      <c r="M1847" t="n">
        <v>0</v>
      </c>
    </row>
    <row r="1848" spans="1:13">
      <c r="A1848" s="1">
        <f>HYPERLINK("http://www.twitter.com/NathanBLawrence/status/992918680903155713", "992918680903155713")</f>
        <v/>
      </c>
      <c r="B1848" s="2" t="n">
        <v>43226.00503472222</v>
      </c>
      <c r="C1848" t="n">
        <v>0</v>
      </c>
      <c r="D1848" t="n">
        <v>225</v>
      </c>
      <c r="E1848" t="s">
        <v>1859</v>
      </c>
      <c r="F1848">
        <f>HYPERLINK("https://video.twimg.com/amplify_video/988818197078929410/vid/1280x720/05vdrLw1wriLN0-e.mp4?tag=2", "https://video.twimg.com/amplify_video/988818197078929410/vid/1280x720/05vdrLw1wriLN0-e.mp4?tag=2")</f>
        <v/>
      </c>
      <c r="G1848" t="s"/>
      <c r="H1848" t="s"/>
      <c r="I1848" t="s"/>
      <c r="J1848" t="n">
        <v>-0.5106000000000001</v>
      </c>
      <c r="K1848" t="n">
        <v>0.142</v>
      </c>
      <c r="L1848" t="n">
        <v>0.858</v>
      </c>
      <c r="M1848" t="n">
        <v>0</v>
      </c>
    </row>
    <row r="1849" spans="1:13">
      <c r="A1849" s="1">
        <f>HYPERLINK("http://www.twitter.com/NathanBLawrence/status/992918510614462464", "992918510614462464")</f>
        <v/>
      </c>
      <c r="B1849" s="2" t="n">
        <v>43226.00457175926</v>
      </c>
      <c r="C1849" t="n">
        <v>8</v>
      </c>
      <c r="D1849" t="n">
        <v>4</v>
      </c>
      <c r="E1849" t="s">
        <v>1860</v>
      </c>
      <c r="F1849" t="s"/>
      <c r="G1849" t="s"/>
      <c r="H1849" t="s"/>
      <c r="I1849" t="s"/>
      <c r="J1849" t="n">
        <v>0</v>
      </c>
      <c r="K1849" t="n">
        <v>0</v>
      </c>
      <c r="L1849" t="n">
        <v>1</v>
      </c>
      <c r="M1849" t="n">
        <v>0</v>
      </c>
    </row>
    <row r="1850" spans="1:13">
      <c r="A1850" s="1">
        <f>HYPERLINK("http://www.twitter.com/NathanBLawrence/status/992918426975846400", "992918426975846400")</f>
        <v/>
      </c>
      <c r="B1850" s="2" t="n">
        <v>43226.00434027778</v>
      </c>
      <c r="C1850" t="n">
        <v>0</v>
      </c>
      <c r="D1850" t="n">
        <v>259</v>
      </c>
      <c r="E1850" t="s">
        <v>1861</v>
      </c>
      <c r="F1850" t="s"/>
      <c r="G1850" t="s"/>
      <c r="H1850" t="s"/>
      <c r="I1850" t="s"/>
      <c r="J1850" t="n">
        <v>0</v>
      </c>
      <c r="K1850" t="n">
        <v>0</v>
      </c>
      <c r="L1850" t="n">
        <v>1</v>
      </c>
      <c r="M1850" t="n">
        <v>0</v>
      </c>
    </row>
    <row r="1851" spans="1:13">
      <c r="A1851" s="1">
        <f>HYPERLINK("http://www.twitter.com/NathanBLawrence/status/992918189800439808", "992918189800439808")</f>
        <v/>
      </c>
      <c r="B1851" s="2" t="n">
        <v>43226.00368055556</v>
      </c>
      <c r="C1851" t="n">
        <v>13</v>
      </c>
      <c r="D1851" t="n">
        <v>4</v>
      </c>
      <c r="E1851" t="s">
        <v>1862</v>
      </c>
      <c r="F1851" t="s"/>
      <c r="G1851" t="s"/>
      <c r="H1851" t="s"/>
      <c r="I1851" t="s"/>
      <c r="J1851" t="n">
        <v>-0.9258999999999999</v>
      </c>
      <c r="K1851" t="n">
        <v>0.275</v>
      </c>
      <c r="L1851" t="n">
        <v>0.679</v>
      </c>
      <c r="M1851" t="n">
        <v>0.046</v>
      </c>
    </row>
    <row r="1852" spans="1:13">
      <c r="A1852" s="1">
        <f>HYPERLINK("http://www.twitter.com/NathanBLawrence/status/992906662963916801", "992906662963916801")</f>
        <v/>
      </c>
      <c r="B1852" s="2" t="n">
        <v>43225.971875</v>
      </c>
      <c r="C1852" t="n">
        <v>10</v>
      </c>
      <c r="D1852" t="n">
        <v>6</v>
      </c>
      <c r="E1852" t="s">
        <v>1863</v>
      </c>
      <c r="F1852" t="s"/>
      <c r="G1852" t="s"/>
      <c r="H1852" t="s"/>
      <c r="I1852" t="s"/>
      <c r="J1852" t="n">
        <v>-0.5562</v>
      </c>
      <c r="K1852" t="n">
        <v>0.14</v>
      </c>
      <c r="L1852" t="n">
        <v>0.86</v>
      </c>
      <c r="M1852" t="n">
        <v>0</v>
      </c>
    </row>
    <row r="1853" spans="1:13">
      <c r="A1853" s="1">
        <f>HYPERLINK("http://www.twitter.com/NathanBLawrence/status/992906325335068672", "992906325335068672")</f>
        <v/>
      </c>
      <c r="B1853" s="2" t="n">
        <v>43225.9709375</v>
      </c>
      <c r="C1853" t="n">
        <v>3</v>
      </c>
      <c r="D1853" t="n">
        <v>1</v>
      </c>
      <c r="E1853" t="s">
        <v>1864</v>
      </c>
      <c r="F1853" t="s"/>
      <c r="G1853" t="s"/>
      <c r="H1853" t="s"/>
      <c r="I1853" t="s"/>
      <c r="J1853" t="n">
        <v>0</v>
      </c>
      <c r="K1853" t="n">
        <v>0</v>
      </c>
      <c r="L1853" t="n">
        <v>1</v>
      </c>
      <c r="M1853" t="n">
        <v>0</v>
      </c>
    </row>
    <row r="1854" spans="1:13">
      <c r="A1854" s="1">
        <f>HYPERLINK("http://www.twitter.com/NathanBLawrence/status/992905531177160704", "992905531177160704")</f>
        <v/>
      </c>
      <c r="B1854" s="2" t="n">
        <v>43225.96875</v>
      </c>
      <c r="C1854" t="n">
        <v>10</v>
      </c>
      <c r="D1854" t="n">
        <v>7</v>
      </c>
      <c r="E1854" t="s">
        <v>1865</v>
      </c>
      <c r="F1854" t="s"/>
      <c r="G1854" t="s"/>
      <c r="H1854" t="s"/>
      <c r="I1854" t="s"/>
      <c r="J1854" t="n">
        <v>0.296</v>
      </c>
      <c r="K1854" t="n">
        <v>0</v>
      </c>
      <c r="L1854" t="n">
        <v>0.885</v>
      </c>
      <c r="M1854" t="n">
        <v>0.115</v>
      </c>
    </row>
    <row r="1855" spans="1:13">
      <c r="A1855" s="1">
        <f>HYPERLINK("http://www.twitter.com/NathanBLawrence/status/992904870733594624", "992904870733594624")</f>
        <v/>
      </c>
      <c r="B1855" s="2" t="n">
        <v>43225.96693287037</v>
      </c>
      <c r="C1855" t="n">
        <v>4</v>
      </c>
      <c r="D1855" t="n">
        <v>2</v>
      </c>
      <c r="E1855" t="s">
        <v>1866</v>
      </c>
      <c r="F1855" t="s"/>
      <c r="G1855" t="s"/>
      <c r="H1855" t="s"/>
      <c r="I1855" t="s"/>
      <c r="J1855" t="n">
        <v>0.4926</v>
      </c>
      <c r="K1855" t="n">
        <v>0.058</v>
      </c>
      <c r="L1855" t="n">
        <v>0.797</v>
      </c>
      <c r="M1855" t="n">
        <v>0.145</v>
      </c>
    </row>
    <row r="1856" spans="1:13">
      <c r="A1856" s="1">
        <f>HYPERLINK("http://www.twitter.com/NathanBLawrence/status/992904092363063296", "992904092363063296")</f>
        <v/>
      </c>
      <c r="B1856" s="2" t="n">
        <v>43225.9647800926</v>
      </c>
      <c r="C1856" t="n">
        <v>6</v>
      </c>
      <c r="D1856" t="n">
        <v>3</v>
      </c>
      <c r="E1856" t="s">
        <v>1867</v>
      </c>
      <c r="F1856" t="s"/>
      <c r="G1856" t="s"/>
      <c r="H1856" t="s"/>
      <c r="I1856" t="s"/>
      <c r="J1856" t="n">
        <v>0.3164</v>
      </c>
      <c r="K1856" t="n">
        <v>0</v>
      </c>
      <c r="L1856" t="n">
        <v>0.828</v>
      </c>
      <c r="M1856" t="n">
        <v>0.172</v>
      </c>
    </row>
    <row r="1857" spans="1:13">
      <c r="A1857" s="1">
        <f>HYPERLINK("http://www.twitter.com/NathanBLawrence/status/992903621976121345", "992903621976121345")</f>
        <v/>
      </c>
      <c r="B1857" s="2" t="n">
        <v>43225.96348379629</v>
      </c>
      <c r="C1857" t="n">
        <v>5</v>
      </c>
      <c r="D1857" t="n">
        <v>4</v>
      </c>
      <c r="E1857" t="s">
        <v>1868</v>
      </c>
      <c r="F1857" t="s"/>
      <c r="G1857" t="s"/>
      <c r="H1857" t="s"/>
      <c r="I1857" t="s"/>
      <c r="J1857" t="n">
        <v>0</v>
      </c>
      <c r="K1857" t="n">
        <v>0</v>
      </c>
      <c r="L1857" t="n">
        <v>1</v>
      </c>
      <c r="M1857" t="n">
        <v>0</v>
      </c>
    </row>
    <row r="1858" spans="1:13">
      <c r="A1858" s="1">
        <f>HYPERLINK("http://www.twitter.com/NathanBLawrence/status/992902730837446656", "992902730837446656")</f>
        <v/>
      </c>
      <c r="B1858" s="2" t="n">
        <v>43225.96101851852</v>
      </c>
      <c r="C1858" t="n">
        <v>0</v>
      </c>
      <c r="D1858" t="n">
        <v>915</v>
      </c>
      <c r="E1858" t="s">
        <v>1869</v>
      </c>
      <c r="F1858">
        <f>HYPERLINK("http://pbs.twimg.com/media/Dcdn41AV4AAATKT.jpg", "http://pbs.twimg.com/media/Dcdn41AV4AAATKT.jpg")</f>
        <v/>
      </c>
      <c r="G1858" t="s"/>
      <c r="H1858" t="s"/>
      <c r="I1858" t="s"/>
      <c r="J1858" t="n">
        <v>0.6114000000000001</v>
      </c>
      <c r="K1858" t="n">
        <v>0</v>
      </c>
      <c r="L1858" t="n">
        <v>0.773</v>
      </c>
      <c r="M1858" t="n">
        <v>0.227</v>
      </c>
    </row>
    <row r="1859" spans="1:13">
      <c r="A1859" s="1">
        <f>HYPERLINK("http://www.twitter.com/NathanBLawrence/status/992902618153287681", "992902618153287681")</f>
        <v/>
      </c>
      <c r="B1859" s="2" t="n">
        <v>43225.96071759259</v>
      </c>
      <c r="C1859" t="n">
        <v>0</v>
      </c>
      <c r="D1859" t="n">
        <v>2314</v>
      </c>
      <c r="E1859" t="s">
        <v>1870</v>
      </c>
      <c r="F1859" t="s"/>
      <c r="G1859" t="s"/>
      <c r="H1859" t="s"/>
      <c r="I1859" t="s"/>
      <c r="J1859" t="n">
        <v>-0.8126</v>
      </c>
      <c r="K1859" t="n">
        <v>0.311</v>
      </c>
      <c r="L1859" t="n">
        <v>0.643</v>
      </c>
      <c r="M1859" t="n">
        <v>0.046</v>
      </c>
    </row>
    <row r="1860" spans="1:13">
      <c r="A1860" s="1">
        <f>HYPERLINK("http://www.twitter.com/NathanBLawrence/status/992902529292816384", "992902529292816384")</f>
        <v/>
      </c>
      <c r="B1860" s="2" t="n">
        <v>43225.96046296296</v>
      </c>
      <c r="C1860" t="n">
        <v>0</v>
      </c>
      <c r="D1860" t="n">
        <v>15191</v>
      </c>
      <c r="E1860" t="s">
        <v>1871</v>
      </c>
      <c r="F1860" t="s"/>
      <c r="G1860" t="s"/>
      <c r="H1860" t="s"/>
      <c r="I1860" t="s"/>
      <c r="J1860" t="n">
        <v>-0.296</v>
      </c>
      <c r="K1860" t="n">
        <v>0.078</v>
      </c>
      <c r="L1860" t="n">
        <v>0.922</v>
      </c>
      <c r="M1860" t="n">
        <v>0</v>
      </c>
    </row>
    <row r="1861" spans="1:13">
      <c r="A1861" s="1">
        <f>HYPERLINK("http://www.twitter.com/NathanBLawrence/status/992902131500830720", "992902131500830720")</f>
        <v/>
      </c>
      <c r="B1861" s="2" t="n">
        <v>43225.959375</v>
      </c>
      <c r="C1861" t="n">
        <v>26</v>
      </c>
      <c r="D1861" t="n">
        <v>8</v>
      </c>
      <c r="E1861" t="s">
        <v>1872</v>
      </c>
      <c r="F1861" t="s"/>
      <c r="G1861" t="s"/>
      <c r="H1861" t="s"/>
      <c r="I1861" t="s"/>
      <c r="J1861" t="n">
        <v>0.8908</v>
      </c>
      <c r="K1861" t="n">
        <v>0</v>
      </c>
      <c r="L1861" t="n">
        <v>0.621</v>
      </c>
      <c r="M1861" t="n">
        <v>0.379</v>
      </c>
    </row>
    <row r="1862" spans="1:13">
      <c r="A1862" s="1">
        <f>HYPERLINK("http://www.twitter.com/NathanBLawrence/status/992856393228021760", "992856393228021760")</f>
        <v/>
      </c>
      <c r="B1862" s="2" t="n">
        <v>43225.83315972222</v>
      </c>
      <c r="C1862" t="n">
        <v>8</v>
      </c>
      <c r="D1862" t="n">
        <v>3</v>
      </c>
      <c r="E1862" t="s">
        <v>1873</v>
      </c>
      <c r="F1862" t="s"/>
      <c r="G1862" t="s"/>
      <c r="H1862" t="s"/>
      <c r="I1862" t="s"/>
      <c r="J1862" t="n">
        <v>0.4753</v>
      </c>
      <c r="K1862" t="n">
        <v>0</v>
      </c>
      <c r="L1862" t="n">
        <v>0.781</v>
      </c>
      <c r="M1862" t="n">
        <v>0.219</v>
      </c>
    </row>
    <row r="1863" spans="1:13">
      <c r="A1863" s="1">
        <f>HYPERLINK("http://www.twitter.com/NathanBLawrence/status/992856111643475968", "992856111643475968")</f>
        <v/>
      </c>
      <c r="B1863" s="2" t="n">
        <v>43225.83238425926</v>
      </c>
      <c r="C1863" t="n">
        <v>2</v>
      </c>
      <c r="D1863" t="n">
        <v>0</v>
      </c>
      <c r="E1863" t="s">
        <v>1874</v>
      </c>
      <c r="F1863" t="s"/>
      <c r="G1863" t="s"/>
      <c r="H1863" t="s"/>
      <c r="I1863" t="s"/>
      <c r="J1863" t="n">
        <v>0.4215</v>
      </c>
      <c r="K1863" t="n">
        <v>0</v>
      </c>
      <c r="L1863" t="n">
        <v>0.763</v>
      </c>
      <c r="M1863" t="n">
        <v>0.237</v>
      </c>
    </row>
    <row r="1864" spans="1:13">
      <c r="A1864" s="1">
        <f>HYPERLINK("http://www.twitter.com/NathanBLawrence/status/992855787629248512", "992855787629248512")</f>
        <v/>
      </c>
      <c r="B1864" s="2" t="n">
        <v>43225.83148148148</v>
      </c>
      <c r="C1864" t="n">
        <v>4</v>
      </c>
      <c r="D1864" t="n">
        <v>3</v>
      </c>
      <c r="E1864" t="s">
        <v>1875</v>
      </c>
      <c r="F1864" t="s"/>
      <c r="G1864" t="s"/>
      <c r="H1864" t="s"/>
      <c r="I1864" t="s"/>
      <c r="J1864" t="n">
        <v>0</v>
      </c>
      <c r="K1864" t="n">
        <v>0</v>
      </c>
      <c r="L1864" t="n">
        <v>1</v>
      </c>
      <c r="M1864" t="n">
        <v>0</v>
      </c>
    </row>
    <row r="1865" spans="1:13">
      <c r="A1865" s="1">
        <f>HYPERLINK("http://www.twitter.com/NathanBLawrence/status/992855614777835520", "992855614777835520")</f>
        <v/>
      </c>
      <c r="B1865" s="2" t="n">
        <v>43225.83100694444</v>
      </c>
      <c r="C1865" t="n">
        <v>3</v>
      </c>
      <c r="D1865" t="n">
        <v>3</v>
      </c>
      <c r="E1865" t="s">
        <v>1876</v>
      </c>
      <c r="F1865" t="s"/>
      <c r="G1865" t="s"/>
      <c r="H1865" t="s"/>
      <c r="I1865" t="s"/>
      <c r="J1865" t="n">
        <v>-0.296</v>
      </c>
      <c r="K1865" t="n">
        <v>0.18</v>
      </c>
      <c r="L1865" t="n">
        <v>0.82</v>
      </c>
      <c r="M1865" t="n">
        <v>0</v>
      </c>
    </row>
    <row r="1866" spans="1:13">
      <c r="A1866" s="1">
        <f>HYPERLINK("http://www.twitter.com/NathanBLawrence/status/992855459118792704", "992855459118792704")</f>
        <v/>
      </c>
      <c r="B1866" s="2" t="n">
        <v>43225.8305787037</v>
      </c>
      <c r="C1866" t="n">
        <v>9</v>
      </c>
      <c r="D1866" t="n">
        <v>4</v>
      </c>
      <c r="E1866" t="s">
        <v>1877</v>
      </c>
      <c r="F1866" t="s"/>
      <c r="G1866" t="s"/>
      <c r="H1866" t="s"/>
      <c r="I1866" t="s"/>
      <c r="J1866" t="n">
        <v>-0.3939</v>
      </c>
      <c r="K1866" t="n">
        <v>0.114</v>
      </c>
      <c r="L1866" t="n">
        <v>0.82</v>
      </c>
      <c r="M1866" t="n">
        <v>0.065</v>
      </c>
    </row>
    <row r="1867" spans="1:13">
      <c r="A1867" s="1">
        <f>HYPERLINK("http://www.twitter.com/NathanBLawrence/status/992854188177567746", "992854188177567746")</f>
        <v/>
      </c>
      <c r="B1867" s="2" t="n">
        <v>43225.82707175926</v>
      </c>
      <c r="C1867" t="n">
        <v>21</v>
      </c>
      <c r="D1867" t="n">
        <v>13</v>
      </c>
      <c r="E1867" t="s">
        <v>1878</v>
      </c>
      <c r="F1867" t="s"/>
      <c r="G1867" t="s"/>
      <c r="H1867" t="s"/>
      <c r="I1867" t="s"/>
      <c r="J1867" t="n">
        <v>-0.8977000000000001</v>
      </c>
      <c r="K1867" t="n">
        <v>0.287</v>
      </c>
      <c r="L1867" t="n">
        <v>0.713</v>
      </c>
      <c r="M1867" t="n">
        <v>0</v>
      </c>
    </row>
    <row r="1868" spans="1:13">
      <c r="A1868" s="1">
        <f>HYPERLINK("http://www.twitter.com/NathanBLawrence/status/992853914193047552", "992853914193047552")</f>
        <v/>
      </c>
      <c r="B1868" s="2" t="n">
        <v>43225.82631944444</v>
      </c>
      <c r="C1868" t="n">
        <v>0</v>
      </c>
      <c r="D1868" t="n">
        <v>547</v>
      </c>
      <c r="E1868" t="s">
        <v>1879</v>
      </c>
      <c r="F1868" t="s"/>
      <c r="G1868" t="s"/>
      <c r="H1868" t="s"/>
      <c r="I1868" t="s"/>
      <c r="J1868" t="n">
        <v>-0.891</v>
      </c>
      <c r="K1868" t="n">
        <v>0.346</v>
      </c>
      <c r="L1868" t="n">
        <v>0.654</v>
      </c>
      <c r="M1868" t="n">
        <v>0</v>
      </c>
    </row>
    <row r="1869" spans="1:13">
      <c r="A1869" s="1">
        <f>HYPERLINK("http://www.twitter.com/NathanBLawrence/status/992853864599597056", "992853864599597056")</f>
        <v/>
      </c>
      <c r="B1869" s="2" t="n">
        <v>43225.82618055555</v>
      </c>
      <c r="C1869" t="n">
        <v>0</v>
      </c>
      <c r="D1869" t="n">
        <v>2</v>
      </c>
      <c r="E1869" t="s">
        <v>1880</v>
      </c>
      <c r="F1869" t="s"/>
      <c r="G1869" t="s"/>
      <c r="H1869" t="s"/>
      <c r="I1869" t="s"/>
      <c r="J1869" t="n">
        <v>0.8197</v>
      </c>
      <c r="K1869" t="n">
        <v>0</v>
      </c>
      <c r="L1869" t="n">
        <v>0.744</v>
      </c>
      <c r="M1869" t="n">
        <v>0.256</v>
      </c>
    </row>
    <row r="1870" spans="1:13">
      <c r="A1870" s="1">
        <f>HYPERLINK("http://www.twitter.com/NathanBLawrence/status/992853824850165761", "992853824850165761")</f>
        <v/>
      </c>
      <c r="B1870" s="2" t="n">
        <v>43225.82606481481</v>
      </c>
      <c r="C1870" t="n">
        <v>9</v>
      </c>
      <c r="D1870" t="n">
        <v>5</v>
      </c>
      <c r="E1870" t="s">
        <v>1881</v>
      </c>
      <c r="F1870" t="s"/>
      <c r="G1870" t="s"/>
      <c r="H1870" t="s"/>
      <c r="I1870" t="s"/>
      <c r="J1870" t="n">
        <v>-0.6229</v>
      </c>
      <c r="K1870" t="n">
        <v>0.271</v>
      </c>
      <c r="L1870" t="n">
        <v>0.729</v>
      </c>
      <c r="M1870" t="n">
        <v>0</v>
      </c>
    </row>
    <row r="1871" spans="1:13">
      <c r="A1871" s="1">
        <f>HYPERLINK("http://www.twitter.com/NathanBLawrence/status/992853612983283713", "992853612983283713")</f>
        <v/>
      </c>
      <c r="B1871" s="2" t="n">
        <v>43225.82548611111</v>
      </c>
      <c r="C1871" t="n">
        <v>0</v>
      </c>
      <c r="D1871" t="n">
        <v>1206</v>
      </c>
      <c r="E1871" t="s">
        <v>1882</v>
      </c>
      <c r="F1871" t="s"/>
      <c r="G1871" t="s"/>
      <c r="H1871" t="s"/>
      <c r="I1871" t="s"/>
      <c r="J1871" t="n">
        <v>0</v>
      </c>
      <c r="K1871" t="n">
        <v>0</v>
      </c>
      <c r="L1871" t="n">
        <v>1</v>
      </c>
      <c r="M1871" t="n">
        <v>0</v>
      </c>
    </row>
    <row r="1872" spans="1:13">
      <c r="A1872" s="1">
        <f>HYPERLINK("http://www.twitter.com/NathanBLawrence/status/992853583786790912", "992853583786790912")</f>
        <v/>
      </c>
      <c r="B1872" s="2" t="n">
        <v>43225.82540509259</v>
      </c>
      <c r="C1872" t="n">
        <v>0</v>
      </c>
      <c r="D1872" t="n">
        <v>1507</v>
      </c>
      <c r="E1872" t="s">
        <v>1883</v>
      </c>
      <c r="F1872" t="s"/>
      <c r="G1872" t="s"/>
      <c r="H1872" t="s"/>
      <c r="I1872" t="s"/>
      <c r="J1872" t="n">
        <v>0.9285</v>
      </c>
      <c r="K1872" t="n">
        <v>0</v>
      </c>
      <c r="L1872" t="n">
        <v>0.464</v>
      </c>
      <c r="M1872" t="n">
        <v>0.536</v>
      </c>
    </row>
    <row r="1873" spans="1:13">
      <c r="A1873" s="1">
        <f>HYPERLINK("http://www.twitter.com/NathanBLawrence/status/992853547090722816", "992853547090722816")</f>
        <v/>
      </c>
      <c r="B1873" s="2" t="n">
        <v>43225.82530092593</v>
      </c>
      <c r="C1873" t="n">
        <v>3</v>
      </c>
      <c r="D1873" t="n">
        <v>1</v>
      </c>
      <c r="E1873" t="s">
        <v>1884</v>
      </c>
      <c r="F1873" t="s"/>
      <c r="G1873" t="s"/>
      <c r="H1873" t="s"/>
      <c r="I1873" t="s"/>
      <c r="J1873" t="n">
        <v>0</v>
      </c>
      <c r="K1873" t="n">
        <v>0</v>
      </c>
      <c r="L1873" t="n">
        <v>1</v>
      </c>
      <c r="M1873" t="n">
        <v>0</v>
      </c>
    </row>
    <row r="1874" spans="1:13">
      <c r="A1874" s="1">
        <f>HYPERLINK("http://www.twitter.com/NathanBLawrence/status/992853397714886656", "992853397714886656")</f>
        <v/>
      </c>
      <c r="B1874" s="2" t="n">
        <v>43225.82488425926</v>
      </c>
      <c r="C1874" t="n">
        <v>0</v>
      </c>
      <c r="D1874" t="n">
        <v>102</v>
      </c>
      <c r="E1874" t="s">
        <v>1885</v>
      </c>
      <c r="F1874">
        <f>HYPERLINK("http://pbs.twimg.com/media/DbQZ4P6U0AE8S0p.jpg", "http://pbs.twimg.com/media/DbQZ4P6U0AE8S0p.jpg")</f>
        <v/>
      </c>
      <c r="G1874">
        <f>HYPERLINK("http://pbs.twimg.com/media/DbQZ4P6U0AIrFEc.jpg", "http://pbs.twimg.com/media/DbQZ4P6U0AIrFEc.jpg")</f>
        <v/>
      </c>
      <c r="H1874" t="s"/>
      <c r="I1874" t="s"/>
      <c r="J1874" t="n">
        <v>0</v>
      </c>
      <c r="K1874" t="n">
        <v>0</v>
      </c>
      <c r="L1874" t="n">
        <v>1</v>
      </c>
      <c r="M1874" t="n">
        <v>0</v>
      </c>
    </row>
    <row r="1875" spans="1:13">
      <c r="A1875" s="1">
        <f>HYPERLINK("http://www.twitter.com/NathanBLawrence/status/992853358615539712", "992853358615539712")</f>
        <v/>
      </c>
      <c r="B1875" s="2" t="n">
        <v>43225.82478009259</v>
      </c>
      <c r="C1875" t="n">
        <v>0</v>
      </c>
      <c r="D1875" t="n">
        <v>240</v>
      </c>
      <c r="E1875" t="s">
        <v>1886</v>
      </c>
      <c r="F1875" t="s"/>
      <c r="G1875" t="s"/>
      <c r="H1875" t="s"/>
      <c r="I1875" t="s"/>
      <c r="J1875" t="n">
        <v>-0.4215</v>
      </c>
      <c r="K1875" t="n">
        <v>0.141</v>
      </c>
      <c r="L1875" t="n">
        <v>0.859</v>
      </c>
      <c r="M1875" t="n">
        <v>0</v>
      </c>
    </row>
    <row r="1876" spans="1:13">
      <c r="A1876" s="1">
        <f>HYPERLINK("http://www.twitter.com/NathanBLawrence/status/992853264222703616", "992853264222703616")</f>
        <v/>
      </c>
      <c r="B1876" s="2" t="n">
        <v>43225.82452546297</v>
      </c>
      <c r="C1876" t="n">
        <v>0</v>
      </c>
      <c r="D1876" t="n">
        <v>12</v>
      </c>
      <c r="E1876" t="s">
        <v>1887</v>
      </c>
      <c r="F1876">
        <f>HYPERLINK("http://pbs.twimg.com/media/DccsvoGWkAMLx39.jpg", "http://pbs.twimg.com/media/DccsvoGWkAMLx39.jpg")</f>
        <v/>
      </c>
      <c r="G1876" t="s"/>
      <c r="H1876" t="s"/>
      <c r="I1876" t="s"/>
      <c r="J1876" t="n">
        <v>0</v>
      </c>
      <c r="K1876" t="n">
        <v>0</v>
      </c>
      <c r="L1876" t="n">
        <v>1</v>
      </c>
      <c r="M1876" t="n">
        <v>0</v>
      </c>
    </row>
    <row r="1877" spans="1:13">
      <c r="A1877" s="1">
        <f>HYPERLINK("http://www.twitter.com/NathanBLawrence/status/992853117174562816", "992853117174562816")</f>
        <v/>
      </c>
      <c r="B1877" s="2" t="n">
        <v>43225.82412037037</v>
      </c>
      <c r="C1877" t="n">
        <v>3</v>
      </c>
      <c r="D1877" t="n">
        <v>1</v>
      </c>
      <c r="E1877" t="s">
        <v>1888</v>
      </c>
      <c r="F1877" t="s"/>
      <c r="G1877" t="s"/>
      <c r="H1877" t="s"/>
      <c r="I1877" t="s"/>
      <c r="J1877" t="n">
        <v>0</v>
      </c>
      <c r="K1877" t="n">
        <v>0</v>
      </c>
      <c r="L1877" t="n">
        <v>1</v>
      </c>
      <c r="M1877" t="n">
        <v>0</v>
      </c>
    </row>
    <row r="1878" spans="1:13">
      <c r="A1878" s="1">
        <f>HYPERLINK("http://www.twitter.com/NathanBLawrence/status/992852998387728384", "992852998387728384")</f>
        <v/>
      </c>
      <c r="B1878" s="2" t="n">
        <v>43225.82378472222</v>
      </c>
      <c r="C1878" t="n">
        <v>0</v>
      </c>
      <c r="D1878" t="n">
        <v>17504</v>
      </c>
      <c r="E1878" t="s">
        <v>1889</v>
      </c>
      <c r="F1878" t="s"/>
      <c r="G1878" t="s"/>
      <c r="H1878" t="s"/>
      <c r="I1878" t="s"/>
      <c r="J1878" t="n">
        <v>0</v>
      </c>
      <c r="K1878" t="n">
        <v>0</v>
      </c>
      <c r="L1878" t="n">
        <v>1</v>
      </c>
      <c r="M1878" t="n">
        <v>0</v>
      </c>
    </row>
    <row r="1879" spans="1:13">
      <c r="A1879" s="1">
        <f>HYPERLINK("http://www.twitter.com/NathanBLawrence/status/992852940216877056", "992852940216877056")</f>
        <v/>
      </c>
      <c r="B1879" s="2" t="n">
        <v>43225.82362268519</v>
      </c>
      <c r="C1879" t="n">
        <v>0</v>
      </c>
      <c r="D1879" t="n">
        <v>1684</v>
      </c>
      <c r="E1879" t="s">
        <v>1890</v>
      </c>
      <c r="F1879" t="s"/>
      <c r="G1879" t="s"/>
      <c r="H1879" t="s"/>
      <c r="I1879" t="s"/>
      <c r="J1879" t="n">
        <v>0.7776999999999999</v>
      </c>
      <c r="K1879" t="n">
        <v>0</v>
      </c>
      <c r="L1879" t="n">
        <v>0.746</v>
      </c>
      <c r="M1879" t="n">
        <v>0.254</v>
      </c>
    </row>
    <row r="1880" spans="1:13">
      <c r="A1880" s="1">
        <f>HYPERLINK("http://www.twitter.com/NathanBLawrence/status/992852860793581568", "992852860793581568")</f>
        <v/>
      </c>
      <c r="B1880" s="2" t="n">
        <v>43225.82340277778</v>
      </c>
      <c r="C1880" t="n">
        <v>6</v>
      </c>
      <c r="D1880" t="n">
        <v>2</v>
      </c>
      <c r="E1880" t="s">
        <v>1891</v>
      </c>
      <c r="F1880" t="s"/>
      <c r="G1880" t="s"/>
      <c r="H1880" t="s"/>
      <c r="I1880" t="s"/>
      <c r="J1880" t="n">
        <v>0.5707</v>
      </c>
      <c r="K1880" t="n">
        <v>0</v>
      </c>
      <c r="L1880" t="n">
        <v>0.575</v>
      </c>
      <c r="M1880" t="n">
        <v>0.425</v>
      </c>
    </row>
    <row r="1881" spans="1:13">
      <c r="A1881" s="1">
        <f>HYPERLINK("http://www.twitter.com/NathanBLawrence/status/992852628781518848", "992852628781518848")</f>
        <v/>
      </c>
      <c r="B1881" s="2" t="n">
        <v>43225.8227662037</v>
      </c>
      <c r="C1881" t="n">
        <v>0</v>
      </c>
      <c r="D1881" t="n">
        <v>795</v>
      </c>
      <c r="E1881" t="s">
        <v>1892</v>
      </c>
      <c r="F1881">
        <f>HYPERLINK("http://pbs.twimg.com/media/DccrCFJU0AAscGB.jpg", "http://pbs.twimg.com/media/DccrCFJU0AAscGB.jpg")</f>
        <v/>
      </c>
      <c r="G1881" t="s"/>
      <c r="H1881" t="s"/>
      <c r="I1881" t="s"/>
      <c r="J1881" t="n">
        <v>0</v>
      </c>
      <c r="K1881" t="n">
        <v>0</v>
      </c>
      <c r="L1881" t="n">
        <v>1</v>
      </c>
      <c r="M1881" t="n">
        <v>0</v>
      </c>
    </row>
    <row r="1882" spans="1:13">
      <c r="A1882" s="1">
        <f>HYPERLINK("http://www.twitter.com/NathanBLawrence/status/992852517556961280", "992852517556961280")</f>
        <v/>
      </c>
      <c r="B1882" s="2" t="n">
        <v>43225.82246527778</v>
      </c>
      <c r="C1882" t="n">
        <v>0</v>
      </c>
      <c r="D1882" t="n">
        <v>321</v>
      </c>
      <c r="E1882" t="s">
        <v>1893</v>
      </c>
      <c r="F1882" t="s"/>
      <c r="G1882" t="s"/>
      <c r="H1882" t="s"/>
      <c r="I1882" t="s"/>
      <c r="J1882" t="n">
        <v>0</v>
      </c>
      <c r="K1882" t="n">
        <v>0</v>
      </c>
      <c r="L1882" t="n">
        <v>1</v>
      </c>
      <c r="M1882" t="n">
        <v>0</v>
      </c>
    </row>
    <row r="1883" spans="1:13">
      <c r="A1883" s="1">
        <f>HYPERLINK("http://www.twitter.com/NathanBLawrence/status/992852460396937216", "992852460396937216")</f>
        <v/>
      </c>
      <c r="B1883" s="2" t="n">
        <v>43225.82230324074</v>
      </c>
      <c r="C1883" t="n">
        <v>0</v>
      </c>
      <c r="D1883" t="n">
        <v>48</v>
      </c>
      <c r="E1883" t="s">
        <v>1894</v>
      </c>
      <c r="F1883" t="s"/>
      <c r="G1883" t="s"/>
      <c r="H1883" t="s"/>
      <c r="I1883" t="s"/>
      <c r="J1883" t="n">
        <v>-0.5106000000000001</v>
      </c>
      <c r="K1883" t="n">
        <v>0.251</v>
      </c>
      <c r="L1883" t="n">
        <v>0.576</v>
      </c>
      <c r="M1883" t="n">
        <v>0.173</v>
      </c>
    </row>
    <row r="1884" spans="1:13">
      <c r="A1884" s="1">
        <f>HYPERLINK("http://www.twitter.com/NathanBLawrence/status/992852306386300928", "992852306386300928")</f>
        <v/>
      </c>
      <c r="B1884" s="2" t="n">
        <v>43225.821875</v>
      </c>
      <c r="C1884" t="n">
        <v>0</v>
      </c>
      <c r="D1884" t="n">
        <v>10</v>
      </c>
      <c r="E1884" t="s">
        <v>1895</v>
      </c>
      <c r="F1884" t="s"/>
      <c r="G1884" t="s"/>
      <c r="H1884" t="s"/>
      <c r="I1884" t="s"/>
      <c r="J1884" t="n">
        <v>-0.6249</v>
      </c>
      <c r="K1884" t="n">
        <v>0.362</v>
      </c>
      <c r="L1884" t="n">
        <v>0.638</v>
      </c>
      <c r="M1884" t="n">
        <v>0</v>
      </c>
    </row>
    <row r="1885" spans="1:13">
      <c r="A1885" s="1">
        <f>HYPERLINK("http://www.twitter.com/NathanBLawrence/status/992852223917936640", "992852223917936640")</f>
        <v/>
      </c>
      <c r="B1885" s="2" t="n">
        <v>43225.82165509259</v>
      </c>
      <c r="C1885" t="n">
        <v>0</v>
      </c>
      <c r="D1885" t="n">
        <v>3</v>
      </c>
      <c r="E1885" t="s">
        <v>1896</v>
      </c>
      <c r="F1885" t="s"/>
      <c r="G1885" t="s"/>
      <c r="H1885" t="s"/>
      <c r="I1885" t="s"/>
      <c r="J1885" t="n">
        <v>-0.2263</v>
      </c>
      <c r="K1885" t="n">
        <v>0.119</v>
      </c>
      <c r="L1885" t="n">
        <v>0.881</v>
      </c>
      <c r="M1885" t="n">
        <v>0</v>
      </c>
    </row>
    <row r="1886" spans="1:13">
      <c r="A1886" s="1">
        <f>HYPERLINK("http://www.twitter.com/NathanBLawrence/status/992852182964748288", "992852182964748288")</f>
        <v/>
      </c>
      <c r="B1886" s="2" t="n">
        <v>43225.82153935185</v>
      </c>
      <c r="C1886" t="n">
        <v>0</v>
      </c>
      <c r="D1886" t="n">
        <v>1387</v>
      </c>
      <c r="E1886" t="s">
        <v>1897</v>
      </c>
      <c r="F1886">
        <f>HYPERLINK("http://pbs.twimg.com/media/DcYF106VAAAE50D.jpg", "http://pbs.twimg.com/media/DcYF106VAAAE50D.jpg")</f>
        <v/>
      </c>
      <c r="G1886" t="s"/>
      <c r="H1886" t="s"/>
      <c r="I1886" t="s"/>
      <c r="J1886" t="n">
        <v>0.5461</v>
      </c>
      <c r="K1886" t="n">
        <v>0</v>
      </c>
      <c r="L1886" t="n">
        <v>0.828</v>
      </c>
      <c r="M1886" t="n">
        <v>0.172</v>
      </c>
    </row>
    <row r="1887" spans="1:13">
      <c r="A1887" s="1">
        <f>HYPERLINK("http://www.twitter.com/NathanBLawrence/status/992852012906643458", "992852012906643458")</f>
        <v/>
      </c>
      <c r="B1887" s="2" t="n">
        <v>43225.82106481482</v>
      </c>
      <c r="C1887" t="n">
        <v>0</v>
      </c>
      <c r="D1887" t="n">
        <v>5998</v>
      </c>
      <c r="E1887" t="s">
        <v>1898</v>
      </c>
      <c r="F1887" t="s"/>
      <c r="G1887" t="s"/>
      <c r="H1887" t="s"/>
      <c r="I1887" t="s"/>
      <c r="J1887" t="n">
        <v>0.7097</v>
      </c>
      <c r="K1887" t="n">
        <v>0</v>
      </c>
      <c r="L1887" t="n">
        <v>0.788</v>
      </c>
      <c r="M1887" t="n">
        <v>0.212</v>
      </c>
    </row>
    <row r="1888" spans="1:13">
      <c r="A1888" s="1">
        <f>HYPERLINK("http://www.twitter.com/NathanBLawrence/status/992851949321011200", "992851949321011200")</f>
        <v/>
      </c>
      <c r="B1888" s="2" t="n">
        <v>43225.8208912037</v>
      </c>
      <c r="C1888" t="n">
        <v>0</v>
      </c>
      <c r="D1888" t="n">
        <v>139</v>
      </c>
      <c r="E1888" t="s">
        <v>1899</v>
      </c>
      <c r="F1888">
        <f>HYPERLINK("http://pbs.twimg.com/media/DcdPrF4U8AA5rul.jpg", "http://pbs.twimg.com/media/DcdPrF4U8AA5rul.jpg")</f>
        <v/>
      </c>
      <c r="G1888" t="s"/>
      <c r="H1888" t="s"/>
      <c r="I1888" t="s"/>
      <c r="J1888" t="n">
        <v>0.3818</v>
      </c>
      <c r="K1888" t="n">
        <v>0</v>
      </c>
      <c r="L1888" t="n">
        <v>0.885</v>
      </c>
      <c r="M1888" t="n">
        <v>0.115</v>
      </c>
    </row>
    <row r="1889" spans="1:13">
      <c r="A1889" s="1">
        <f>HYPERLINK("http://www.twitter.com/NathanBLawrence/status/992851815178764288", "992851815178764288")</f>
        <v/>
      </c>
      <c r="B1889" s="2" t="n">
        <v>43225.82052083333</v>
      </c>
      <c r="C1889" t="n">
        <v>0</v>
      </c>
      <c r="D1889" t="n">
        <v>773</v>
      </c>
      <c r="E1889" t="s">
        <v>1900</v>
      </c>
      <c r="F1889">
        <f>HYPERLINK("https://video.twimg.com/ext_tw_video/992849533934583808/pu/vid/720x720/TC2ylQDlLEZD00S1.mp4?tag=3", "https://video.twimg.com/ext_tw_video/992849533934583808/pu/vid/720x720/TC2ylQDlLEZD00S1.mp4?tag=3")</f>
        <v/>
      </c>
      <c r="G1889" t="s"/>
      <c r="H1889" t="s"/>
      <c r="I1889" t="s"/>
      <c r="J1889" t="n">
        <v>-0.6705</v>
      </c>
      <c r="K1889" t="n">
        <v>0.257</v>
      </c>
      <c r="L1889" t="n">
        <v>0.661</v>
      </c>
      <c r="M1889" t="n">
        <v>0.082</v>
      </c>
    </row>
    <row r="1890" spans="1:13">
      <c r="A1890" s="1">
        <f>HYPERLINK("http://www.twitter.com/NathanBLawrence/status/992851680629743616", "992851680629743616")</f>
        <v/>
      </c>
      <c r="B1890" s="2" t="n">
        <v>43225.82015046296</v>
      </c>
      <c r="C1890" t="n">
        <v>10</v>
      </c>
      <c r="D1890" t="n">
        <v>4</v>
      </c>
      <c r="E1890" t="s">
        <v>1901</v>
      </c>
      <c r="F1890" t="s"/>
      <c r="G1890" t="s"/>
      <c r="H1890" t="s"/>
      <c r="I1890" t="s"/>
      <c r="J1890" t="n">
        <v>-0.7814</v>
      </c>
      <c r="K1890" t="n">
        <v>0.533</v>
      </c>
      <c r="L1890" t="n">
        <v>0.467</v>
      </c>
      <c r="M1890" t="n">
        <v>0</v>
      </c>
    </row>
    <row r="1891" spans="1:13">
      <c r="A1891" s="1">
        <f>HYPERLINK("http://www.twitter.com/NathanBLawrence/status/992851475003916288", "992851475003916288")</f>
        <v/>
      </c>
      <c r="B1891" s="2" t="n">
        <v>43225.81958333333</v>
      </c>
      <c r="C1891" t="n">
        <v>5</v>
      </c>
      <c r="D1891" t="n">
        <v>2</v>
      </c>
      <c r="E1891" t="s">
        <v>1902</v>
      </c>
      <c r="F1891" t="s"/>
      <c r="G1891" t="s"/>
      <c r="H1891" t="s"/>
      <c r="I1891" t="s"/>
      <c r="J1891" t="n">
        <v>0</v>
      </c>
      <c r="K1891" t="n">
        <v>0</v>
      </c>
      <c r="L1891" t="n">
        <v>1</v>
      </c>
      <c r="M1891" t="n">
        <v>0</v>
      </c>
    </row>
    <row r="1892" spans="1:13">
      <c r="A1892" s="1">
        <f>HYPERLINK("http://www.twitter.com/NathanBLawrence/status/992625715458727936", "992625715458727936")</f>
        <v/>
      </c>
      <c r="B1892" s="2" t="n">
        <v>43225.19660879629</v>
      </c>
      <c r="C1892" t="n">
        <v>16</v>
      </c>
      <c r="D1892" t="n">
        <v>7</v>
      </c>
      <c r="E1892" t="s">
        <v>1903</v>
      </c>
      <c r="F1892" t="s"/>
      <c r="G1892" t="s"/>
      <c r="H1892" t="s"/>
      <c r="I1892" t="s"/>
      <c r="J1892" t="n">
        <v>0.7734</v>
      </c>
      <c r="K1892" t="n">
        <v>0</v>
      </c>
      <c r="L1892" t="n">
        <v>0.822</v>
      </c>
      <c r="M1892" t="n">
        <v>0.178</v>
      </c>
    </row>
    <row r="1893" spans="1:13">
      <c r="A1893" s="1">
        <f>HYPERLINK("http://www.twitter.com/NathanBLawrence/status/992625557224353792", "992625557224353792")</f>
        <v/>
      </c>
      <c r="B1893" s="2" t="n">
        <v>43225.19616898148</v>
      </c>
      <c r="C1893" t="n">
        <v>2</v>
      </c>
      <c r="D1893" t="n">
        <v>1</v>
      </c>
      <c r="E1893" t="s">
        <v>1904</v>
      </c>
      <c r="F1893" t="s"/>
      <c r="G1893" t="s"/>
      <c r="H1893" t="s"/>
      <c r="I1893" t="s"/>
      <c r="J1893" t="n">
        <v>0</v>
      </c>
      <c r="K1893" t="n">
        <v>0</v>
      </c>
      <c r="L1893" t="n">
        <v>1</v>
      </c>
      <c r="M1893" t="n">
        <v>0</v>
      </c>
    </row>
    <row r="1894" spans="1:13">
      <c r="A1894" s="1">
        <f>HYPERLINK("http://www.twitter.com/NathanBLawrence/status/992625447056756736", "992625447056756736")</f>
        <v/>
      </c>
      <c r="B1894" s="2" t="n">
        <v>43225.19586805555</v>
      </c>
      <c r="C1894" t="n">
        <v>9</v>
      </c>
      <c r="D1894" t="n">
        <v>7</v>
      </c>
      <c r="E1894" t="s">
        <v>1905</v>
      </c>
      <c r="F1894" t="s"/>
      <c r="G1894" t="s"/>
      <c r="H1894" t="s"/>
      <c r="I1894" t="s"/>
      <c r="J1894" t="n">
        <v>-0.4767</v>
      </c>
      <c r="K1894" t="n">
        <v>0.237</v>
      </c>
      <c r="L1894" t="n">
        <v>0.763</v>
      </c>
      <c r="M1894" t="n">
        <v>0</v>
      </c>
    </row>
    <row r="1895" spans="1:13">
      <c r="A1895" s="1">
        <f>HYPERLINK("http://www.twitter.com/NathanBLawrence/status/992625258120204288", "992625258120204288")</f>
        <v/>
      </c>
      <c r="B1895" s="2" t="n">
        <v>43225.19534722222</v>
      </c>
      <c r="C1895" t="n">
        <v>2</v>
      </c>
      <c r="D1895" t="n">
        <v>4</v>
      </c>
      <c r="E1895" t="s">
        <v>1906</v>
      </c>
      <c r="F1895" t="s"/>
      <c r="G1895" t="s"/>
      <c r="H1895" t="s"/>
      <c r="I1895" t="s"/>
      <c r="J1895" t="n">
        <v>0.6696</v>
      </c>
      <c r="K1895" t="n">
        <v>0</v>
      </c>
      <c r="L1895" t="n">
        <v>0.77</v>
      </c>
      <c r="M1895" t="n">
        <v>0.23</v>
      </c>
    </row>
    <row r="1896" spans="1:13">
      <c r="A1896" s="1">
        <f>HYPERLINK("http://www.twitter.com/NathanBLawrence/status/992624987780534272", "992624987780534272")</f>
        <v/>
      </c>
      <c r="B1896" s="2" t="n">
        <v>43225.19459490741</v>
      </c>
      <c r="C1896" t="n">
        <v>10</v>
      </c>
      <c r="D1896" t="n">
        <v>9</v>
      </c>
      <c r="E1896" t="s">
        <v>1907</v>
      </c>
      <c r="F1896" t="s"/>
      <c r="G1896" t="s"/>
      <c r="H1896" t="s"/>
      <c r="I1896" t="s"/>
      <c r="J1896" t="n">
        <v>-0.2617</v>
      </c>
      <c r="K1896" t="n">
        <v>0.046</v>
      </c>
      <c r="L1896" t="n">
        <v>0.9320000000000001</v>
      </c>
      <c r="M1896" t="n">
        <v>0.023</v>
      </c>
    </row>
    <row r="1897" spans="1:13">
      <c r="A1897" s="1">
        <f>HYPERLINK("http://www.twitter.com/NathanBLawrence/status/992624661862072320", "992624661862072320")</f>
        <v/>
      </c>
      <c r="B1897" s="2" t="n">
        <v>43225.19370370371</v>
      </c>
      <c r="C1897" t="n">
        <v>7</v>
      </c>
      <c r="D1897" t="n">
        <v>4</v>
      </c>
      <c r="E1897" t="s">
        <v>1908</v>
      </c>
      <c r="F1897" t="s"/>
      <c r="G1897" t="s"/>
      <c r="H1897" t="s"/>
      <c r="I1897" t="s"/>
      <c r="J1897" t="n">
        <v>0.5766</v>
      </c>
      <c r="K1897" t="n">
        <v>0.063</v>
      </c>
      <c r="L1897" t="n">
        <v>0.732</v>
      </c>
      <c r="M1897" t="n">
        <v>0.206</v>
      </c>
    </row>
    <row r="1898" spans="1:13">
      <c r="A1898" s="1">
        <f>HYPERLINK("http://www.twitter.com/NathanBLawrence/status/992623943327477760", "992623943327477760")</f>
        <v/>
      </c>
      <c r="B1898" s="2" t="n">
        <v>43225.19171296297</v>
      </c>
      <c r="C1898" t="n">
        <v>22</v>
      </c>
      <c r="D1898" t="n">
        <v>11</v>
      </c>
      <c r="E1898" t="s">
        <v>1909</v>
      </c>
      <c r="F1898" t="s"/>
      <c r="G1898" t="s"/>
      <c r="H1898" t="s"/>
      <c r="I1898" t="s"/>
      <c r="J1898" t="n">
        <v>0.4003</v>
      </c>
      <c r="K1898" t="n">
        <v>0</v>
      </c>
      <c r="L1898" t="n">
        <v>0.899</v>
      </c>
      <c r="M1898" t="n">
        <v>0.101</v>
      </c>
    </row>
    <row r="1899" spans="1:13">
      <c r="A1899" s="1">
        <f>HYPERLINK("http://www.twitter.com/NathanBLawrence/status/992623502862635008", "992623502862635008")</f>
        <v/>
      </c>
      <c r="B1899" s="2" t="n">
        <v>43225.19049768519</v>
      </c>
      <c r="C1899" t="n">
        <v>7</v>
      </c>
      <c r="D1899" t="n">
        <v>2</v>
      </c>
      <c r="E1899" t="s">
        <v>1910</v>
      </c>
      <c r="F1899" t="s"/>
      <c r="G1899" t="s"/>
      <c r="H1899" t="s"/>
      <c r="I1899" t="s"/>
      <c r="J1899" t="n">
        <v>0.0516</v>
      </c>
      <c r="K1899" t="n">
        <v>0.08</v>
      </c>
      <c r="L1899" t="n">
        <v>0.833</v>
      </c>
      <c r="M1899" t="n">
        <v>0.08599999999999999</v>
      </c>
    </row>
    <row r="1900" spans="1:13">
      <c r="A1900" s="1">
        <f>HYPERLINK("http://www.twitter.com/NathanBLawrence/status/992623277083316224", "992623277083316224")</f>
        <v/>
      </c>
      <c r="B1900" s="2" t="n">
        <v>43225.18987268519</v>
      </c>
      <c r="C1900" t="n">
        <v>2</v>
      </c>
      <c r="D1900" t="n">
        <v>1</v>
      </c>
      <c r="E1900" t="s">
        <v>1844</v>
      </c>
      <c r="F1900" t="s"/>
      <c r="G1900" t="s"/>
      <c r="H1900" t="s"/>
      <c r="I1900" t="s"/>
      <c r="J1900" t="n">
        <v>-0.5106000000000001</v>
      </c>
      <c r="K1900" t="n">
        <v>0.248</v>
      </c>
      <c r="L1900" t="n">
        <v>0.752</v>
      </c>
      <c r="M1900" t="n">
        <v>0</v>
      </c>
    </row>
    <row r="1901" spans="1:13">
      <c r="A1901" s="1">
        <f>HYPERLINK("http://www.twitter.com/NathanBLawrence/status/992623060606861312", "992623060606861312")</f>
        <v/>
      </c>
      <c r="B1901" s="2" t="n">
        <v>43225.18928240741</v>
      </c>
      <c r="C1901" t="n">
        <v>7</v>
      </c>
      <c r="D1901" t="n">
        <v>3</v>
      </c>
      <c r="E1901" t="s">
        <v>1911</v>
      </c>
      <c r="F1901" t="s"/>
      <c r="G1901" t="s"/>
      <c r="H1901" t="s"/>
      <c r="I1901" t="s"/>
      <c r="J1901" t="n">
        <v>-0.6808</v>
      </c>
      <c r="K1901" t="n">
        <v>0.202</v>
      </c>
      <c r="L1901" t="n">
        <v>0.798</v>
      </c>
      <c r="M1901" t="n">
        <v>0</v>
      </c>
    </row>
    <row r="1902" spans="1:13">
      <c r="A1902" s="1">
        <f>HYPERLINK("http://www.twitter.com/NathanBLawrence/status/992622652513665024", "992622652513665024")</f>
        <v/>
      </c>
      <c r="B1902" s="2" t="n">
        <v>43225.18815972222</v>
      </c>
      <c r="C1902" t="n">
        <v>5</v>
      </c>
      <c r="D1902" t="n">
        <v>2</v>
      </c>
      <c r="E1902" t="s">
        <v>1912</v>
      </c>
      <c r="F1902" t="s"/>
      <c r="G1902" t="s"/>
      <c r="H1902" t="s"/>
      <c r="I1902" t="s"/>
      <c r="J1902" t="n">
        <v>0.8591</v>
      </c>
      <c r="K1902" t="n">
        <v>0</v>
      </c>
      <c r="L1902" t="n">
        <v>0.533</v>
      </c>
      <c r="M1902" t="n">
        <v>0.467</v>
      </c>
    </row>
    <row r="1903" spans="1:13">
      <c r="A1903" s="1">
        <f>HYPERLINK("http://www.twitter.com/NathanBLawrence/status/992622553221947394", "992622553221947394")</f>
        <v/>
      </c>
      <c r="B1903" s="2" t="n">
        <v>43225.18788194445</v>
      </c>
      <c r="C1903" t="n">
        <v>9</v>
      </c>
      <c r="D1903" t="n">
        <v>8</v>
      </c>
      <c r="E1903" t="s">
        <v>1913</v>
      </c>
      <c r="F1903" t="s"/>
      <c r="G1903" t="s"/>
      <c r="H1903" t="s"/>
      <c r="I1903" t="s"/>
      <c r="J1903" t="n">
        <v>-0.6408</v>
      </c>
      <c r="K1903" t="n">
        <v>0.145</v>
      </c>
      <c r="L1903" t="n">
        <v>0.855</v>
      </c>
      <c r="M1903" t="n">
        <v>0</v>
      </c>
    </row>
    <row r="1904" spans="1:13">
      <c r="A1904" s="1">
        <f>HYPERLINK("http://www.twitter.com/NathanBLawrence/status/992622375534346240", "992622375534346240")</f>
        <v/>
      </c>
      <c r="B1904" s="2" t="n">
        <v>43225.18739583333</v>
      </c>
      <c r="C1904" t="n">
        <v>4</v>
      </c>
      <c r="D1904" t="n">
        <v>1</v>
      </c>
      <c r="E1904" t="s">
        <v>1914</v>
      </c>
      <c r="F1904" t="s"/>
      <c r="G1904" t="s"/>
      <c r="H1904" t="s"/>
      <c r="I1904" t="s"/>
      <c r="J1904" t="n">
        <v>-0.6597</v>
      </c>
      <c r="K1904" t="n">
        <v>0.386</v>
      </c>
      <c r="L1904" t="n">
        <v>0.614</v>
      </c>
      <c r="M1904" t="n">
        <v>0</v>
      </c>
    </row>
    <row r="1905" spans="1:13">
      <c r="A1905" s="1">
        <f>HYPERLINK("http://www.twitter.com/NathanBLawrence/status/992622311466418176", "992622311466418176")</f>
        <v/>
      </c>
      <c r="B1905" s="2" t="n">
        <v>43225.18721064815</v>
      </c>
      <c r="C1905" t="n">
        <v>2</v>
      </c>
      <c r="D1905" t="n">
        <v>0</v>
      </c>
      <c r="E1905" t="s">
        <v>1915</v>
      </c>
      <c r="F1905" t="s"/>
      <c r="G1905" t="s"/>
      <c r="H1905" t="s"/>
      <c r="I1905" t="s"/>
      <c r="J1905" t="n">
        <v>-0.8643999999999999</v>
      </c>
      <c r="K1905" t="n">
        <v>0.283</v>
      </c>
      <c r="L1905" t="n">
        <v>0.64</v>
      </c>
      <c r="M1905" t="n">
        <v>0.077</v>
      </c>
    </row>
    <row r="1906" spans="1:13">
      <c r="A1906" s="1">
        <f>HYPERLINK("http://www.twitter.com/NathanBLawrence/status/992621761907720197", "992621761907720197")</f>
        <v/>
      </c>
      <c r="B1906" s="2" t="n">
        <v>43225.18569444444</v>
      </c>
      <c r="C1906" t="n">
        <v>3</v>
      </c>
      <c r="D1906" t="n">
        <v>1</v>
      </c>
      <c r="E1906" t="s">
        <v>1916</v>
      </c>
      <c r="F1906" t="s"/>
      <c r="G1906" t="s"/>
      <c r="H1906" t="s"/>
      <c r="I1906" t="s"/>
      <c r="J1906" t="n">
        <v>0.5106000000000001</v>
      </c>
      <c r="K1906" t="n">
        <v>0</v>
      </c>
      <c r="L1906" t="n">
        <v>0.788</v>
      </c>
      <c r="M1906" t="n">
        <v>0.212</v>
      </c>
    </row>
    <row r="1907" spans="1:13">
      <c r="A1907" s="1">
        <f>HYPERLINK("http://www.twitter.com/NathanBLawrence/status/992621661147967488", "992621661147967488")</f>
        <v/>
      </c>
      <c r="B1907" s="2" t="n">
        <v>43225.18541666667</v>
      </c>
      <c r="C1907" t="n">
        <v>22</v>
      </c>
      <c r="D1907" t="n">
        <v>4</v>
      </c>
      <c r="E1907" t="s">
        <v>1917</v>
      </c>
      <c r="F1907" t="s"/>
      <c r="G1907" t="s"/>
      <c r="H1907" t="s"/>
      <c r="I1907" t="s"/>
      <c r="J1907" t="n">
        <v>-0.3382</v>
      </c>
      <c r="K1907" t="n">
        <v>0.141</v>
      </c>
      <c r="L1907" t="n">
        <v>0.773</v>
      </c>
      <c r="M1907" t="n">
        <v>0.08599999999999999</v>
      </c>
    </row>
    <row r="1908" spans="1:13">
      <c r="A1908" s="1">
        <f>HYPERLINK("http://www.twitter.com/NathanBLawrence/status/992621339017019392", "992621339017019392")</f>
        <v/>
      </c>
      <c r="B1908" s="2" t="n">
        <v>43225.18452546297</v>
      </c>
      <c r="C1908" t="n">
        <v>5</v>
      </c>
      <c r="D1908" t="n">
        <v>0</v>
      </c>
      <c r="E1908" t="s">
        <v>1918</v>
      </c>
      <c r="F1908" t="s"/>
      <c r="G1908" t="s"/>
      <c r="H1908" t="s"/>
      <c r="I1908" t="s"/>
      <c r="J1908" t="n">
        <v>-0.3182</v>
      </c>
      <c r="K1908" t="n">
        <v>0.15</v>
      </c>
      <c r="L1908" t="n">
        <v>0.85</v>
      </c>
      <c r="M1908" t="n">
        <v>0</v>
      </c>
    </row>
    <row r="1909" spans="1:13">
      <c r="A1909" s="1">
        <f>HYPERLINK("http://www.twitter.com/NathanBLawrence/status/992621198327496704", "992621198327496704")</f>
        <v/>
      </c>
      <c r="B1909" s="2" t="n">
        <v>43225.18414351852</v>
      </c>
      <c r="C1909" t="n">
        <v>8</v>
      </c>
      <c r="D1909" t="n">
        <v>4</v>
      </c>
      <c r="E1909" t="s">
        <v>1919</v>
      </c>
      <c r="F1909" t="s"/>
      <c r="G1909" t="s"/>
      <c r="H1909" t="s"/>
      <c r="I1909" t="s"/>
      <c r="J1909" t="n">
        <v>0.5423</v>
      </c>
      <c r="K1909" t="n">
        <v>0</v>
      </c>
      <c r="L1909" t="n">
        <v>0.757</v>
      </c>
      <c r="M1909" t="n">
        <v>0.243</v>
      </c>
    </row>
    <row r="1910" spans="1:13">
      <c r="A1910" s="1">
        <f>HYPERLINK("http://www.twitter.com/NathanBLawrence/status/992621140886474752", "992621140886474752")</f>
        <v/>
      </c>
      <c r="B1910" s="2" t="n">
        <v>43225.18398148148</v>
      </c>
      <c r="C1910" t="n">
        <v>6</v>
      </c>
      <c r="D1910" t="n">
        <v>4</v>
      </c>
      <c r="E1910" t="s">
        <v>1920</v>
      </c>
      <c r="F1910" t="s"/>
      <c r="G1910" t="s"/>
      <c r="H1910" t="s"/>
      <c r="I1910" t="s"/>
      <c r="J1910" t="n">
        <v>-0.4019</v>
      </c>
      <c r="K1910" t="n">
        <v>0.231</v>
      </c>
      <c r="L1910" t="n">
        <v>0.769</v>
      </c>
      <c r="M1910" t="n">
        <v>0</v>
      </c>
    </row>
    <row r="1911" spans="1:13">
      <c r="A1911" s="1">
        <f>HYPERLINK("http://www.twitter.com/NathanBLawrence/status/992621066756354050", "992621066756354050")</f>
        <v/>
      </c>
      <c r="B1911" s="2" t="n">
        <v>43225.18377314815</v>
      </c>
      <c r="C1911" t="n">
        <v>9</v>
      </c>
      <c r="D1911" t="n">
        <v>1</v>
      </c>
      <c r="E1911" t="s">
        <v>1921</v>
      </c>
      <c r="F1911" t="s"/>
      <c r="G1911" t="s"/>
      <c r="H1911" t="s"/>
      <c r="I1911" t="s"/>
      <c r="J1911" t="n">
        <v>0.8718</v>
      </c>
      <c r="K1911" t="n">
        <v>0</v>
      </c>
      <c r="L1911" t="n">
        <v>0.6899999999999999</v>
      </c>
      <c r="M1911" t="n">
        <v>0.31</v>
      </c>
    </row>
    <row r="1912" spans="1:13">
      <c r="A1912" s="1">
        <f>HYPERLINK("http://www.twitter.com/NathanBLawrence/status/992620433928212481", "992620433928212481")</f>
        <v/>
      </c>
      <c r="B1912" s="2" t="n">
        <v>43225.18203703704</v>
      </c>
      <c r="C1912" t="n">
        <v>5</v>
      </c>
      <c r="D1912" t="n">
        <v>3</v>
      </c>
      <c r="E1912" t="s">
        <v>1922</v>
      </c>
      <c r="F1912" t="s"/>
      <c r="G1912" t="s"/>
      <c r="H1912" t="s"/>
      <c r="I1912" t="s"/>
      <c r="J1912" t="n">
        <v>-0.5599</v>
      </c>
      <c r="K1912" t="n">
        <v>0.325</v>
      </c>
      <c r="L1912" t="n">
        <v>0.549</v>
      </c>
      <c r="M1912" t="n">
        <v>0.126</v>
      </c>
    </row>
    <row r="1913" spans="1:13">
      <c r="A1913" s="1">
        <f>HYPERLINK("http://www.twitter.com/NathanBLawrence/status/992620155019522048", "992620155019522048")</f>
        <v/>
      </c>
      <c r="B1913" s="2" t="n">
        <v>43225.18126157407</v>
      </c>
      <c r="C1913" t="n">
        <v>10</v>
      </c>
      <c r="D1913" t="n">
        <v>7</v>
      </c>
      <c r="E1913" t="s">
        <v>1923</v>
      </c>
      <c r="F1913" t="s"/>
      <c r="G1913" t="s"/>
      <c r="H1913" t="s"/>
      <c r="I1913" t="s"/>
      <c r="J1913" t="n">
        <v>0.0772</v>
      </c>
      <c r="K1913" t="n">
        <v>0</v>
      </c>
      <c r="L1913" t="n">
        <v>0.964</v>
      </c>
      <c r="M1913" t="n">
        <v>0.036</v>
      </c>
    </row>
    <row r="1914" spans="1:13">
      <c r="A1914" s="1">
        <f>HYPERLINK("http://www.twitter.com/NathanBLawrence/status/992619442046550016", "992619442046550016")</f>
        <v/>
      </c>
      <c r="B1914" s="2" t="n">
        <v>43225.17929398148</v>
      </c>
      <c r="C1914" t="n">
        <v>5</v>
      </c>
      <c r="D1914" t="n">
        <v>2</v>
      </c>
      <c r="E1914" t="s">
        <v>1924</v>
      </c>
      <c r="F1914" t="s"/>
      <c r="G1914" t="s"/>
      <c r="H1914" t="s"/>
      <c r="I1914" t="s"/>
      <c r="J1914" t="n">
        <v>0.8887</v>
      </c>
      <c r="K1914" t="n">
        <v>0.061</v>
      </c>
      <c r="L1914" t="n">
        <v>0.6820000000000001</v>
      </c>
      <c r="M1914" t="n">
        <v>0.257</v>
      </c>
    </row>
    <row r="1915" spans="1:13">
      <c r="A1915" s="1">
        <f>HYPERLINK("http://www.twitter.com/NathanBLawrence/status/992618437884051456", "992618437884051456")</f>
        <v/>
      </c>
      <c r="B1915" s="2" t="n">
        <v>43225.17652777778</v>
      </c>
      <c r="C1915" t="n">
        <v>4</v>
      </c>
      <c r="D1915" t="n">
        <v>3</v>
      </c>
      <c r="E1915" t="s">
        <v>1925</v>
      </c>
      <c r="F1915" t="s"/>
      <c r="G1915" t="s"/>
      <c r="H1915" t="s"/>
      <c r="I1915" t="s"/>
      <c r="J1915" t="n">
        <v>-0.5574</v>
      </c>
      <c r="K1915" t="n">
        <v>0.247</v>
      </c>
      <c r="L1915" t="n">
        <v>0.753</v>
      </c>
      <c r="M1915" t="n">
        <v>0</v>
      </c>
    </row>
    <row r="1916" spans="1:13">
      <c r="A1916" s="1">
        <f>HYPERLINK("http://www.twitter.com/NathanBLawrence/status/992617470757228545", "992617470757228545")</f>
        <v/>
      </c>
      <c r="B1916" s="2" t="n">
        <v>43225.17385416666</v>
      </c>
      <c r="C1916" t="n">
        <v>0</v>
      </c>
      <c r="D1916" t="n">
        <v>15</v>
      </c>
      <c r="E1916" t="s">
        <v>1926</v>
      </c>
      <c r="F1916">
        <f>HYPERLINK("http://pbs.twimg.com/media/DcZ7aRFUwAMw3pN.jpg", "http://pbs.twimg.com/media/DcZ7aRFUwAMw3pN.jpg")</f>
        <v/>
      </c>
      <c r="G1916" t="s"/>
      <c r="H1916" t="s"/>
      <c r="I1916" t="s"/>
      <c r="J1916" t="n">
        <v>0.2235</v>
      </c>
      <c r="K1916" t="n">
        <v>0</v>
      </c>
      <c r="L1916" t="n">
        <v>0.924</v>
      </c>
      <c r="M1916" t="n">
        <v>0.076</v>
      </c>
    </row>
    <row r="1917" spans="1:13">
      <c r="A1917" s="1">
        <f>HYPERLINK("http://www.twitter.com/NathanBLawrence/status/992617278205186048", "992617278205186048")</f>
        <v/>
      </c>
      <c r="B1917" s="2" t="n">
        <v>43225.17332175926</v>
      </c>
      <c r="C1917" t="n">
        <v>0</v>
      </c>
      <c r="D1917" t="n">
        <v>249</v>
      </c>
      <c r="E1917" t="s">
        <v>1927</v>
      </c>
      <c r="F1917">
        <f>HYPERLINK("http://pbs.twimg.com/media/CySE5FoXEAEBtJ_.jpg", "http://pbs.twimg.com/media/CySE5FoXEAEBtJ_.jpg")</f>
        <v/>
      </c>
      <c r="G1917" t="s"/>
      <c r="H1917" t="s"/>
      <c r="I1917" t="s"/>
      <c r="J1917" t="n">
        <v>0.0444</v>
      </c>
      <c r="K1917" t="n">
        <v>0.155</v>
      </c>
      <c r="L1917" t="n">
        <v>0.726</v>
      </c>
      <c r="M1917" t="n">
        <v>0.12</v>
      </c>
    </row>
    <row r="1918" spans="1:13">
      <c r="A1918" s="1">
        <f>HYPERLINK("http://www.twitter.com/NathanBLawrence/status/992616974206124033", "992616974206124033")</f>
        <v/>
      </c>
      <c r="B1918" s="2" t="n">
        <v>43225.17248842592</v>
      </c>
      <c r="C1918" t="n">
        <v>0</v>
      </c>
      <c r="D1918" t="n">
        <v>308</v>
      </c>
      <c r="E1918" t="s">
        <v>1928</v>
      </c>
      <c r="F1918" t="s"/>
      <c r="G1918" t="s"/>
      <c r="H1918" t="s"/>
      <c r="I1918" t="s"/>
      <c r="J1918" t="n">
        <v>0.5449000000000001</v>
      </c>
      <c r="K1918" t="n">
        <v>0</v>
      </c>
      <c r="L1918" t="n">
        <v>0.844</v>
      </c>
      <c r="M1918" t="n">
        <v>0.156</v>
      </c>
    </row>
    <row r="1919" spans="1:13">
      <c r="A1919" s="1">
        <f>HYPERLINK("http://www.twitter.com/NathanBLawrence/status/992616826080190465", "992616826080190465")</f>
        <v/>
      </c>
      <c r="B1919" s="2" t="n">
        <v>43225.17207175926</v>
      </c>
      <c r="C1919" t="n">
        <v>4</v>
      </c>
      <c r="D1919" t="n">
        <v>1</v>
      </c>
      <c r="E1919" t="s">
        <v>1929</v>
      </c>
      <c r="F1919" t="s"/>
      <c r="G1919" t="s"/>
      <c r="H1919" t="s"/>
      <c r="I1919" t="s"/>
      <c r="J1919" t="n">
        <v>0.8715000000000001</v>
      </c>
      <c r="K1919" t="n">
        <v>0</v>
      </c>
      <c r="L1919" t="n">
        <v>0.503</v>
      </c>
      <c r="M1919" t="n">
        <v>0.497</v>
      </c>
    </row>
    <row r="1920" spans="1:13">
      <c r="A1920" s="1">
        <f>HYPERLINK("http://www.twitter.com/NathanBLawrence/status/992616683800952832", "992616683800952832")</f>
        <v/>
      </c>
      <c r="B1920" s="2" t="n">
        <v>43225.17168981482</v>
      </c>
      <c r="C1920" t="n">
        <v>0</v>
      </c>
      <c r="D1920" t="n">
        <v>3</v>
      </c>
      <c r="E1920" t="s">
        <v>1930</v>
      </c>
      <c r="F1920" t="s"/>
      <c r="G1920" t="s"/>
      <c r="H1920" t="s"/>
      <c r="I1920" t="s"/>
      <c r="J1920" t="n">
        <v>0</v>
      </c>
      <c r="K1920" t="n">
        <v>0</v>
      </c>
      <c r="L1920" t="n">
        <v>1</v>
      </c>
      <c r="M1920" t="n">
        <v>0</v>
      </c>
    </row>
    <row r="1921" spans="1:13">
      <c r="A1921" s="1">
        <f>HYPERLINK("http://www.twitter.com/NathanBLawrence/status/992616432390225920", "992616432390225920")</f>
        <v/>
      </c>
      <c r="B1921" s="2" t="n">
        <v>43225.17099537037</v>
      </c>
      <c r="C1921" t="n">
        <v>24</v>
      </c>
      <c r="D1921" t="n">
        <v>11</v>
      </c>
      <c r="E1921" t="s">
        <v>1931</v>
      </c>
      <c r="F1921" t="s"/>
      <c r="G1921" t="s"/>
      <c r="H1921" t="s"/>
      <c r="I1921" t="s"/>
      <c r="J1921" t="n">
        <v>0.7644</v>
      </c>
      <c r="K1921" t="n">
        <v>0.101</v>
      </c>
      <c r="L1921" t="n">
        <v>0.6860000000000001</v>
      </c>
      <c r="M1921" t="n">
        <v>0.214</v>
      </c>
    </row>
    <row r="1922" spans="1:13">
      <c r="A1922" s="1">
        <f>HYPERLINK("http://www.twitter.com/NathanBLawrence/status/992616026264104960", "992616026264104960")</f>
        <v/>
      </c>
      <c r="B1922" s="2" t="n">
        <v>43225.16987268518</v>
      </c>
      <c r="C1922" t="n">
        <v>1</v>
      </c>
      <c r="D1922" t="n">
        <v>0</v>
      </c>
      <c r="E1922" t="s">
        <v>1932</v>
      </c>
      <c r="F1922" t="s"/>
      <c r="G1922" t="s"/>
      <c r="H1922" t="s"/>
      <c r="I1922" t="s"/>
      <c r="J1922" t="n">
        <v>0</v>
      </c>
      <c r="K1922" t="n">
        <v>0</v>
      </c>
      <c r="L1922" t="n">
        <v>1</v>
      </c>
      <c r="M1922" t="n">
        <v>0</v>
      </c>
    </row>
    <row r="1923" spans="1:13">
      <c r="A1923" s="1">
        <f>HYPERLINK("http://www.twitter.com/NathanBLawrence/status/992615722768523264", "992615722768523264")</f>
        <v/>
      </c>
      <c r="B1923" s="2" t="n">
        <v>43225.16902777777</v>
      </c>
      <c r="C1923" t="n">
        <v>0</v>
      </c>
      <c r="D1923" t="n">
        <v>1077</v>
      </c>
      <c r="E1923" t="s">
        <v>1933</v>
      </c>
      <c r="F1923" t="s"/>
      <c r="G1923" t="s"/>
      <c r="H1923" t="s"/>
      <c r="I1923" t="s"/>
      <c r="J1923" t="n">
        <v>-0.743</v>
      </c>
      <c r="K1923" t="n">
        <v>0.259</v>
      </c>
      <c r="L1923" t="n">
        <v>0.741</v>
      </c>
      <c r="M1923" t="n">
        <v>0</v>
      </c>
    </row>
    <row r="1924" spans="1:13">
      <c r="A1924" s="1">
        <f>HYPERLINK("http://www.twitter.com/NathanBLawrence/status/992615603444711424", "992615603444711424")</f>
        <v/>
      </c>
      <c r="B1924" s="2" t="n">
        <v>43225.1687037037</v>
      </c>
      <c r="C1924" t="n">
        <v>0</v>
      </c>
      <c r="D1924" t="n">
        <v>237</v>
      </c>
      <c r="E1924" t="s">
        <v>1934</v>
      </c>
      <c r="F1924">
        <f>HYPERLINK("https://video.twimg.com/ext_tw_video/992578374982815744/pu/vid/720x720/JElZF8_joQPV_hzC.mp4?tag=3", "https://video.twimg.com/ext_tw_video/992578374982815744/pu/vid/720x720/JElZF8_joQPV_hzC.mp4?tag=3")</f>
        <v/>
      </c>
      <c r="G1924" t="s"/>
      <c r="H1924" t="s"/>
      <c r="I1924" t="s"/>
      <c r="J1924" t="n">
        <v>-0.5294</v>
      </c>
      <c r="K1924" t="n">
        <v>0.208</v>
      </c>
      <c r="L1924" t="n">
        <v>0.792</v>
      </c>
      <c r="M1924" t="n">
        <v>0</v>
      </c>
    </row>
    <row r="1925" spans="1:13">
      <c r="A1925" s="1">
        <f>HYPERLINK("http://www.twitter.com/NathanBLawrence/status/992615563804360704", "992615563804360704")</f>
        <v/>
      </c>
      <c r="B1925" s="2" t="n">
        <v>43225.16858796297</v>
      </c>
      <c r="C1925" t="n">
        <v>12</v>
      </c>
      <c r="D1925" t="n">
        <v>5</v>
      </c>
      <c r="E1925" t="s">
        <v>1935</v>
      </c>
      <c r="F1925" t="s"/>
      <c r="G1925" t="s"/>
      <c r="H1925" t="s"/>
      <c r="I1925" t="s"/>
      <c r="J1925" t="n">
        <v>0.4559</v>
      </c>
      <c r="K1925" t="n">
        <v>0</v>
      </c>
      <c r="L1925" t="n">
        <v>0.879</v>
      </c>
      <c r="M1925" t="n">
        <v>0.121</v>
      </c>
    </row>
    <row r="1926" spans="1:13">
      <c r="A1926" s="1">
        <f>HYPERLINK("http://www.twitter.com/NathanBLawrence/status/992615385462534144", "992615385462534144")</f>
        <v/>
      </c>
      <c r="B1926" s="2" t="n">
        <v>43225.16810185185</v>
      </c>
      <c r="C1926" t="n">
        <v>0</v>
      </c>
      <c r="D1926" t="n">
        <v>501</v>
      </c>
      <c r="E1926" t="s">
        <v>1936</v>
      </c>
      <c r="F1926" t="s"/>
      <c r="G1926" t="s"/>
      <c r="H1926" t="s"/>
      <c r="I1926" t="s"/>
      <c r="J1926" t="n">
        <v>0</v>
      </c>
      <c r="K1926" t="n">
        <v>0</v>
      </c>
      <c r="L1926" t="n">
        <v>1</v>
      </c>
      <c r="M1926" t="n">
        <v>0</v>
      </c>
    </row>
    <row r="1927" spans="1:13">
      <c r="A1927" s="1">
        <f>HYPERLINK("http://www.twitter.com/NathanBLawrence/status/992615043693887488", "992615043693887488")</f>
        <v/>
      </c>
      <c r="B1927" s="2" t="n">
        <v>43225.16715277778</v>
      </c>
      <c r="C1927" t="n">
        <v>11</v>
      </c>
      <c r="D1927" t="n">
        <v>5</v>
      </c>
      <c r="E1927" t="s">
        <v>1937</v>
      </c>
      <c r="F1927" t="s"/>
      <c r="G1927" t="s"/>
      <c r="H1927" t="s"/>
      <c r="I1927" t="s"/>
      <c r="J1927" t="n">
        <v>-0.4389</v>
      </c>
      <c r="K1927" t="n">
        <v>0.171</v>
      </c>
      <c r="L1927" t="n">
        <v>0.769</v>
      </c>
      <c r="M1927" t="n">
        <v>0.06</v>
      </c>
    </row>
    <row r="1928" spans="1:13">
      <c r="A1928" s="1">
        <f>HYPERLINK("http://www.twitter.com/NathanBLawrence/status/992614551043559425", "992614551043559425")</f>
        <v/>
      </c>
      <c r="B1928" s="2" t="n">
        <v>43225.16579861111</v>
      </c>
      <c r="C1928" t="n">
        <v>8</v>
      </c>
      <c r="D1928" t="n">
        <v>2</v>
      </c>
      <c r="E1928" t="s">
        <v>1938</v>
      </c>
      <c r="F1928" t="s"/>
      <c r="G1928" t="s"/>
      <c r="H1928" t="s"/>
      <c r="I1928" t="s"/>
      <c r="J1928" t="n">
        <v>-0.5513</v>
      </c>
      <c r="K1928" t="n">
        <v>0.335</v>
      </c>
      <c r="L1928" t="n">
        <v>0.435</v>
      </c>
      <c r="M1928" t="n">
        <v>0.23</v>
      </c>
    </row>
    <row r="1929" spans="1:13">
      <c r="A1929" s="1">
        <f>HYPERLINK("http://www.twitter.com/NathanBLawrence/status/992614193168662528", "992614193168662528")</f>
        <v/>
      </c>
      <c r="B1929" s="2" t="n">
        <v>43225.16481481482</v>
      </c>
      <c r="C1929" t="n">
        <v>0</v>
      </c>
      <c r="D1929" t="n">
        <v>2635</v>
      </c>
      <c r="E1929" t="s">
        <v>1939</v>
      </c>
      <c r="F1929" t="s"/>
      <c r="G1929" t="s"/>
      <c r="H1929" t="s"/>
      <c r="I1929" t="s"/>
      <c r="J1929" t="n">
        <v>0.6486</v>
      </c>
      <c r="K1929" t="n">
        <v>0.094</v>
      </c>
      <c r="L1929" t="n">
        <v>0.655</v>
      </c>
      <c r="M1929" t="n">
        <v>0.251</v>
      </c>
    </row>
    <row r="1930" spans="1:13">
      <c r="A1930" s="1">
        <f>HYPERLINK("http://www.twitter.com/NathanBLawrence/status/992614076567076864", "992614076567076864")</f>
        <v/>
      </c>
      <c r="B1930" s="2" t="n">
        <v>43225.16449074074</v>
      </c>
      <c r="C1930" t="n">
        <v>20</v>
      </c>
      <c r="D1930" t="n">
        <v>11</v>
      </c>
      <c r="E1930" t="s">
        <v>1940</v>
      </c>
      <c r="F1930" t="s"/>
      <c r="G1930" t="s"/>
      <c r="H1930" t="s"/>
      <c r="I1930" t="s"/>
      <c r="J1930" t="n">
        <v>-0.4939</v>
      </c>
      <c r="K1930" t="n">
        <v>0.107</v>
      </c>
      <c r="L1930" t="n">
        <v>0.893</v>
      </c>
      <c r="M1930" t="n">
        <v>0</v>
      </c>
    </row>
    <row r="1931" spans="1:13">
      <c r="A1931" s="1">
        <f>HYPERLINK("http://www.twitter.com/NathanBLawrence/status/992613780457582592", "992613780457582592")</f>
        <v/>
      </c>
      <c r="B1931" s="2" t="n">
        <v>43225.16366898148</v>
      </c>
      <c r="C1931" t="n">
        <v>11</v>
      </c>
      <c r="D1931" t="n">
        <v>4</v>
      </c>
      <c r="E1931" t="s">
        <v>1941</v>
      </c>
      <c r="F1931" t="s"/>
      <c r="G1931" t="s"/>
      <c r="H1931" t="s"/>
      <c r="I1931" t="s"/>
      <c r="J1931" t="n">
        <v>0.6467000000000001</v>
      </c>
      <c r="K1931" t="n">
        <v>0.089</v>
      </c>
      <c r="L1931" t="n">
        <v>0.719</v>
      </c>
      <c r="M1931" t="n">
        <v>0.192</v>
      </c>
    </row>
    <row r="1932" spans="1:13">
      <c r="A1932" s="1">
        <f>HYPERLINK("http://www.twitter.com/NathanBLawrence/status/992613354463113216", "992613354463113216")</f>
        <v/>
      </c>
      <c r="B1932" s="2" t="n">
        <v>43225.1625</v>
      </c>
      <c r="C1932" t="n">
        <v>16</v>
      </c>
      <c r="D1932" t="n">
        <v>8</v>
      </c>
      <c r="E1932" t="s">
        <v>1942</v>
      </c>
      <c r="F1932" t="s"/>
      <c r="G1932" t="s"/>
      <c r="H1932" t="s"/>
      <c r="I1932" t="s"/>
      <c r="J1932" t="n">
        <v>-0.126</v>
      </c>
      <c r="K1932" t="n">
        <v>0.06900000000000001</v>
      </c>
      <c r="L1932" t="n">
        <v>0.931</v>
      </c>
      <c r="M1932" t="n">
        <v>0</v>
      </c>
    </row>
    <row r="1933" spans="1:13">
      <c r="A1933" s="1">
        <f>HYPERLINK("http://www.twitter.com/NathanBLawrence/status/992613124594270208", "992613124594270208")</f>
        <v/>
      </c>
      <c r="B1933" s="2" t="n">
        <v>43225.16186342593</v>
      </c>
      <c r="C1933" t="n">
        <v>6</v>
      </c>
      <c r="D1933" t="n">
        <v>2</v>
      </c>
      <c r="E1933" t="s">
        <v>1943</v>
      </c>
      <c r="F1933" t="s"/>
      <c r="G1933" t="s"/>
      <c r="H1933" t="s"/>
      <c r="I1933" t="s"/>
      <c r="J1933" t="n">
        <v>0</v>
      </c>
      <c r="K1933" t="n">
        <v>0</v>
      </c>
      <c r="L1933" t="n">
        <v>1</v>
      </c>
      <c r="M1933" t="n">
        <v>0</v>
      </c>
    </row>
    <row r="1934" spans="1:13">
      <c r="A1934" s="1">
        <f>HYPERLINK("http://www.twitter.com/NathanBLawrence/status/992612797870628864", "992612797870628864")</f>
        <v/>
      </c>
      <c r="B1934" s="2" t="n">
        <v>43225.16096064815</v>
      </c>
      <c r="C1934" t="n">
        <v>13</v>
      </c>
      <c r="D1934" t="n">
        <v>9</v>
      </c>
      <c r="E1934" t="s">
        <v>1944</v>
      </c>
      <c r="F1934" t="s"/>
      <c r="G1934" t="s"/>
      <c r="H1934" t="s"/>
      <c r="I1934" t="s"/>
      <c r="J1934" t="n">
        <v>0.7565</v>
      </c>
      <c r="K1934" t="n">
        <v>0.128</v>
      </c>
      <c r="L1934" t="n">
        <v>0.519</v>
      </c>
      <c r="M1934" t="n">
        <v>0.353</v>
      </c>
    </row>
    <row r="1935" spans="1:13">
      <c r="A1935" s="1">
        <f>HYPERLINK("http://www.twitter.com/NathanBLawrence/status/992612600453087232", "992612600453087232")</f>
        <v/>
      </c>
      <c r="B1935" s="2" t="n">
        <v>43225.16041666667</v>
      </c>
      <c r="C1935" t="n">
        <v>0</v>
      </c>
      <c r="D1935" t="n">
        <v>243</v>
      </c>
      <c r="E1935" t="s">
        <v>1945</v>
      </c>
      <c r="F1935">
        <f>HYPERLINK("http://pbs.twimg.com/media/DcYx1lGVMAAFV-l.jpg", "http://pbs.twimg.com/media/DcYx1lGVMAAFV-l.jpg")</f>
        <v/>
      </c>
      <c r="G1935" t="s"/>
      <c r="H1935" t="s"/>
      <c r="I1935" t="s"/>
      <c r="J1935" t="n">
        <v>0</v>
      </c>
      <c r="K1935" t="n">
        <v>0</v>
      </c>
      <c r="L1935" t="n">
        <v>1</v>
      </c>
      <c r="M1935" t="n">
        <v>0</v>
      </c>
    </row>
    <row r="1936" spans="1:13">
      <c r="A1936" s="1">
        <f>HYPERLINK("http://www.twitter.com/NathanBLawrence/status/992612526515896320", "992612526515896320")</f>
        <v/>
      </c>
      <c r="B1936" s="2" t="n">
        <v>43225.16020833333</v>
      </c>
      <c r="C1936" t="n">
        <v>4</v>
      </c>
      <c r="D1936" t="n">
        <v>2</v>
      </c>
      <c r="E1936" t="s">
        <v>1946</v>
      </c>
      <c r="F1936" t="s"/>
      <c r="G1936" t="s"/>
      <c r="H1936" t="s"/>
      <c r="I1936" t="s"/>
      <c r="J1936" t="n">
        <v>-0.9449</v>
      </c>
      <c r="K1936" t="n">
        <v>0.517</v>
      </c>
      <c r="L1936" t="n">
        <v>0.4</v>
      </c>
      <c r="M1936" t="n">
        <v>0.083</v>
      </c>
    </row>
    <row r="1937" spans="1:13">
      <c r="A1937" s="1">
        <f>HYPERLINK("http://www.twitter.com/NathanBLawrence/status/992612329886965760", "992612329886965760")</f>
        <v/>
      </c>
      <c r="B1937" s="2" t="n">
        <v>43225.15966435185</v>
      </c>
      <c r="C1937" t="n">
        <v>4</v>
      </c>
      <c r="D1937" t="n">
        <v>2</v>
      </c>
      <c r="E1937" t="s">
        <v>1947</v>
      </c>
      <c r="F1937" t="s"/>
      <c r="G1937" t="s"/>
      <c r="H1937" t="s"/>
      <c r="I1937" t="s"/>
      <c r="J1937" t="n">
        <v>0</v>
      </c>
      <c r="K1937" t="n">
        <v>0</v>
      </c>
      <c r="L1937" t="n">
        <v>1</v>
      </c>
      <c r="M1937" t="n">
        <v>0</v>
      </c>
    </row>
    <row r="1938" spans="1:13">
      <c r="A1938" s="1">
        <f>HYPERLINK("http://www.twitter.com/NathanBLawrence/status/992612235930361856", "992612235930361856")</f>
        <v/>
      </c>
      <c r="B1938" s="2" t="n">
        <v>43225.15940972222</v>
      </c>
      <c r="C1938" t="n">
        <v>14</v>
      </c>
      <c r="D1938" t="n">
        <v>6</v>
      </c>
      <c r="E1938" t="s">
        <v>1948</v>
      </c>
      <c r="F1938" t="s"/>
      <c r="G1938" t="s"/>
      <c r="H1938" t="s"/>
      <c r="I1938" t="s"/>
      <c r="J1938" t="n">
        <v>-0.528</v>
      </c>
      <c r="K1938" t="n">
        <v>0.216</v>
      </c>
      <c r="L1938" t="n">
        <v>0.597</v>
      </c>
      <c r="M1938" t="n">
        <v>0.187</v>
      </c>
    </row>
    <row r="1939" spans="1:13">
      <c r="A1939" s="1">
        <f>HYPERLINK("http://www.twitter.com/NathanBLawrence/status/992611800364429313", "992611800364429313")</f>
        <v/>
      </c>
      <c r="B1939" s="2" t="n">
        <v>43225.15820601852</v>
      </c>
      <c r="C1939" t="n">
        <v>14</v>
      </c>
      <c r="D1939" t="n">
        <v>9</v>
      </c>
      <c r="E1939" t="s">
        <v>1949</v>
      </c>
      <c r="F1939" t="s"/>
      <c r="G1939" t="s"/>
      <c r="H1939" t="s"/>
      <c r="I1939" t="s"/>
      <c r="J1939" t="n">
        <v>-0.68</v>
      </c>
      <c r="K1939" t="n">
        <v>0.106</v>
      </c>
      <c r="L1939" t="n">
        <v>0.866</v>
      </c>
      <c r="M1939" t="n">
        <v>0.028</v>
      </c>
    </row>
    <row r="1940" spans="1:13">
      <c r="A1940" s="1">
        <f>HYPERLINK("http://www.twitter.com/NathanBLawrence/status/992611480120975362", "992611480120975362")</f>
        <v/>
      </c>
      <c r="B1940" s="2" t="n">
        <v>43225.15732638889</v>
      </c>
      <c r="C1940" t="n">
        <v>0</v>
      </c>
      <c r="D1940" t="n">
        <v>973</v>
      </c>
      <c r="E1940" t="s">
        <v>1950</v>
      </c>
      <c r="F1940">
        <f>HYPERLINK("http://pbs.twimg.com/media/DcXya2EW4AA3Rmj.jpg", "http://pbs.twimg.com/media/DcXya2EW4AA3Rmj.jpg")</f>
        <v/>
      </c>
      <c r="G1940" t="s"/>
      <c r="H1940" t="s"/>
      <c r="I1940" t="s"/>
      <c r="J1940" t="n">
        <v>0.024</v>
      </c>
      <c r="K1940" t="n">
        <v>0.142</v>
      </c>
      <c r="L1940" t="n">
        <v>0.712</v>
      </c>
      <c r="M1940" t="n">
        <v>0.146</v>
      </c>
    </row>
    <row r="1941" spans="1:13">
      <c r="A1941" s="1">
        <f>HYPERLINK("http://www.twitter.com/NathanBLawrence/status/992611379809931264", "992611379809931264")</f>
        <v/>
      </c>
      <c r="B1941" s="2" t="n">
        <v>43225.15704861111</v>
      </c>
      <c r="C1941" t="n">
        <v>0</v>
      </c>
      <c r="D1941" t="n">
        <v>167</v>
      </c>
      <c r="E1941" t="s">
        <v>1951</v>
      </c>
      <c r="F1941">
        <f>HYPERLINK("https://video.twimg.com/ext_tw_video/992600183799099392/pu/vid/1280x720/A-u_5ddo0ZwWwW-m.mp4?tag=3", "https://video.twimg.com/ext_tw_video/992600183799099392/pu/vid/1280x720/A-u_5ddo0ZwWwW-m.mp4?tag=3")</f>
        <v/>
      </c>
      <c r="G1941" t="s"/>
      <c r="H1941" t="s"/>
      <c r="I1941" t="s"/>
      <c r="J1941" t="n">
        <v>-0.2342</v>
      </c>
      <c r="K1941" t="n">
        <v>0.121</v>
      </c>
      <c r="L1941" t="n">
        <v>0.879</v>
      </c>
      <c r="M1941" t="n">
        <v>0</v>
      </c>
    </row>
    <row r="1942" spans="1:13">
      <c r="A1942" s="1">
        <f>HYPERLINK("http://www.twitter.com/NathanBLawrence/status/992611263057350656", "992611263057350656")</f>
        <v/>
      </c>
      <c r="B1942" s="2" t="n">
        <v>43225.15672453704</v>
      </c>
      <c r="C1942" t="n">
        <v>1</v>
      </c>
      <c r="D1942" t="n">
        <v>0</v>
      </c>
      <c r="E1942" t="s">
        <v>1952</v>
      </c>
      <c r="F1942" t="s"/>
      <c r="G1942" t="s"/>
      <c r="H1942" t="s"/>
      <c r="I1942" t="s"/>
      <c r="J1942" t="n">
        <v>0.9018</v>
      </c>
      <c r="K1942" t="n">
        <v>0.049</v>
      </c>
      <c r="L1942" t="n">
        <v>0.674</v>
      </c>
      <c r="M1942" t="n">
        <v>0.276</v>
      </c>
    </row>
    <row r="1943" spans="1:13">
      <c r="A1943" s="1">
        <f>HYPERLINK("http://www.twitter.com/NathanBLawrence/status/992610568522448896", "992610568522448896")</f>
        <v/>
      </c>
      <c r="B1943" s="2" t="n">
        <v>43225.15481481481</v>
      </c>
      <c r="C1943" t="n">
        <v>0</v>
      </c>
      <c r="D1943" t="n">
        <v>3</v>
      </c>
      <c r="E1943" t="s">
        <v>1953</v>
      </c>
      <c r="F1943" t="s"/>
      <c r="G1943" t="s"/>
      <c r="H1943" t="s"/>
      <c r="I1943" t="s"/>
      <c r="J1943" t="n">
        <v>0.6369</v>
      </c>
      <c r="K1943" t="n">
        <v>0</v>
      </c>
      <c r="L1943" t="n">
        <v>0.543</v>
      </c>
      <c r="M1943" t="n">
        <v>0.457</v>
      </c>
    </row>
    <row r="1944" spans="1:13">
      <c r="A1944" s="1">
        <f>HYPERLINK("http://www.twitter.com/NathanBLawrence/status/992610525652504576", "992610525652504576")</f>
        <v/>
      </c>
      <c r="B1944" s="2" t="n">
        <v>43225.1546875</v>
      </c>
      <c r="C1944" t="n">
        <v>6</v>
      </c>
      <c r="D1944" t="n">
        <v>2</v>
      </c>
      <c r="E1944" t="s">
        <v>1954</v>
      </c>
      <c r="F1944" t="s"/>
      <c r="G1944" t="s"/>
      <c r="H1944" t="s"/>
      <c r="I1944" t="s"/>
      <c r="J1944" t="n">
        <v>0.6351</v>
      </c>
      <c r="K1944" t="n">
        <v>0</v>
      </c>
      <c r="L1944" t="n">
        <v>0.418</v>
      </c>
      <c r="M1944" t="n">
        <v>0.582</v>
      </c>
    </row>
    <row r="1945" spans="1:13">
      <c r="A1945" s="1">
        <f>HYPERLINK("http://www.twitter.com/NathanBLawrence/status/992610435240095745", "992610435240095745")</f>
        <v/>
      </c>
      <c r="B1945" s="2" t="n">
        <v>43225.15444444444</v>
      </c>
      <c r="C1945" t="n">
        <v>5</v>
      </c>
      <c r="D1945" t="n">
        <v>4</v>
      </c>
      <c r="E1945" t="s">
        <v>1955</v>
      </c>
      <c r="F1945" t="s"/>
      <c r="G1945" t="s"/>
      <c r="H1945" t="s"/>
      <c r="I1945" t="s"/>
      <c r="J1945" t="n">
        <v>0</v>
      </c>
      <c r="K1945" t="n">
        <v>0</v>
      </c>
      <c r="L1945" t="n">
        <v>1</v>
      </c>
      <c r="M1945" t="n">
        <v>0</v>
      </c>
    </row>
    <row r="1946" spans="1:13">
      <c r="A1946" s="1">
        <f>HYPERLINK("http://www.twitter.com/NathanBLawrence/status/992609955503992832", "992609955503992832")</f>
        <v/>
      </c>
      <c r="B1946" s="2" t="n">
        <v>43225.15311342593</v>
      </c>
      <c r="C1946" t="n">
        <v>7</v>
      </c>
      <c r="D1946" t="n">
        <v>3</v>
      </c>
      <c r="E1946" t="s">
        <v>1956</v>
      </c>
      <c r="F1946" t="s"/>
      <c r="G1946" t="s"/>
      <c r="H1946" t="s"/>
      <c r="I1946" t="s"/>
      <c r="J1946" t="n">
        <v>-0.5446</v>
      </c>
      <c r="K1946" t="n">
        <v>0.261</v>
      </c>
      <c r="L1946" t="n">
        <v>0.546</v>
      </c>
      <c r="M1946" t="n">
        <v>0.193</v>
      </c>
    </row>
    <row r="1947" spans="1:13">
      <c r="A1947" s="1">
        <f>HYPERLINK("http://www.twitter.com/NathanBLawrence/status/992608925219373061", "992608925219373061")</f>
        <v/>
      </c>
      <c r="B1947" s="2" t="n">
        <v>43225.15027777778</v>
      </c>
      <c r="C1947" t="n">
        <v>12</v>
      </c>
      <c r="D1947" t="n">
        <v>9</v>
      </c>
      <c r="E1947" t="s">
        <v>1957</v>
      </c>
      <c r="F1947" t="s"/>
      <c r="G1947" t="s"/>
      <c r="H1947" t="s"/>
      <c r="I1947" t="s"/>
      <c r="J1947" t="n">
        <v>-0.4003</v>
      </c>
      <c r="K1947" t="n">
        <v>0.161</v>
      </c>
      <c r="L1947" t="n">
        <v>0.839</v>
      </c>
      <c r="M1947" t="n">
        <v>0</v>
      </c>
    </row>
    <row r="1948" spans="1:13">
      <c r="A1948" s="1">
        <f>HYPERLINK("http://www.twitter.com/NathanBLawrence/status/992499390391631872", "992499390391631872")</f>
        <v/>
      </c>
      <c r="B1948" s="2" t="n">
        <v>43224.84802083333</v>
      </c>
      <c r="C1948" t="n">
        <v>3</v>
      </c>
      <c r="D1948" t="n">
        <v>2</v>
      </c>
      <c r="E1948" t="s">
        <v>1958</v>
      </c>
      <c r="F1948" t="s"/>
      <c r="G1948" t="s"/>
      <c r="H1948" t="s"/>
      <c r="I1948" t="s"/>
      <c r="J1948" t="n">
        <v>0</v>
      </c>
      <c r="K1948" t="n">
        <v>0</v>
      </c>
      <c r="L1948" t="n">
        <v>1</v>
      </c>
      <c r="M1948" t="n">
        <v>0</v>
      </c>
    </row>
    <row r="1949" spans="1:13">
      <c r="A1949" s="1">
        <f>HYPERLINK("http://www.twitter.com/NathanBLawrence/status/992499193997475840", "992499193997475840")</f>
        <v/>
      </c>
      <c r="B1949" s="2" t="n">
        <v>43224.84747685185</v>
      </c>
      <c r="C1949" t="n">
        <v>16</v>
      </c>
      <c r="D1949" t="n">
        <v>5</v>
      </c>
      <c r="E1949" t="s">
        <v>1959</v>
      </c>
      <c r="F1949" t="s"/>
      <c r="G1949" t="s"/>
      <c r="H1949" t="s"/>
      <c r="I1949" t="s"/>
      <c r="J1949" t="n">
        <v>0.5266999999999999</v>
      </c>
      <c r="K1949" t="n">
        <v>0.101</v>
      </c>
      <c r="L1949" t="n">
        <v>0.724</v>
      </c>
      <c r="M1949" t="n">
        <v>0.175</v>
      </c>
    </row>
    <row r="1950" spans="1:13">
      <c r="A1950" s="1">
        <f>HYPERLINK("http://www.twitter.com/NathanBLawrence/status/992499002636554241", "992499002636554241")</f>
        <v/>
      </c>
      <c r="B1950" s="2" t="n">
        <v>43224.84694444444</v>
      </c>
      <c r="C1950" t="n">
        <v>7</v>
      </c>
      <c r="D1950" t="n">
        <v>2</v>
      </c>
      <c r="E1950" t="s">
        <v>1960</v>
      </c>
      <c r="F1950" t="s"/>
      <c r="G1950" t="s"/>
      <c r="H1950" t="s"/>
      <c r="I1950" t="s"/>
      <c r="J1950" t="n">
        <v>0</v>
      </c>
      <c r="K1950" t="n">
        <v>0</v>
      </c>
      <c r="L1950" t="n">
        <v>1</v>
      </c>
      <c r="M1950" t="n">
        <v>0</v>
      </c>
    </row>
    <row r="1951" spans="1:13">
      <c r="A1951" s="1">
        <f>HYPERLINK("http://www.twitter.com/NathanBLawrence/status/992498666626695168", "992498666626695168")</f>
        <v/>
      </c>
      <c r="B1951" s="2" t="n">
        <v>43224.84601851852</v>
      </c>
      <c r="C1951" t="n">
        <v>29</v>
      </c>
      <c r="D1951" t="n">
        <v>24</v>
      </c>
      <c r="E1951" t="s">
        <v>1961</v>
      </c>
      <c r="F1951" t="s"/>
      <c r="G1951" t="s"/>
      <c r="H1951" t="s"/>
      <c r="I1951" t="s"/>
      <c r="J1951" t="n">
        <v>0.34</v>
      </c>
      <c r="K1951" t="n">
        <v>0</v>
      </c>
      <c r="L1951" t="n">
        <v>0.907</v>
      </c>
      <c r="M1951" t="n">
        <v>0.093</v>
      </c>
    </row>
    <row r="1952" spans="1:13">
      <c r="A1952" s="1">
        <f>HYPERLINK("http://www.twitter.com/NathanBLawrence/status/992498006611001344", "992498006611001344")</f>
        <v/>
      </c>
      <c r="B1952" s="2" t="n">
        <v>43224.84420138889</v>
      </c>
      <c r="C1952" t="n">
        <v>13</v>
      </c>
      <c r="D1952" t="n">
        <v>5</v>
      </c>
      <c r="E1952" t="s">
        <v>1962</v>
      </c>
      <c r="F1952" t="s"/>
      <c r="G1952" t="s"/>
      <c r="H1952" t="s"/>
      <c r="I1952" t="s"/>
      <c r="J1952" t="n">
        <v>-0.7351</v>
      </c>
      <c r="K1952" t="n">
        <v>0.36</v>
      </c>
      <c r="L1952" t="n">
        <v>0.64</v>
      </c>
      <c r="M1952" t="n">
        <v>0</v>
      </c>
    </row>
    <row r="1953" spans="1:13">
      <c r="A1953" s="1">
        <f>HYPERLINK("http://www.twitter.com/NathanBLawrence/status/992497963829100545", "992497963829100545")</f>
        <v/>
      </c>
      <c r="B1953" s="2" t="n">
        <v>43224.84407407408</v>
      </c>
      <c r="C1953" t="n">
        <v>21</v>
      </c>
      <c r="D1953" t="n">
        <v>7</v>
      </c>
      <c r="E1953" t="s">
        <v>1963</v>
      </c>
      <c r="F1953" t="s"/>
      <c r="G1953" t="s"/>
      <c r="H1953" t="s"/>
      <c r="I1953" t="s"/>
      <c r="J1953" t="n">
        <v>0</v>
      </c>
      <c r="K1953" t="n">
        <v>0</v>
      </c>
      <c r="L1953" t="n">
        <v>1</v>
      </c>
      <c r="M1953" t="n">
        <v>0</v>
      </c>
    </row>
    <row r="1954" spans="1:13">
      <c r="A1954" s="1">
        <f>HYPERLINK("http://www.twitter.com/NathanBLawrence/status/992449477519659008", "992449477519659008")</f>
        <v/>
      </c>
      <c r="B1954" s="2" t="n">
        <v>43224.71027777778</v>
      </c>
      <c r="C1954" t="n">
        <v>8</v>
      </c>
      <c r="D1954" t="n">
        <v>3</v>
      </c>
      <c r="E1954" t="s">
        <v>1964</v>
      </c>
      <c r="F1954" t="s"/>
      <c r="G1954" t="s"/>
      <c r="H1954" t="s"/>
      <c r="I1954" t="s"/>
      <c r="J1954" t="n">
        <v>0</v>
      </c>
      <c r="K1954" t="n">
        <v>0</v>
      </c>
      <c r="L1954" t="n">
        <v>1</v>
      </c>
      <c r="M1954" t="n">
        <v>0</v>
      </c>
    </row>
    <row r="1955" spans="1:13">
      <c r="A1955" s="1">
        <f>HYPERLINK("http://www.twitter.com/NathanBLawrence/status/992420059296354305", "992420059296354305")</f>
        <v/>
      </c>
      <c r="B1955" s="2" t="n">
        <v>43224.6291087963</v>
      </c>
      <c r="C1955" t="n">
        <v>0</v>
      </c>
      <c r="D1955" t="n">
        <v>52</v>
      </c>
      <c r="E1955" t="s">
        <v>1965</v>
      </c>
      <c r="F1955">
        <f>HYPERLINK("http://pbs.twimg.com/media/DcRyyseU8AE-OK2.jpg", "http://pbs.twimg.com/media/DcRyyseU8AE-OK2.jpg")</f>
        <v/>
      </c>
      <c r="G1955" t="s"/>
      <c r="H1955" t="s"/>
      <c r="I1955" t="s"/>
      <c r="J1955" t="n">
        <v>0.4857</v>
      </c>
      <c r="K1955" t="n">
        <v>0</v>
      </c>
      <c r="L1955" t="n">
        <v>0.805</v>
      </c>
      <c r="M1955" t="n">
        <v>0.195</v>
      </c>
    </row>
    <row r="1956" spans="1:13">
      <c r="A1956" s="1">
        <f>HYPERLINK("http://www.twitter.com/NathanBLawrence/status/992420005282115585", "992420005282115585")</f>
        <v/>
      </c>
      <c r="B1956" s="2" t="n">
        <v>43224.62895833333</v>
      </c>
      <c r="C1956" t="n">
        <v>0</v>
      </c>
      <c r="D1956" t="n">
        <v>50</v>
      </c>
      <c r="E1956" t="s">
        <v>1966</v>
      </c>
      <c r="F1956" t="s"/>
      <c r="G1956" t="s"/>
      <c r="H1956" t="s"/>
      <c r="I1956" t="s"/>
      <c r="J1956" t="n">
        <v>0.4215</v>
      </c>
      <c r="K1956" t="n">
        <v>0</v>
      </c>
      <c r="L1956" t="n">
        <v>0.763</v>
      </c>
      <c r="M1956" t="n">
        <v>0.237</v>
      </c>
    </row>
    <row r="1957" spans="1:13">
      <c r="A1957" s="1">
        <f>HYPERLINK("http://www.twitter.com/NathanBLawrence/status/992419878857359360", "992419878857359360")</f>
        <v/>
      </c>
      <c r="B1957" s="2" t="n">
        <v>43224.62861111111</v>
      </c>
      <c r="C1957" t="n">
        <v>0</v>
      </c>
      <c r="D1957" t="n">
        <v>139</v>
      </c>
      <c r="E1957" t="s">
        <v>1967</v>
      </c>
      <c r="F1957" t="s"/>
      <c r="G1957" t="s"/>
      <c r="H1957" t="s"/>
      <c r="I1957" t="s"/>
      <c r="J1957" t="n">
        <v>-0.296</v>
      </c>
      <c r="K1957" t="n">
        <v>0.138</v>
      </c>
      <c r="L1957" t="n">
        <v>0.769</v>
      </c>
      <c r="M1957" t="n">
        <v>0.092</v>
      </c>
    </row>
    <row r="1958" spans="1:13">
      <c r="A1958" s="1">
        <f>HYPERLINK("http://www.twitter.com/NathanBLawrence/status/992419822506983424", "992419822506983424")</f>
        <v/>
      </c>
      <c r="B1958" s="2" t="n">
        <v>43224.62844907407</v>
      </c>
      <c r="C1958" t="n">
        <v>0</v>
      </c>
      <c r="D1958" t="n">
        <v>856</v>
      </c>
      <c r="E1958" t="s">
        <v>1968</v>
      </c>
      <c r="F1958" t="s"/>
      <c r="G1958" t="s"/>
      <c r="H1958" t="s"/>
      <c r="I1958" t="s"/>
      <c r="J1958" t="n">
        <v>0.2732</v>
      </c>
      <c r="K1958" t="n">
        <v>0</v>
      </c>
      <c r="L1958" t="n">
        <v>0.89</v>
      </c>
      <c r="M1958" t="n">
        <v>0.11</v>
      </c>
    </row>
    <row r="1959" spans="1:13">
      <c r="A1959" s="1">
        <f>HYPERLINK("http://www.twitter.com/NathanBLawrence/status/992419724087640066", "992419724087640066")</f>
        <v/>
      </c>
      <c r="B1959" s="2" t="n">
        <v>43224.62818287037</v>
      </c>
      <c r="C1959" t="n">
        <v>0</v>
      </c>
      <c r="D1959" t="n">
        <v>21</v>
      </c>
      <c r="E1959" t="s">
        <v>1969</v>
      </c>
      <c r="F1959">
        <f>HYPERLINK("http://pbs.twimg.com/media/DcUGqf4UQAMPc-A.jpg", "http://pbs.twimg.com/media/DcUGqf4UQAMPc-A.jpg")</f>
        <v/>
      </c>
      <c r="G1959" t="s"/>
      <c r="H1959" t="s"/>
      <c r="I1959" t="s"/>
      <c r="J1959" t="n">
        <v>0.1027</v>
      </c>
      <c r="K1959" t="n">
        <v>0.112</v>
      </c>
      <c r="L1959" t="n">
        <v>0.759</v>
      </c>
      <c r="M1959" t="n">
        <v>0.129</v>
      </c>
    </row>
    <row r="1960" spans="1:13">
      <c r="A1960" s="1">
        <f>HYPERLINK("http://www.twitter.com/NathanBLawrence/status/992419665140826113", "992419665140826113")</f>
        <v/>
      </c>
      <c r="B1960" s="2" t="n">
        <v>43224.62802083333</v>
      </c>
      <c r="C1960" t="n">
        <v>0</v>
      </c>
      <c r="D1960" t="n">
        <v>238</v>
      </c>
      <c r="E1960" t="s">
        <v>1970</v>
      </c>
      <c r="F1960">
        <f>HYPERLINK("http://pbs.twimg.com/media/DXOlrVKW0AAWfgu.jpg", "http://pbs.twimg.com/media/DXOlrVKW0AAWfgu.jpg")</f>
        <v/>
      </c>
      <c r="G1960" t="s"/>
      <c r="H1960" t="s"/>
      <c r="I1960" t="s"/>
      <c r="J1960" t="n">
        <v>0</v>
      </c>
      <c r="K1960" t="n">
        <v>0</v>
      </c>
      <c r="L1960" t="n">
        <v>1</v>
      </c>
      <c r="M1960" t="n">
        <v>0</v>
      </c>
    </row>
    <row r="1961" spans="1:13">
      <c r="A1961" s="1">
        <f>HYPERLINK("http://www.twitter.com/NathanBLawrence/status/992419496840151040", "992419496840151040")</f>
        <v/>
      </c>
      <c r="B1961" s="2" t="n">
        <v>43224.62754629629</v>
      </c>
      <c r="C1961" t="n">
        <v>0</v>
      </c>
      <c r="D1961" t="n">
        <v>344</v>
      </c>
      <c r="E1961" t="s">
        <v>1971</v>
      </c>
      <c r="F1961">
        <f>HYPERLINK("http://pbs.twimg.com/media/DarQZrdUMAAI62P.jpg", "http://pbs.twimg.com/media/DarQZrdUMAAI62P.jpg")</f>
        <v/>
      </c>
      <c r="G1961" t="s"/>
      <c r="H1961" t="s"/>
      <c r="I1961" t="s"/>
      <c r="J1961" t="n">
        <v>-0.7003</v>
      </c>
      <c r="K1961" t="n">
        <v>0.254</v>
      </c>
      <c r="L1961" t="n">
        <v>0.746</v>
      </c>
      <c r="M1961" t="n">
        <v>0</v>
      </c>
    </row>
    <row r="1962" spans="1:13">
      <c r="A1962" s="1">
        <f>HYPERLINK("http://www.twitter.com/NathanBLawrence/status/992419294775394306", "992419294775394306")</f>
        <v/>
      </c>
      <c r="B1962" s="2" t="n">
        <v>43224.62699074074</v>
      </c>
      <c r="C1962" t="n">
        <v>0</v>
      </c>
      <c r="D1962" t="n">
        <v>653</v>
      </c>
      <c r="E1962" t="s">
        <v>1972</v>
      </c>
      <c r="F1962" t="s"/>
      <c r="G1962" t="s"/>
      <c r="H1962" t="s"/>
      <c r="I1962" t="s"/>
      <c r="J1962" t="n">
        <v>-0.4201</v>
      </c>
      <c r="K1962" t="n">
        <v>0.128</v>
      </c>
      <c r="L1962" t="n">
        <v>0.872</v>
      </c>
      <c r="M1962" t="n">
        <v>0</v>
      </c>
    </row>
    <row r="1963" spans="1:13">
      <c r="A1963" s="1">
        <f>HYPERLINK("http://www.twitter.com/NathanBLawrence/status/992419109550739468", "992419109550739468")</f>
        <v/>
      </c>
      <c r="B1963" s="2" t="n">
        <v>43224.62648148148</v>
      </c>
      <c r="C1963" t="n">
        <v>0</v>
      </c>
      <c r="D1963" t="n">
        <v>1147</v>
      </c>
      <c r="E1963" t="s">
        <v>1973</v>
      </c>
      <c r="F1963" t="s"/>
      <c r="G1963" t="s"/>
      <c r="H1963" t="s"/>
      <c r="I1963" t="s"/>
      <c r="J1963" t="n">
        <v>0.5106000000000001</v>
      </c>
      <c r="K1963" t="n">
        <v>0</v>
      </c>
      <c r="L1963" t="n">
        <v>0.852</v>
      </c>
      <c r="M1963" t="n">
        <v>0.148</v>
      </c>
    </row>
    <row r="1964" spans="1:13">
      <c r="A1964" s="1">
        <f>HYPERLINK("http://www.twitter.com/NathanBLawrence/status/992419032627200000", "992419032627200000")</f>
        <v/>
      </c>
      <c r="B1964" s="2" t="n">
        <v>43224.62627314815</v>
      </c>
      <c r="C1964" t="n">
        <v>0</v>
      </c>
      <c r="D1964" t="n">
        <v>671</v>
      </c>
      <c r="E1964" t="s">
        <v>1974</v>
      </c>
      <c r="F1964" t="s"/>
      <c r="G1964" t="s"/>
      <c r="H1964" t="s"/>
      <c r="I1964" t="s"/>
      <c r="J1964" t="n">
        <v>-0.1531</v>
      </c>
      <c r="K1964" t="n">
        <v>0.11</v>
      </c>
      <c r="L1964" t="n">
        <v>0.89</v>
      </c>
      <c r="M1964" t="n">
        <v>0</v>
      </c>
    </row>
    <row r="1965" spans="1:13">
      <c r="A1965" s="1">
        <f>HYPERLINK("http://www.twitter.com/NathanBLawrence/status/992418859322826752", "992418859322826752")</f>
        <v/>
      </c>
      <c r="B1965" s="2" t="n">
        <v>43224.62578703704</v>
      </c>
      <c r="C1965" t="n">
        <v>0</v>
      </c>
      <c r="D1965" t="n">
        <v>1798</v>
      </c>
      <c r="E1965" t="s">
        <v>1975</v>
      </c>
      <c r="F1965" t="s"/>
      <c r="G1965" t="s"/>
      <c r="H1965" t="s"/>
      <c r="I1965" t="s"/>
      <c r="J1965" t="n">
        <v>0</v>
      </c>
      <c r="K1965" t="n">
        <v>0</v>
      </c>
      <c r="L1965" t="n">
        <v>1</v>
      </c>
      <c r="M1965" t="n">
        <v>0</v>
      </c>
    </row>
    <row r="1966" spans="1:13">
      <c r="A1966" s="1">
        <f>HYPERLINK("http://www.twitter.com/NathanBLawrence/status/992418799973416960", "992418799973416960")</f>
        <v/>
      </c>
      <c r="B1966" s="2" t="n">
        <v>43224.625625</v>
      </c>
      <c r="C1966" t="n">
        <v>0</v>
      </c>
      <c r="D1966" t="n">
        <v>1375</v>
      </c>
      <c r="E1966" t="s">
        <v>1976</v>
      </c>
      <c r="F1966" t="s"/>
      <c r="G1966" t="s"/>
      <c r="H1966" t="s"/>
      <c r="I1966" t="s"/>
      <c r="J1966" t="n">
        <v>-0.6908</v>
      </c>
      <c r="K1966" t="n">
        <v>0.281</v>
      </c>
      <c r="L1966" t="n">
        <v>0.641</v>
      </c>
      <c r="M1966" t="n">
        <v>0.078</v>
      </c>
    </row>
    <row r="1967" spans="1:13">
      <c r="A1967" s="1">
        <f>HYPERLINK("http://www.twitter.com/NathanBLawrence/status/992418681828163584", "992418681828163584")</f>
        <v/>
      </c>
      <c r="B1967" s="2" t="n">
        <v>43224.62530092592</v>
      </c>
      <c r="C1967" t="n">
        <v>0</v>
      </c>
      <c r="D1967" t="n">
        <v>568</v>
      </c>
      <c r="E1967" t="s">
        <v>1977</v>
      </c>
      <c r="F1967" t="s"/>
      <c r="G1967" t="s"/>
      <c r="H1967" t="s"/>
      <c r="I1967" t="s"/>
      <c r="J1967" t="n">
        <v>0.3802</v>
      </c>
      <c r="K1967" t="n">
        <v>0.147</v>
      </c>
      <c r="L1967" t="n">
        <v>0.621</v>
      </c>
      <c r="M1967" t="n">
        <v>0.232</v>
      </c>
    </row>
    <row r="1968" spans="1:13">
      <c r="A1968" s="1">
        <f>HYPERLINK("http://www.twitter.com/NathanBLawrence/status/992418471660040192", "992418471660040192")</f>
        <v/>
      </c>
      <c r="B1968" s="2" t="n">
        <v>43224.62472222222</v>
      </c>
      <c r="C1968" t="n">
        <v>0</v>
      </c>
      <c r="D1968" t="n">
        <v>214</v>
      </c>
      <c r="E1968" t="s">
        <v>1978</v>
      </c>
      <c r="F1968" t="s"/>
      <c r="G1968" t="s"/>
      <c r="H1968" t="s"/>
      <c r="I1968" t="s"/>
      <c r="J1968" t="n">
        <v>0.128</v>
      </c>
      <c r="K1968" t="n">
        <v>0.183</v>
      </c>
      <c r="L1968" t="n">
        <v>0.5629999999999999</v>
      </c>
      <c r="M1968" t="n">
        <v>0.254</v>
      </c>
    </row>
    <row r="1969" spans="1:13">
      <c r="A1969" s="1">
        <f>HYPERLINK("http://www.twitter.com/NathanBLawrence/status/992418390558949376", "992418390558949376")</f>
        <v/>
      </c>
      <c r="B1969" s="2" t="n">
        <v>43224.62450231481</v>
      </c>
      <c r="C1969" t="n">
        <v>0</v>
      </c>
      <c r="D1969" t="n">
        <v>706</v>
      </c>
      <c r="E1969" t="s">
        <v>1979</v>
      </c>
      <c r="F1969" t="s"/>
      <c r="G1969" t="s"/>
      <c r="H1969" t="s"/>
      <c r="I1969" t="s"/>
      <c r="J1969" t="n">
        <v>0.8401</v>
      </c>
      <c r="K1969" t="n">
        <v>0.163</v>
      </c>
      <c r="L1969" t="n">
        <v>0.478</v>
      </c>
      <c r="M1969" t="n">
        <v>0.36</v>
      </c>
    </row>
    <row r="1970" spans="1:13">
      <c r="A1970" s="1">
        <f>HYPERLINK("http://www.twitter.com/NathanBLawrence/status/992418303984324609", "992418303984324609")</f>
        <v/>
      </c>
      <c r="B1970" s="2" t="n">
        <v>43224.62425925926</v>
      </c>
      <c r="C1970" t="n">
        <v>0</v>
      </c>
      <c r="D1970" t="n">
        <v>1016</v>
      </c>
      <c r="E1970" t="s">
        <v>1980</v>
      </c>
      <c r="F1970" t="s"/>
      <c r="G1970" t="s"/>
      <c r="H1970" t="s"/>
      <c r="I1970" t="s"/>
      <c r="J1970" t="n">
        <v>-0.8176</v>
      </c>
      <c r="K1970" t="n">
        <v>0.421</v>
      </c>
      <c r="L1970" t="n">
        <v>0.386</v>
      </c>
      <c r="M1970" t="n">
        <v>0.193</v>
      </c>
    </row>
    <row r="1971" spans="1:13">
      <c r="A1971" s="1">
        <f>HYPERLINK("http://www.twitter.com/NathanBLawrence/status/992418174606893059", "992418174606893059")</f>
        <v/>
      </c>
      <c r="B1971" s="2" t="n">
        <v>43224.62390046296</v>
      </c>
      <c r="C1971" t="n">
        <v>2</v>
      </c>
      <c r="D1971" t="n">
        <v>3</v>
      </c>
      <c r="E1971" t="s">
        <v>1981</v>
      </c>
      <c r="F1971" t="s"/>
      <c r="G1971" t="s"/>
      <c r="H1971" t="s"/>
      <c r="I1971" t="s"/>
      <c r="J1971" t="n">
        <v>0</v>
      </c>
      <c r="K1971" t="n">
        <v>0</v>
      </c>
      <c r="L1971" t="n">
        <v>1</v>
      </c>
      <c r="M1971" t="n">
        <v>0</v>
      </c>
    </row>
    <row r="1972" spans="1:13">
      <c r="A1972" s="1">
        <f>HYPERLINK("http://www.twitter.com/NathanBLawrence/status/992418027093221378", "992418027093221378")</f>
        <v/>
      </c>
      <c r="B1972" s="2" t="n">
        <v>43224.62349537037</v>
      </c>
      <c r="C1972" t="n">
        <v>0</v>
      </c>
      <c r="D1972" t="n">
        <v>1140</v>
      </c>
      <c r="E1972" t="s">
        <v>1982</v>
      </c>
      <c r="F1972" t="s"/>
      <c r="G1972" t="s"/>
      <c r="H1972" t="s"/>
      <c r="I1972" t="s"/>
      <c r="J1972" t="n">
        <v>0.1531</v>
      </c>
      <c r="K1972" t="n">
        <v>0.11</v>
      </c>
      <c r="L1972" t="n">
        <v>0.758</v>
      </c>
      <c r="M1972" t="n">
        <v>0.133</v>
      </c>
    </row>
    <row r="1973" spans="1:13">
      <c r="A1973" s="1">
        <f>HYPERLINK("http://www.twitter.com/NathanBLawrence/status/992417741146505219", "992417741146505219")</f>
        <v/>
      </c>
      <c r="B1973" s="2" t="n">
        <v>43224.62270833334</v>
      </c>
      <c r="C1973" t="n">
        <v>0</v>
      </c>
      <c r="D1973" t="n">
        <v>46</v>
      </c>
      <c r="E1973" t="s">
        <v>1983</v>
      </c>
      <c r="F1973" t="s"/>
      <c r="G1973" t="s"/>
      <c r="H1973" t="s"/>
      <c r="I1973" t="s"/>
      <c r="J1973" t="n">
        <v>-0.5994</v>
      </c>
      <c r="K1973" t="n">
        <v>0.178</v>
      </c>
      <c r="L1973" t="n">
        <v>0.822</v>
      </c>
      <c r="M1973" t="n">
        <v>0</v>
      </c>
    </row>
    <row r="1974" spans="1:13">
      <c r="A1974" s="1">
        <f>HYPERLINK("http://www.twitter.com/NathanBLawrence/status/992417652730548224", "992417652730548224")</f>
        <v/>
      </c>
      <c r="B1974" s="2" t="n">
        <v>43224.62246527777</v>
      </c>
      <c r="C1974" t="n">
        <v>0</v>
      </c>
      <c r="D1974" t="n">
        <v>9</v>
      </c>
      <c r="E1974" t="s">
        <v>1984</v>
      </c>
      <c r="F1974">
        <f>HYPERLINK("http://pbs.twimg.com/media/DcXAz3pU8AAXw1y.jpg", "http://pbs.twimg.com/media/DcXAz3pU8AAXw1y.jpg")</f>
        <v/>
      </c>
      <c r="G1974" t="s"/>
      <c r="H1974" t="s"/>
      <c r="I1974" t="s"/>
      <c r="J1974" t="n">
        <v>0</v>
      </c>
      <c r="K1974" t="n">
        <v>0</v>
      </c>
      <c r="L1974" t="n">
        <v>1</v>
      </c>
      <c r="M1974" t="n">
        <v>0</v>
      </c>
    </row>
    <row r="1975" spans="1:13">
      <c r="A1975" s="1">
        <f>HYPERLINK("http://www.twitter.com/NathanBLawrence/status/992417128136429569", "992417128136429569")</f>
        <v/>
      </c>
      <c r="B1975" s="2" t="n">
        <v>43224.62101851852</v>
      </c>
      <c r="C1975" t="n">
        <v>0</v>
      </c>
      <c r="D1975" t="n">
        <v>159</v>
      </c>
      <c r="E1975" t="s">
        <v>1985</v>
      </c>
      <c r="F1975" t="s"/>
      <c r="G1975" t="s"/>
      <c r="H1975" t="s"/>
      <c r="I1975" t="s"/>
      <c r="J1975" t="n">
        <v>-0.7269</v>
      </c>
      <c r="K1975" t="n">
        <v>0.243</v>
      </c>
      <c r="L1975" t="n">
        <v>0.757</v>
      </c>
      <c r="M1975" t="n">
        <v>0</v>
      </c>
    </row>
    <row r="1976" spans="1:13">
      <c r="A1976" s="1">
        <f>HYPERLINK("http://www.twitter.com/NathanBLawrence/status/992417021798203394", "992417021798203394")</f>
        <v/>
      </c>
      <c r="B1976" s="2" t="n">
        <v>43224.6207175926</v>
      </c>
      <c r="C1976" t="n">
        <v>25</v>
      </c>
      <c r="D1976" t="n">
        <v>15</v>
      </c>
      <c r="E1976" t="s">
        <v>1986</v>
      </c>
      <c r="F1976" t="s"/>
      <c r="G1976" t="s"/>
      <c r="H1976" t="s"/>
      <c r="I1976" t="s"/>
      <c r="J1976" t="n">
        <v>0</v>
      </c>
      <c r="K1976" t="n">
        <v>0</v>
      </c>
      <c r="L1976" t="n">
        <v>1</v>
      </c>
      <c r="M1976" t="n">
        <v>0</v>
      </c>
    </row>
    <row r="1977" spans="1:13">
      <c r="A1977" s="1">
        <f>HYPERLINK("http://www.twitter.com/NathanBLawrence/status/992416859080163328", "992416859080163328")</f>
        <v/>
      </c>
      <c r="B1977" s="2" t="n">
        <v>43224.62027777778</v>
      </c>
      <c r="C1977" t="n">
        <v>0</v>
      </c>
      <c r="D1977" t="n">
        <v>1146</v>
      </c>
      <c r="E1977" t="s">
        <v>1987</v>
      </c>
      <c r="F1977">
        <f>HYPERLINK("http://pbs.twimg.com/media/DcIwENGVAAA1Sdp.jpg", "http://pbs.twimg.com/media/DcIwENGVAAA1Sdp.jpg")</f>
        <v/>
      </c>
      <c r="G1977" t="s"/>
      <c r="H1977" t="s"/>
      <c r="I1977" t="s"/>
      <c r="J1977" t="n">
        <v>0.3612</v>
      </c>
      <c r="K1977" t="n">
        <v>0</v>
      </c>
      <c r="L1977" t="n">
        <v>0.898</v>
      </c>
      <c r="M1977" t="n">
        <v>0.102</v>
      </c>
    </row>
    <row r="1978" spans="1:13">
      <c r="A1978" s="1">
        <f>HYPERLINK("http://www.twitter.com/NathanBLawrence/status/992416596634222592", "992416596634222592")</f>
        <v/>
      </c>
      <c r="B1978" s="2" t="n">
        <v>43224.61954861111</v>
      </c>
      <c r="C1978" t="n">
        <v>2</v>
      </c>
      <c r="D1978" t="n">
        <v>1</v>
      </c>
      <c r="E1978" t="s">
        <v>1988</v>
      </c>
      <c r="F1978" t="s"/>
      <c r="G1978" t="s"/>
      <c r="H1978" t="s"/>
      <c r="I1978" t="s"/>
      <c r="J1978" t="n">
        <v>0</v>
      </c>
      <c r="K1978" t="n">
        <v>0</v>
      </c>
      <c r="L1978" t="n">
        <v>1</v>
      </c>
      <c r="M1978" t="n">
        <v>0</v>
      </c>
    </row>
    <row r="1979" spans="1:13">
      <c r="A1979" s="1">
        <f>HYPERLINK("http://www.twitter.com/NathanBLawrence/status/992416459455320064", "992416459455320064")</f>
        <v/>
      </c>
      <c r="B1979" s="2" t="n">
        <v>43224.61916666666</v>
      </c>
      <c r="C1979" t="n">
        <v>2</v>
      </c>
      <c r="D1979" t="n">
        <v>2</v>
      </c>
      <c r="E1979" t="s">
        <v>1989</v>
      </c>
      <c r="F1979" t="s"/>
      <c r="G1979" t="s"/>
      <c r="H1979" t="s"/>
      <c r="I1979" t="s"/>
      <c r="J1979" t="n">
        <v>0</v>
      </c>
      <c r="K1979" t="n">
        <v>0</v>
      </c>
      <c r="L1979" t="n">
        <v>1</v>
      </c>
      <c r="M1979" t="n">
        <v>0</v>
      </c>
    </row>
    <row r="1980" spans="1:13">
      <c r="A1980" s="1">
        <f>HYPERLINK("http://www.twitter.com/NathanBLawrence/status/992416375401472000", "992416375401472000")</f>
        <v/>
      </c>
      <c r="B1980" s="2" t="n">
        <v>43224.61893518519</v>
      </c>
      <c r="C1980" t="n">
        <v>3</v>
      </c>
      <c r="D1980" t="n">
        <v>0</v>
      </c>
      <c r="E1980" t="s">
        <v>1990</v>
      </c>
      <c r="F1980" t="s"/>
      <c r="G1980" t="s"/>
      <c r="H1980" t="s"/>
      <c r="I1980" t="s"/>
      <c r="J1980" t="n">
        <v>0</v>
      </c>
      <c r="K1980" t="n">
        <v>0</v>
      </c>
      <c r="L1980" t="n">
        <v>1</v>
      </c>
      <c r="M1980" t="n">
        <v>0</v>
      </c>
    </row>
    <row r="1981" spans="1:13">
      <c r="A1981" s="1">
        <f>HYPERLINK("http://www.twitter.com/NathanBLawrence/status/992416288390574080", "992416288390574080")</f>
        <v/>
      </c>
      <c r="B1981" s="2" t="n">
        <v>43224.6187037037</v>
      </c>
      <c r="C1981" t="n">
        <v>0</v>
      </c>
      <c r="D1981" t="n">
        <v>135</v>
      </c>
      <c r="E1981" t="s">
        <v>1991</v>
      </c>
      <c r="F1981">
        <f>HYPERLINK("http://pbs.twimg.com/media/DcWy9VSUwAEAIAs.jpg", "http://pbs.twimg.com/media/DcWy9VSUwAEAIAs.jpg")</f>
        <v/>
      </c>
      <c r="G1981" t="s"/>
      <c r="H1981" t="s"/>
      <c r="I1981" t="s"/>
      <c r="J1981" t="n">
        <v>-0.824</v>
      </c>
      <c r="K1981" t="n">
        <v>0.337</v>
      </c>
      <c r="L1981" t="n">
        <v>0.663</v>
      </c>
      <c r="M1981" t="n">
        <v>0</v>
      </c>
    </row>
    <row r="1982" spans="1:13">
      <c r="A1982" s="1">
        <f>HYPERLINK("http://www.twitter.com/NathanBLawrence/status/992416228252643329", "992416228252643329")</f>
        <v/>
      </c>
      <c r="B1982" s="2" t="n">
        <v>43224.61853009259</v>
      </c>
      <c r="C1982" t="n">
        <v>0</v>
      </c>
      <c r="D1982" t="n">
        <v>943</v>
      </c>
      <c r="E1982" t="s">
        <v>1992</v>
      </c>
      <c r="F1982">
        <f>HYPERLINK("https://video.twimg.com/amplify_video/992216127085391874/vid/1280x720/7jjEh_nX0oOvqAIA.mp4?tag=2", "https://video.twimg.com/amplify_video/992216127085391874/vid/1280x720/7jjEh_nX0oOvqAIA.mp4?tag=2")</f>
        <v/>
      </c>
      <c r="G1982" t="s"/>
      <c r="H1982" t="s"/>
      <c r="I1982" t="s"/>
      <c r="J1982" t="n">
        <v>-0.6369</v>
      </c>
      <c r="K1982" t="n">
        <v>0.198</v>
      </c>
      <c r="L1982" t="n">
        <v>0.802</v>
      </c>
      <c r="M1982" t="n">
        <v>0</v>
      </c>
    </row>
    <row r="1983" spans="1:13">
      <c r="A1983" s="1">
        <f>HYPERLINK("http://www.twitter.com/NathanBLawrence/status/992416171163992064", "992416171163992064")</f>
        <v/>
      </c>
      <c r="B1983" s="2" t="n">
        <v>43224.61837962963</v>
      </c>
      <c r="C1983" t="n">
        <v>0</v>
      </c>
      <c r="D1983" t="n">
        <v>5</v>
      </c>
      <c r="E1983" t="s">
        <v>1993</v>
      </c>
      <c r="F1983">
        <f>HYPERLINK("http://pbs.twimg.com/media/DcXBxx9VwAMWaf6.jpg", "http://pbs.twimg.com/media/DcXBxx9VwAMWaf6.jpg")</f>
        <v/>
      </c>
      <c r="G1983" t="s"/>
      <c r="H1983" t="s"/>
      <c r="I1983" t="s"/>
      <c r="J1983" t="n">
        <v>0</v>
      </c>
      <c r="K1983" t="n">
        <v>0</v>
      </c>
      <c r="L1983" t="n">
        <v>1</v>
      </c>
      <c r="M1983" t="n">
        <v>0</v>
      </c>
    </row>
    <row r="1984" spans="1:13">
      <c r="A1984" s="1">
        <f>HYPERLINK("http://www.twitter.com/NathanBLawrence/status/992415070293389312", "992415070293389312")</f>
        <v/>
      </c>
      <c r="B1984" s="2" t="n">
        <v>43224.61533564814</v>
      </c>
      <c r="C1984" t="n">
        <v>10</v>
      </c>
      <c r="D1984" t="n">
        <v>5</v>
      </c>
      <c r="E1984" t="s">
        <v>1994</v>
      </c>
      <c r="F1984" t="s"/>
      <c r="G1984" t="s"/>
      <c r="H1984" t="s"/>
      <c r="I1984" t="s"/>
      <c r="J1984" t="n">
        <v>0.7096</v>
      </c>
      <c r="K1984" t="n">
        <v>0</v>
      </c>
      <c r="L1984" t="n">
        <v>0.777</v>
      </c>
      <c r="M1984" t="n">
        <v>0.223</v>
      </c>
    </row>
    <row r="1985" spans="1:13">
      <c r="A1985" s="1">
        <f>HYPERLINK("http://www.twitter.com/NathanBLawrence/status/992412484949590016", "992412484949590016")</f>
        <v/>
      </c>
      <c r="B1985" s="2" t="n">
        <v>43224.60820601852</v>
      </c>
      <c r="C1985" t="n">
        <v>3</v>
      </c>
      <c r="D1985" t="n">
        <v>0</v>
      </c>
      <c r="E1985" t="s">
        <v>1995</v>
      </c>
      <c r="F1985" t="s"/>
      <c r="G1985" t="s"/>
      <c r="H1985" t="s"/>
      <c r="I1985" t="s"/>
      <c r="J1985" t="n">
        <v>0</v>
      </c>
      <c r="K1985" t="n">
        <v>0</v>
      </c>
      <c r="L1985" t="n">
        <v>1</v>
      </c>
      <c r="M1985" t="n">
        <v>0</v>
      </c>
    </row>
    <row r="1986" spans="1:13">
      <c r="A1986" s="1">
        <f>HYPERLINK("http://www.twitter.com/NathanBLawrence/status/992412349301587968", "992412349301587968")</f>
        <v/>
      </c>
      <c r="B1986" s="2" t="n">
        <v>43224.60782407408</v>
      </c>
      <c r="C1986" t="n">
        <v>0</v>
      </c>
      <c r="D1986" t="n">
        <v>75</v>
      </c>
      <c r="E1986" t="s">
        <v>1996</v>
      </c>
      <c r="F1986">
        <f>HYPERLINK("https://video.twimg.com/ext_tw_video/981167576251187202/pu/vid/1280x720/vyUA2OCYuvNa_bo9.mp4?tag=2", "https://video.twimg.com/ext_tw_video/981167576251187202/pu/vid/1280x720/vyUA2OCYuvNa_bo9.mp4?tag=2")</f>
        <v/>
      </c>
      <c r="G1986" t="s"/>
      <c r="H1986" t="s"/>
      <c r="I1986" t="s"/>
      <c r="J1986" t="n">
        <v>0.09</v>
      </c>
      <c r="K1986" t="n">
        <v>0.054</v>
      </c>
      <c r="L1986" t="n">
        <v>0.88</v>
      </c>
      <c r="M1986" t="n">
        <v>0.066</v>
      </c>
    </row>
    <row r="1987" spans="1:13">
      <c r="A1987" s="1">
        <f>HYPERLINK("http://www.twitter.com/NathanBLawrence/status/992412160767623168", "992412160767623168")</f>
        <v/>
      </c>
      <c r="B1987" s="2" t="n">
        <v>43224.60730324074</v>
      </c>
      <c r="C1987" t="n">
        <v>8</v>
      </c>
      <c r="D1987" t="n">
        <v>2</v>
      </c>
      <c r="E1987" t="s">
        <v>1997</v>
      </c>
      <c r="F1987" t="s"/>
      <c r="G1987" t="s"/>
      <c r="H1987" t="s"/>
      <c r="I1987" t="s"/>
      <c r="J1987" t="n">
        <v>-0.2714</v>
      </c>
      <c r="K1987" t="n">
        <v>0.181</v>
      </c>
      <c r="L1987" t="n">
        <v>0.717</v>
      </c>
      <c r="M1987" t="n">
        <v>0.102</v>
      </c>
    </row>
    <row r="1988" spans="1:13">
      <c r="A1988" s="1">
        <f>HYPERLINK("http://www.twitter.com/NathanBLawrence/status/992411615692664834", "992411615692664834")</f>
        <v/>
      </c>
      <c r="B1988" s="2" t="n">
        <v>43224.60579861111</v>
      </c>
      <c r="C1988" t="n">
        <v>0</v>
      </c>
      <c r="D1988" t="n">
        <v>3</v>
      </c>
      <c r="E1988" t="s">
        <v>1998</v>
      </c>
      <c r="F1988" t="s"/>
      <c r="G1988" t="s"/>
      <c r="H1988" t="s"/>
      <c r="I1988" t="s"/>
      <c r="J1988" t="n">
        <v>0</v>
      </c>
      <c r="K1988" t="n">
        <v>0</v>
      </c>
      <c r="L1988" t="n">
        <v>1</v>
      </c>
      <c r="M1988" t="n">
        <v>0</v>
      </c>
    </row>
    <row r="1989" spans="1:13">
      <c r="A1989" s="1">
        <f>HYPERLINK("http://www.twitter.com/NathanBLawrence/status/992411544880234497", "992411544880234497")</f>
        <v/>
      </c>
      <c r="B1989" s="2" t="n">
        <v>43224.60561342593</v>
      </c>
      <c r="C1989" t="n">
        <v>0</v>
      </c>
      <c r="D1989" t="n">
        <v>653</v>
      </c>
      <c r="E1989" t="s">
        <v>1999</v>
      </c>
      <c r="F1989">
        <f>HYPERLINK("http://pbs.twimg.com/media/DcW2n_5XkAEIRsy.jpg", "http://pbs.twimg.com/media/DcW2n_5XkAEIRsy.jpg")</f>
        <v/>
      </c>
      <c r="G1989" t="s"/>
      <c r="H1989" t="s"/>
      <c r="I1989" t="s"/>
      <c r="J1989" t="n">
        <v>0</v>
      </c>
      <c r="K1989" t="n">
        <v>0</v>
      </c>
      <c r="L1989" t="n">
        <v>1</v>
      </c>
      <c r="M1989" t="n">
        <v>0</v>
      </c>
    </row>
    <row r="1990" spans="1:13">
      <c r="A1990" s="1">
        <f>HYPERLINK("http://www.twitter.com/NathanBLawrence/status/992411353678675969", "992411353678675969")</f>
        <v/>
      </c>
      <c r="B1990" s="2" t="n">
        <v>43224.60508101852</v>
      </c>
      <c r="C1990" t="n">
        <v>0</v>
      </c>
      <c r="D1990" t="n">
        <v>314</v>
      </c>
      <c r="E1990" t="s">
        <v>2000</v>
      </c>
      <c r="F1990">
        <f>HYPERLINK("http://pbs.twimg.com/media/DcUw947U8AEDeWs.jpg", "http://pbs.twimg.com/media/DcUw947U8AEDeWs.jpg")</f>
        <v/>
      </c>
      <c r="G1990" t="s"/>
      <c r="H1990" t="s"/>
      <c r="I1990" t="s"/>
      <c r="J1990" t="n">
        <v>0</v>
      </c>
      <c r="K1990" t="n">
        <v>0</v>
      </c>
      <c r="L1990" t="n">
        <v>1</v>
      </c>
      <c r="M1990" t="n">
        <v>0</v>
      </c>
    </row>
    <row r="1991" spans="1:13">
      <c r="A1991" s="1">
        <f>HYPERLINK("http://www.twitter.com/NathanBLawrence/status/992411277854064640", "992411277854064640")</f>
        <v/>
      </c>
      <c r="B1991" s="2" t="n">
        <v>43224.60487268519</v>
      </c>
      <c r="C1991" t="n">
        <v>0</v>
      </c>
      <c r="D1991" t="n">
        <v>1</v>
      </c>
      <c r="E1991" t="s">
        <v>2001</v>
      </c>
      <c r="F1991" t="s"/>
      <c r="G1991" t="s"/>
      <c r="H1991" t="s"/>
      <c r="I1991" t="s"/>
      <c r="J1991" t="n">
        <v>0.4767</v>
      </c>
      <c r="K1991" t="n">
        <v>0</v>
      </c>
      <c r="L1991" t="n">
        <v>0.796</v>
      </c>
      <c r="M1991" t="n">
        <v>0.204</v>
      </c>
    </row>
    <row r="1992" spans="1:13">
      <c r="A1992" s="1">
        <f>HYPERLINK("http://www.twitter.com/NathanBLawrence/status/992411205108035584", "992411205108035584")</f>
        <v/>
      </c>
      <c r="B1992" s="2" t="n">
        <v>43224.60467592593</v>
      </c>
      <c r="C1992" t="n">
        <v>0</v>
      </c>
      <c r="D1992" t="n">
        <v>2</v>
      </c>
      <c r="E1992" t="s">
        <v>2002</v>
      </c>
      <c r="F1992">
        <f>HYPERLINK("http://pbs.twimg.com/media/DcW_VFAVMAECPU2.jpg", "http://pbs.twimg.com/media/DcW_VFAVMAECPU2.jpg")</f>
        <v/>
      </c>
      <c r="G1992" t="s"/>
      <c r="H1992" t="s"/>
      <c r="I1992" t="s"/>
      <c r="J1992" t="n">
        <v>0</v>
      </c>
      <c r="K1992" t="n">
        <v>0</v>
      </c>
      <c r="L1992" t="n">
        <v>1</v>
      </c>
      <c r="M1992" t="n">
        <v>0</v>
      </c>
    </row>
    <row r="1993" spans="1:13">
      <c r="A1993" s="1">
        <f>HYPERLINK("http://www.twitter.com/NathanBLawrence/status/992411121435918338", "992411121435918338")</f>
        <v/>
      </c>
      <c r="B1993" s="2" t="n">
        <v>43224.60444444444</v>
      </c>
      <c r="C1993" t="n">
        <v>0</v>
      </c>
      <c r="D1993" t="n">
        <v>140</v>
      </c>
      <c r="E1993" t="s">
        <v>2003</v>
      </c>
      <c r="F1993">
        <f>HYPERLINK("http://pbs.twimg.com/media/DcW8ZkwXUAEr7pd.jpg", "http://pbs.twimg.com/media/DcW8ZkwXUAEr7pd.jpg")</f>
        <v/>
      </c>
      <c r="G1993">
        <f>HYPERLINK("http://pbs.twimg.com/media/DcW8ZkuW0AA7JRL.jpg", "http://pbs.twimg.com/media/DcW8ZkuW0AA7JRL.jpg")</f>
        <v/>
      </c>
      <c r="H1993">
        <f>HYPERLINK("http://pbs.twimg.com/media/DcW8ZkyWsAAQlHK.jpg", "http://pbs.twimg.com/media/DcW8ZkyWsAAQlHK.jpg")</f>
        <v/>
      </c>
      <c r="I1993">
        <f>HYPERLINK("http://pbs.twimg.com/media/DcW8ZkvWAAAZpxh.jpg", "http://pbs.twimg.com/media/DcW8ZkvWAAAZpxh.jpg")</f>
        <v/>
      </c>
      <c r="J1993" t="n">
        <v>0.3612</v>
      </c>
      <c r="K1993" t="n">
        <v>0</v>
      </c>
      <c r="L1993" t="n">
        <v>0.8149999999999999</v>
      </c>
      <c r="M1993" t="n">
        <v>0.185</v>
      </c>
    </row>
    <row r="1994" spans="1:13">
      <c r="A1994" s="1">
        <f>HYPERLINK("http://www.twitter.com/NathanBLawrence/status/992410729142669312", "992410729142669312")</f>
        <v/>
      </c>
      <c r="B1994" s="2" t="n">
        <v>43224.60335648148</v>
      </c>
      <c r="C1994" t="n">
        <v>6</v>
      </c>
      <c r="D1994" t="n">
        <v>1</v>
      </c>
      <c r="E1994" t="s">
        <v>2004</v>
      </c>
      <c r="F1994" t="s"/>
      <c r="G1994" t="s"/>
      <c r="H1994" t="s"/>
      <c r="I1994" t="s"/>
      <c r="J1994" t="n">
        <v>-0.7081</v>
      </c>
      <c r="K1994" t="n">
        <v>0.203</v>
      </c>
      <c r="L1994" t="n">
        <v>0.754</v>
      </c>
      <c r="M1994" t="n">
        <v>0.043</v>
      </c>
    </row>
    <row r="1995" spans="1:13">
      <c r="A1995" s="1">
        <f>HYPERLINK("http://www.twitter.com/NathanBLawrence/status/992410396978962432", "992410396978962432")</f>
        <v/>
      </c>
      <c r="B1995" s="2" t="n">
        <v>43224.60244212963</v>
      </c>
      <c r="C1995" t="n">
        <v>0</v>
      </c>
      <c r="D1995" t="n">
        <v>244</v>
      </c>
      <c r="E1995" t="s">
        <v>2005</v>
      </c>
      <c r="F1995">
        <f>HYPERLINK("http://pbs.twimg.com/media/DcWTZsiVMAAt59x.jpg", "http://pbs.twimg.com/media/DcWTZsiVMAAt59x.jpg")</f>
        <v/>
      </c>
      <c r="G1995" t="s"/>
      <c r="H1995" t="s"/>
      <c r="I1995" t="s"/>
      <c r="J1995" t="n">
        <v>-0.5904</v>
      </c>
      <c r="K1995" t="n">
        <v>0.176</v>
      </c>
      <c r="L1995" t="n">
        <v>0.824</v>
      </c>
      <c r="M1995" t="n">
        <v>0</v>
      </c>
    </row>
    <row r="1996" spans="1:13">
      <c r="A1996" s="1">
        <f>HYPERLINK("http://www.twitter.com/NathanBLawrence/status/992410344726249472", "992410344726249472")</f>
        <v/>
      </c>
      <c r="B1996" s="2" t="n">
        <v>43224.60229166667</v>
      </c>
      <c r="C1996" t="n">
        <v>0</v>
      </c>
      <c r="D1996" t="n">
        <v>743</v>
      </c>
      <c r="E1996" t="s">
        <v>2006</v>
      </c>
      <c r="F1996" t="s"/>
      <c r="G1996" t="s"/>
      <c r="H1996" t="s"/>
      <c r="I1996" t="s"/>
      <c r="J1996" t="n">
        <v>0.4019</v>
      </c>
      <c r="K1996" t="n">
        <v>0</v>
      </c>
      <c r="L1996" t="n">
        <v>0.838</v>
      </c>
      <c r="M1996" t="n">
        <v>0.162</v>
      </c>
    </row>
    <row r="1997" spans="1:13">
      <c r="A1997" s="1">
        <f>HYPERLINK("http://www.twitter.com/NathanBLawrence/status/992410275948081152", "992410275948081152")</f>
        <v/>
      </c>
      <c r="B1997" s="2" t="n">
        <v>43224.60210648148</v>
      </c>
      <c r="C1997" t="n">
        <v>0</v>
      </c>
      <c r="D1997" t="n">
        <v>179</v>
      </c>
      <c r="E1997" t="s">
        <v>2007</v>
      </c>
      <c r="F1997" t="s"/>
      <c r="G1997" t="s"/>
      <c r="H1997" t="s"/>
      <c r="I1997" t="s"/>
      <c r="J1997" t="n">
        <v>-0.8139</v>
      </c>
      <c r="K1997" t="n">
        <v>0.271</v>
      </c>
      <c r="L1997" t="n">
        <v>0.729</v>
      </c>
      <c r="M1997" t="n">
        <v>0</v>
      </c>
    </row>
    <row r="1998" spans="1:13">
      <c r="A1998" s="1">
        <f>HYPERLINK("http://www.twitter.com/NathanBLawrence/status/992410152744632322", "992410152744632322")</f>
        <v/>
      </c>
      <c r="B1998" s="2" t="n">
        <v>43224.60177083333</v>
      </c>
      <c r="C1998" t="n">
        <v>5</v>
      </c>
      <c r="D1998" t="n">
        <v>2</v>
      </c>
      <c r="E1998" t="s">
        <v>2008</v>
      </c>
      <c r="F1998" t="s"/>
      <c r="G1998" t="s"/>
      <c r="H1998" t="s"/>
      <c r="I1998" t="s"/>
      <c r="J1998" t="n">
        <v>0.9306</v>
      </c>
      <c r="K1998" t="n">
        <v>0.051</v>
      </c>
      <c r="L1998" t="n">
        <v>0.661</v>
      </c>
      <c r="M1998" t="n">
        <v>0.287</v>
      </c>
    </row>
    <row r="1999" spans="1:13">
      <c r="A1999" s="1">
        <f>HYPERLINK("http://www.twitter.com/NathanBLawrence/status/992409774355505158", "992409774355505158")</f>
        <v/>
      </c>
      <c r="B1999" s="2" t="n">
        <v>43224.60071759259</v>
      </c>
      <c r="C1999" t="n">
        <v>7</v>
      </c>
      <c r="D1999" t="n">
        <v>0</v>
      </c>
      <c r="E1999" t="s">
        <v>2009</v>
      </c>
      <c r="F1999" t="s"/>
      <c r="G1999" t="s"/>
      <c r="H1999" t="s"/>
      <c r="I1999" t="s"/>
      <c r="J1999" t="n">
        <v>0.0258</v>
      </c>
      <c r="K1999" t="n">
        <v>0</v>
      </c>
      <c r="L1999" t="n">
        <v>0.916</v>
      </c>
      <c r="M1999" t="n">
        <v>0.08400000000000001</v>
      </c>
    </row>
    <row r="2000" spans="1:13">
      <c r="A2000" s="1">
        <f>HYPERLINK("http://www.twitter.com/NathanBLawrence/status/992409608399478784", "992409608399478784")</f>
        <v/>
      </c>
      <c r="B2000" s="2" t="n">
        <v>43224.60026620371</v>
      </c>
      <c r="C2000" t="n">
        <v>35</v>
      </c>
      <c r="D2000" t="n">
        <v>21</v>
      </c>
      <c r="E2000" t="s">
        <v>2010</v>
      </c>
      <c r="F2000" t="s"/>
      <c r="G2000" t="s"/>
      <c r="H2000" t="s"/>
      <c r="I2000" t="s"/>
      <c r="J2000" t="n">
        <v>0.1007</v>
      </c>
      <c r="K2000" t="n">
        <v>0.099</v>
      </c>
      <c r="L2000" t="n">
        <v>0.791</v>
      </c>
      <c r="M2000" t="n">
        <v>0.11</v>
      </c>
    </row>
    <row r="2001" spans="1:13">
      <c r="A2001" s="1">
        <f>HYPERLINK("http://www.twitter.com/NathanBLawrence/status/992409291364548609", "992409291364548609")</f>
        <v/>
      </c>
      <c r="B2001" s="2" t="n">
        <v>43224.59938657407</v>
      </c>
      <c r="C2001" t="n">
        <v>7</v>
      </c>
      <c r="D2001" t="n">
        <v>2</v>
      </c>
      <c r="E2001" t="s">
        <v>2011</v>
      </c>
      <c r="F2001" t="s"/>
      <c r="G2001" t="s"/>
      <c r="H2001" t="s"/>
      <c r="I2001" t="s"/>
      <c r="J2001" t="n">
        <v>-0.5411</v>
      </c>
      <c r="K2001" t="n">
        <v>0.149</v>
      </c>
      <c r="L2001" t="n">
        <v>0.851</v>
      </c>
      <c r="M2001" t="n">
        <v>0</v>
      </c>
    </row>
    <row r="2002" spans="1:13">
      <c r="A2002" s="1">
        <f>HYPERLINK("http://www.twitter.com/NathanBLawrence/status/992409000032399361", "992409000032399361")</f>
        <v/>
      </c>
      <c r="B2002" s="2" t="n">
        <v>43224.59858796297</v>
      </c>
      <c r="C2002" t="n">
        <v>6</v>
      </c>
      <c r="D2002" t="n">
        <v>3</v>
      </c>
      <c r="E2002" t="s">
        <v>2012</v>
      </c>
      <c r="F2002" t="s"/>
      <c r="G2002" t="s"/>
      <c r="H2002" t="s"/>
      <c r="I2002" t="s"/>
      <c r="J2002" t="n">
        <v>-0.1739</v>
      </c>
      <c r="K2002" t="n">
        <v>0.157</v>
      </c>
      <c r="L2002" t="n">
        <v>0.658</v>
      </c>
      <c r="M2002" t="n">
        <v>0.184</v>
      </c>
    </row>
    <row r="2003" spans="1:13">
      <c r="A2003" s="1">
        <f>HYPERLINK("http://www.twitter.com/NathanBLawrence/status/992408650969837569", "992408650969837569")</f>
        <v/>
      </c>
      <c r="B2003" s="2" t="n">
        <v>43224.59762731481</v>
      </c>
      <c r="C2003" t="n">
        <v>6</v>
      </c>
      <c r="D2003" t="n">
        <v>2</v>
      </c>
      <c r="E2003" t="s">
        <v>2013</v>
      </c>
      <c r="F2003" t="s"/>
      <c r="G2003" t="s"/>
      <c r="H2003" t="s"/>
      <c r="I2003" t="s"/>
      <c r="J2003" t="n">
        <v>-0.7783</v>
      </c>
      <c r="K2003" t="n">
        <v>0.63</v>
      </c>
      <c r="L2003" t="n">
        <v>0.37</v>
      </c>
      <c r="M2003" t="n">
        <v>0</v>
      </c>
    </row>
    <row r="2004" spans="1:13">
      <c r="A2004" s="1">
        <f>HYPERLINK("http://www.twitter.com/NathanBLawrence/status/992407294796222465", "992407294796222465")</f>
        <v/>
      </c>
      <c r="B2004" s="2" t="n">
        <v>43224.59387731482</v>
      </c>
      <c r="C2004" t="n">
        <v>8</v>
      </c>
      <c r="D2004" t="n">
        <v>3</v>
      </c>
      <c r="E2004" t="s">
        <v>2014</v>
      </c>
      <c r="F2004" t="s"/>
      <c r="G2004" t="s"/>
      <c r="H2004" t="s"/>
      <c r="I2004" t="s"/>
      <c r="J2004" t="n">
        <v>0.431</v>
      </c>
      <c r="K2004" t="n">
        <v>0</v>
      </c>
      <c r="L2004" t="n">
        <v>0.89</v>
      </c>
      <c r="M2004" t="n">
        <v>0.11</v>
      </c>
    </row>
    <row r="2005" spans="1:13">
      <c r="A2005" s="1">
        <f>HYPERLINK("http://www.twitter.com/NathanBLawrence/status/992406414394933248", "992406414394933248")</f>
        <v/>
      </c>
      <c r="B2005" s="2" t="n">
        <v>43224.59144675926</v>
      </c>
      <c r="C2005" t="n">
        <v>2</v>
      </c>
      <c r="D2005" t="n">
        <v>0</v>
      </c>
      <c r="E2005" t="s">
        <v>2015</v>
      </c>
      <c r="F2005" t="s"/>
      <c r="G2005" t="s"/>
      <c r="H2005" t="s"/>
      <c r="I2005" t="s"/>
      <c r="J2005" t="n">
        <v>-0.8401999999999999</v>
      </c>
      <c r="K2005" t="n">
        <v>0.409</v>
      </c>
      <c r="L2005" t="n">
        <v>0.591</v>
      </c>
      <c r="M2005" t="n">
        <v>0</v>
      </c>
    </row>
    <row r="2006" spans="1:13">
      <c r="A2006" s="1">
        <f>HYPERLINK("http://www.twitter.com/NathanBLawrence/status/992406320622981120", "992406320622981120")</f>
        <v/>
      </c>
      <c r="B2006" s="2" t="n">
        <v>43224.59119212963</v>
      </c>
      <c r="C2006" t="n">
        <v>6</v>
      </c>
      <c r="D2006" t="n">
        <v>4</v>
      </c>
      <c r="E2006" t="s">
        <v>2016</v>
      </c>
      <c r="F2006" t="s"/>
      <c r="G2006" t="s"/>
      <c r="H2006" t="s"/>
      <c r="I2006" t="s"/>
      <c r="J2006" t="n">
        <v>-0.7177</v>
      </c>
      <c r="K2006" t="n">
        <v>0.2</v>
      </c>
      <c r="L2006" t="n">
        <v>0.8</v>
      </c>
      <c r="M2006" t="n">
        <v>0</v>
      </c>
    </row>
    <row r="2007" spans="1:13">
      <c r="A2007" s="1">
        <f>HYPERLINK("http://www.twitter.com/NathanBLawrence/status/992405560149524481", "992405560149524481")</f>
        <v/>
      </c>
      <c r="B2007" s="2" t="n">
        <v>43224.58909722222</v>
      </c>
      <c r="C2007" t="n">
        <v>5</v>
      </c>
      <c r="D2007" t="n">
        <v>1</v>
      </c>
      <c r="E2007" t="s">
        <v>2017</v>
      </c>
      <c r="F2007" t="s"/>
      <c r="G2007" t="s"/>
      <c r="H2007" t="s"/>
      <c r="I2007" t="s"/>
      <c r="J2007" t="n">
        <v>-0.7922</v>
      </c>
      <c r="K2007" t="n">
        <v>0.285</v>
      </c>
      <c r="L2007" t="n">
        <v>0.635</v>
      </c>
      <c r="M2007" t="n">
        <v>0.08</v>
      </c>
    </row>
    <row r="2008" spans="1:13">
      <c r="A2008" s="1">
        <f>HYPERLINK("http://www.twitter.com/NathanBLawrence/status/992405111598022656", "992405111598022656")</f>
        <v/>
      </c>
      <c r="B2008" s="2" t="n">
        <v>43224.58785879629</v>
      </c>
      <c r="C2008" t="n">
        <v>12</v>
      </c>
      <c r="D2008" t="n">
        <v>6</v>
      </c>
      <c r="E2008" t="s">
        <v>2018</v>
      </c>
      <c r="F2008" t="s"/>
      <c r="G2008" t="s"/>
      <c r="H2008" t="s"/>
      <c r="I2008" t="s"/>
      <c r="J2008" t="n">
        <v>-0.471</v>
      </c>
      <c r="K2008" t="n">
        <v>0.099</v>
      </c>
      <c r="L2008" t="n">
        <v>0.901</v>
      </c>
      <c r="M2008" t="n">
        <v>0</v>
      </c>
    </row>
    <row r="2009" spans="1:13">
      <c r="A2009" s="1">
        <f>HYPERLINK("http://www.twitter.com/NathanBLawrence/status/992404804147163136", "992404804147163136")</f>
        <v/>
      </c>
      <c r="B2009" s="2" t="n">
        <v>43224.58700231482</v>
      </c>
      <c r="C2009" t="n">
        <v>10</v>
      </c>
      <c r="D2009" t="n">
        <v>4</v>
      </c>
      <c r="E2009" t="s">
        <v>2019</v>
      </c>
      <c r="F2009" t="s"/>
      <c r="G2009" t="s"/>
      <c r="H2009" t="s"/>
      <c r="I2009" t="s"/>
      <c r="J2009" t="n">
        <v>0.3802</v>
      </c>
      <c r="K2009" t="n">
        <v>0</v>
      </c>
      <c r="L2009" t="n">
        <v>0.89</v>
      </c>
      <c r="M2009" t="n">
        <v>0.11</v>
      </c>
    </row>
    <row r="2010" spans="1:13">
      <c r="A2010" s="1">
        <f>HYPERLINK("http://www.twitter.com/NathanBLawrence/status/992404460314935297", "992404460314935297")</f>
        <v/>
      </c>
      <c r="B2010" s="2" t="n">
        <v>43224.58605324074</v>
      </c>
      <c r="C2010" t="n">
        <v>6</v>
      </c>
      <c r="D2010" t="n">
        <v>3</v>
      </c>
      <c r="E2010" t="s">
        <v>2020</v>
      </c>
      <c r="F2010" t="s"/>
      <c r="G2010" t="s"/>
      <c r="H2010" t="s"/>
      <c r="I2010" t="s"/>
      <c r="J2010" t="n">
        <v>0</v>
      </c>
      <c r="K2010" t="n">
        <v>0</v>
      </c>
      <c r="L2010" t="n">
        <v>1</v>
      </c>
      <c r="M2010" t="n">
        <v>0</v>
      </c>
    </row>
    <row r="2011" spans="1:13">
      <c r="A2011" s="1">
        <f>HYPERLINK("http://www.twitter.com/NathanBLawrence/status/992298947724001281", "992298947724001281")</f>
        <v/>
      </c>
      <c r="B2011" s="2" t="n">
        <v>43224.29489583334</v>
      </c>
      <c r="C2011" t="n">
        <v>0</v>
      </c>
      <c r="D2011" t="n">
        <v>1</v>
      </c>
      <c r="E2011" t="s">
        <v>2021</v>
      </c>
      <c r="F2011" t="s"/>
      <c r="G2011" t="s"/>
      <c r="H2011" t="s"/>
      <c r="I2011" t="s"/>
      <c r="J2011" t="n">
        <v>-0.765</v>
      </c>
      <c r="K2011" t="n">
        <v>0.32</v>
      </c>
      <c r="L2011" t="n">
        <v>0.68</v>
      </c>
      <c r="M2011" t="n">
        <v>0</v>
      </c>
    </row>
    <row r="2012" spans="1:13">
      <c r="A2012" s="1">
        <f>HYPERLINK("http://www.twitter.com/NathanBLawrence/status/992298872973099009", "992298872973099009")</f>
        <v/>
      </c>
      <c r="B2012" s="2" t="n">
        <v>43224.2946875</v>
      </c>
      <c r="C2012" t="n">
        <v>0</v>
      </c>
      <c r="D2012" t="n">
        <v>8</v>
      </c>
      <c r="E2012" t="s">
        <v>2022</v>
      </c>
      <c r="F2012" t="s"/>
      <c r="G2012" t="s"/>
      <c r="H2012" t="s"/>
      <c r="I2012" t="s"/>
      <c r="J2012" t="n">
        <v>-0.5423</v>
      </c>
      <c r="K2012" t="n">
        <v>0.243</v>
      </c>
      <c r="L2012" t="n">
        <v>0.757</v>
      </c>
      <c r="M2012" t="n">
        <v>0</v>
      </c>
    </row>
    <row r="2013" spans="1:13">
      <c r="A2013" s="1">
        <f>HYPERLINK("http://www.twitter.com/NathanBLawrence/status/992298783756111872", "992298783756111872")</f>
        <v/>
      </c>
      <c r="B2013" s="2" t="n">
        <v>43224.29444444444</v>
      </c>
      <c r="C2013" t="n">
        <v>0</v>
      </c>
      <c r="D2013" t="n">
        <v>3899</v>
      </c>
      <c r="E2013" t="s">
        <v>2023</v>
      </c>
      <c r="F2013">
        <f>HYPERLINK("http://pbs.twimg.com/media/DcUAEyOU0AAAFeQ.jpg", "http://pbs.twimg.com/media/DcUAEyOU0AAAFeQ.jpg")</f>
        <v/>
      </c>
      <c r="G2013" t="s"/>
      <c r="H2013" t="s"/>
      <c r="I2013" t="s"/>
      <c r="J2013" t="n">
        <v>0.8126</v>
      </c>
      <c r="K2013" t="n">
        <v>0</v>
      </c>
      <c r="L2013" t="n">
        <v>0.68</v>
      </c>
      <c r="M2013" t="n">
        <v>0.32</v>
      </c>
    </row>
    <row r="2014" spans="1:13">
      <c r="A2014" s="1">
        <f>HYPERLINK("http://www.twitter.com/NathanBLawrence/status/992298222721777664", "992298222721777664")</f>
        <v/>
      </c>
      <c r="B2014" s="2" t="n">
        <v>43224.29289351852</v>
      </c>
      <c r="C2014" t="n">
        <v>0</v>
      </c>
      <c r="D2014" t="n">
        <v>1</v>
      </c>
      <c r="E2014" t="s">
        <v>2024</v>
      </c>
      <c r="F2014" t="s"/>
      <c r="G2014" t="s"/>
      <c r="H2014" t="s"/>
      <c r="I2014" t="s"/>
      <c r="J2014" t="n">
        <v>-0.4404</v>
      </c>
      <c r="K2014" t="n">
        <v>0.162</v>
      </c>
      <c r="L2014" t="n">
        <v>0.838</v>
      </c>
      <c r="M2014" t="n">
        <v>0</v>
      </c>
    </row>
    <row r="2015" spans="1:13">
      <c r="A2015" s="1">
        <f>HYPERLINK("http://www.twitter.com/NathanBLawrence/status/992295381701545985", "992295381701545985")</f>
        <v/>
      </c>
      <c r="B2015" s="2" t="n">
        <v>43224.28505787037</v>
      </c>
      <c r="C2015" t="n">
        <v>8</v>
      </c>
      <c r="D2015" t="n">
        <v>2</v>
      </c>
      <c r="E2015" t="s">
        <v>2025</v>
      </c>
      <c r="F2015" t="s"/>
      <c r="G2015" t="s"/>
      <c r="H2015" t="s"/>
      <c r="I2015" t="s"/>
      <c r="J2015" t="n">
        <v>-0.7783</v>
      </c>
      <c r="K2015" t="n">
        <v>0.63</v>
      </c>
      <c r="L2015" t="n">
        <v>0.37</v>
      </c>
      <c r="M2015" t="n">
        <v>0</v>
      </c>
    </row>
    <row r="2016" spans="1:13">
      <c r="A2016" s="1">
        <f>HYPERLINK("http://www.twitter.com/NathanBLawrence/status/992295277150158848", "992295277150158848")</f>
        <v/>
      </c>
      <c r="B2016" s="2" t="n">
        <v>43224.28476851852</v>
      </c>
      <c r="C2016" t="n">
        <v>3</v>
      </c>
      <c r="D2016" t="n">
        <v>2</v>
      </c>
      <c r="E2016" t="s">
        <v>2026</v>
      </c>
      <c r="F2016" t="s"/>
      <c r="G2016" t="s"/>
      <c r="H2016" t="s"/>
      <c r="I2016" t="s"/>
      <c r="J2016" t="n">
        <v>-0.0516</v>
      </c>
      <c r="K2016" t="n">
        <v>0.118</v>
      </c>
      <c r="L2016" t="n">
        <v>0.882</v>
      </c>
      <c r="M2016" t="n">
        <v>0</v>
      </c>
    </row>
    <row r="2017" spans="1:13">
      <c r="A2017" s="1">
        <f>HYPERLINK("http://www.twitter.com/NathanBLawrence/status/992295143041454080", "992295143041454080")</f>
        <v/>
      </c>
      <c r="B2017" s="2" t="n">
        <v>43224.28439814815</v>
      </c>
      <c r="C2017" t="n">
        <v>5</v>
      </c>
      <c r="D2017" t="n">
        <v>8</v>
      </c>
      <c r="E2017" t="s">
        <v>2027</v>
      </c>
      <c r="F2017" t="s"/>
      <c r="G2017" t="s"/>
      <c r="H2017" t="s"/>
      <c r="I2017" t="s"/>
      <c r="J2017" t="n">
        <v>0.4939</v>
      </c>
      <c r="K2017" t="n">
        <v>0.049</v>
      </c>
      <c r="L2017" t="n">
        <v>0.825</v>
      </c>
      <c r="M2017" t="n">
        <v>0.126</v>
      </c>
    </row>
    <row r="2018" spans="1:13">
      <c r="A2018" s="1">
        <f>HYPERLINK("http://www.twitter.com/NathanBLawrence/status/992294515984629764", "992294515984629764")</f>
        <v/>
      </c>
      <c r="B2018" s="2" t="n">
        <v>43224.28267361111</v>
      </c>
      <c r="C2018" t="n">
        <v>6</v>
      </c>
      <c r="D2018" t="n">
        <v>8</v>
      </c>
      <c r="E2018" t="s">
        <v>2028</v>
      </c>
      <c r="F2018" t="s"/>
      <c r="G2018" t="s"/>
      <c r="H2018" t="s"/>
      <c r="I2018" t="s"/>
      <c r="J2018" t="n">
        <v>-0.0572</v>
      </c>
      <c r="K2018" t="n">
        <v>0.039</v>
      </c>
      <c r="L2018" t="n">
        <v>0.961</v>
      </c>
      <c r="M2018" t="n">
        <v>0</v>
      </c>
    </row>
    <row r="2019" spans="1:13">
      <c r="A2019" s="1">
        <f>HYPERLINK("http://www.twitter.com/NathanBLawrence/status/992293965096349698", "992293965096349698")</f>
        <v/>
      </c>
      <c r="B2019" s="2" t="n">
        <v>43224.28114583333</v>
      </c>
      <c r="C2019" t="n">
        <v>0</v>
      </c>
      <c r="D2019" t="n">
        <v>188</v>
      </c>
      <c r="E2019" t="s">
        <v>2029</v>
      </c>
      <c r="F2019" t="s"/>
      <c r="G2019" t="s"/>
      <c r="H2019" t="s"/>
      <c r="I2019" t="s"/>
      <c r="J2019" t="n">
        <v>0</v>
      </c>
      <c r="K2019" t="n">
        <v>0</v>
      </c>
      <c r="L2019" t="n">
        <v>1</v>
      </c>
      <c r="M2019" t="n">
        <v>0</v>
      </c>
    </row>
    <row r="2020" spans="1:13">
      <c r="A2020" s="1">
        <f>HYPERLINK("http://www.twitter.com/NathanBLawrence/status/992293865376763904", "992293865376763904")</f>
        <v/>
      </c>
      <c r="B2020" s="2" t="n">
        <v>43224.28087962963</v>
      </c>
      <c r="C2020" t="n">
        <v>0</v>
      </c>
      <c r="D2020" t="n">
        <v>421</v>
      </c>
      <c r="E2020" t="s">
        <v>2030</v>
      </c>
      <c r="F2020">
        <f>HYPERLINK("http://pbs.twimg.com/media/DcU6GNrVQAMqPkw.jpg", "http://pbs.twimg.com/media/DcU6GNrVQAMqPkw.jpg")</f>
        <v/>
      </c>
      <c r="G2020" t="s"/>
      <c r="H2020" t="s"/>
      <c r="I2020" t="s"/>
      <c r="J2020" t="n">
        <v>0</v>
      </c>
      <c r="K2020" t="n">
        <v>0</v>
      </c>
      <c r="L2020" t="n">
        <v>1</v>
      </c>
      <c r="M2020" t="n">
        <v>0</v>
      </c>
    </row>
    <row r="2021" spans="1:13">
      <c r="A2021" s="1">
        <f>HYPERLINK("http://www.twitter.com/NathanBLawrence/status/992293634769698817", "992293634769698817")</f>
        <v/>
      </c>
      <c r="B2021" s="2" t="n">
        <v>43224.28024305555</v>
      </c>
      <c r="C2021" t="n">
        <v>24</v>
      </c>
      <c r="D2021" t="n">
        <v>12</v>
      </c>
      <c r="E2021" t="s">
        <v>2031</v>
      </c>
      <c r="F2021" t="s"/>
      <c r="G2021" t="s"/>
      <c r="H2021" t="s"/>
      <c r="I2021" t="s"/>
      <c r="J2021" t="n">
        <v>0.6103</v>
      </c>
      <c r="K2021" t="n">
        <v>0.104</v>
      </c>
      <c r="L2021" t="n">
        <v>0.6909999999999999</v>
      </c>
      <c r="M2021" t="n">
        <v>0.205</v>
      </c>
    </row>
    <row r="2022" spans="1:13">
      <c r="A2022" s="1">
        <f>HYPERLINK("http://www.twitter.com/NathanBLawrence/status/992292040615514112", "992292040615514112")</f>
        <v/>
      </c>
      <c r="B2022" s="2" t="n">
        <v>43224.27584490741</v>
      </c>
      <c r="C2022" t="n">
        <v>8</v>
      </c>
      <c r="D2022" t="n">
        <v>5</v>
      </c>
      <c r="E2022" t="s">
        <v>2032</v>
      </c>
      <c r="F2022" t="s"/>
      <c r="G2022" t="s"/>
      <c r="H2022" t="s"/>
      <c r="I2022" t="s"/>
      <c r="J2022" t="n">
        <v>-0.8144</v>
      </c>
      <c r="K2022" t="n">
        <v>0.222</v>
      </c>
      <c r="L2022" t="n">
        <v>0.778</v>
      </c>
      <c r="M2022" t="n">
        <v>0</v>
      </c>
    </row>
    <row r="2023" spans="1:13">
      <c r="A2023" s="1">
        <f>HYPERLINK("http://www.twitter.com/NathanBLawrence/status/992290524206809088", "992290524206809088")</f>
        <v/>
      </c>
      <c r="B2023" s="2" t="n">
        <v>43224.27165509259</v>
      </c>
      <c r="C2023" t="n">
        <v>4</v>
      </c>
      <c r="D2023" t="n">
        <v>3</v>
      </c>
      <c r="E2023" t="s">
        <v>2033</v>
      </c>
      <c r="F2023" t="s"/>
      <c r="G2023" t="s"/>
      <c r="H2023" t="s"/>
      <c r="I2023" t="s"/>
      <c r="J2023" t="n">
        <v>0</v>
      </c>
      <c r="K2023" t="n">
        <v>0</v>
      </c>
      <c r="L2023" t="n">
        <v>1</v>
      </c>
      <c r="M2023" t="n">
        <v>0</v>
      </c>
    </row>
    <row r="2024" spans="1:13">
      <c r="A2024" s="1">
        <f>HYPERLINK("http://www.twitter.com/NathanBLawrence/status/992289752299618304", "992289752299618304")</f>
        <v/>
      </c>
      <c r="B2024" s="2" t="n">
        <v>43224.26952546297</v>
      </c>
      <c r="C2024" t="n">
        <v>8</v>
      </c>
      <c r="D2024" t="n">
        <v>2</v>
      </c>
      <c r="E2024" t="s">
        <v>2034</v>
      </c>
      <c r="F2024" t="s"/>
      <c r="G2024" t="s"/>
      <c r="H2024" t="s"/>
      <c r="I2024" t="s"/>
      <c r="J2024" t="n">
        <v>-0.891</v>
      </c>
      <c r="K2024" t="n">
        <v>0.244</v>
      </c>
      <c r="L2024" t="n">
        <v>0.756</v>
      </c>
      <c r="M2024" t="n">
        <v>0</v>
      </c>
    </row>
    <row r="2025" spans="1:13">
      <c r="A2025" s="1">
        <f>HYPERLINK("http://www.twitter.com/NathanBLawrence/status/992289150823841793", "992289150823841793")</f>
        <v/>
      </c>
      <c r="B2025" s="2" t="n">
        <v>43224.26787037037</v>
      </c>
      <c r="C2025" t="n">
        <v>5</v>
      </c>
      <c r="D2025" t="n">
        <v>5</v>
      </c>
      <c r="E2025" t="s">
        <v>2035</v>
      </c>
      <c r="F2025" t="s"/>
      <c r="G2025" t="s"/>
      <c r="H2025" t="s"/>
      <c r="I2025" t="s"/>
      <c r="J2025" t="n">
        <v>0</v>
      </c>
      <c r="K2025" t="n">
        <v>0</v>
      </c>
      <c r="L2025" t="n">
        <v>1</v>
      </c>
      <c r="M2025" t="n">
        <v>0</v>
      </c>
    </row>
    <row r="2026" spans="1:13">
      <c r="A2026" s="1">
        <f>HYPERLINK("http://www.twitter.com/NathanBLawrence/status/992288291163537408", "992288291163537408")</f>
        <v/>
      </c>
      <c r="B2026" s="2" t="n">
        <v>43224.26549768518</v>
      </c>
      <c r="C2026" t="n">
        <v>0</v>
      </c>
      <c r="D2026" t="n">
        <v>3370</v>
      </c>
      <c r="E2026" t="s">
        <v>2036</v>
      </c>
      <c r="F2026">
        <f>HYPERLINK("http://pbs.twimg.com/media/DcSil0TXkAE2j9K.jpg", "http://pbs.twimg.com/media/DcSil0TXkAE2j9K.jpg")</f>
        <v/>
      </c>
      <c r="G2026" t="s"/>
      <c r="H2026" t="s"/>
      <c r="I2026" t="s"/>
      <c r="J2026" t="n">
        <v>0</v>
      </c>
      <c r="K2026" t="n">
        <v>0</v>
      </c>
      <c r="L2026" t="n">
        <v>1</v>
      </c>
      <c r="M2026" t="n">
        <v>0</v>
      </c>
    </row>
    <row r="2027" spans="1:13">
      <c r="A2027" s="1">
        <f>HYPERLINK("http://www.twitter.com/NathanBLawrence/status/992287995834220544", "992287995834220544")</f>
        <v/>
      </c>
      <c r="B2027" s="2" t="n">
        <v>43224.26467592592</v>
      </c>
      <c r="C2027" t="n">
        <v>2</v>
      </c>
      <c r="D2027" t="n">
        <v>5</v>
      </c>
      <c r="E2027" t="s">
        <v>2037</v>
      </c>
      <c r="F2027" t="s"/>
      <c r="G2027" t="s"/>
      <c r="H2027" t="s"/>
      <c r="I2027" t="s"/>
      <c r="J2027" t="n">
        <v>-0.5411</v>
      </c>
      <c r="K2027" t="n">
        <v>0.149</v>
      </c>
      <c r="L2027" t="n">
        <v>0.851</v>
      </c>
      <c r="M2027" t="n">
        <v>0</v>
      </c>
    </row>
    <row r="2028" spans="1:13">
      <c r="A2028" s="1">
        <f>HYPERLINK("http://www.twitter.com/NathanBLawrence/status/992287884609708032", "992287884609708032")</f>
        <v/>
      </c>
      <c r="B2028" s="2" t="n">
        <v>43224.264375</v>
      </c>
      <c r="C2028" t="n">
        <v>4</v>
      </c>
      <c r="D2028" t="n">
        <v>5</v>
      </c>
      <c r="E2028" t="s">
        <v>2038</v>
      </c>
      <c r="F2028" t="s"/>
      <c r="G2028" t="s"/>
      <c r="H2028" t="s"/>
      <c r="I2028" t="s"/>
      <c r="J2028" t="n">
        <v>-0.4404</v>
      </c>
      <c r="K2028" t="n">
        <v>0.182</v>
      </c>
      <c r="L2028" t="n">
        <v>0.8179999999999999</v>
      </c>
      <c r="M2028" t="n">
        <v>0</v>
      </c>
    </row>
    <row r="2029" spans="1:13">
      <c r="A2029" s="1">
        <f>HYPERLINK("http://www.twitter.com/NathanBLawrence/status/992287631567347712", "992287631567347712")</f>
        <v/>
      </c>
      <c r="B2029" s="2" t="n">
        <v>43224.26366898148</v>
      </c>
      <c r="C2029" t="n">
        <v>7</v>
      </c>
      <c r="D2029" t="n">
        <v>3</v>
      </c>
      <c r="E2029" t="s">
        <v>2039</v>
      </c>
      <c r="F2029" t="s"/>
      <c r="G2029" t="s"/>
      <c r="H2029" t="s"/>
      <c r="I2029" t="s"/>
      <c r="J2029" t="n">
        <v>0</v>
      </c>
      <c r="K2029" t="n">
        <v>0</v>
      </c>
      <c r="L2029" t="n">
        <v>1</v>
      </c>
      <c r="M2029" t="n">
        <v>0</v>
      </c>
    </row>
    <row r="2030" spans="1:13">
      <c r="A2030" s="1">
        <f>HYPERLINK("http://www.twitter.com/NathanBLawrence/status/992287365086367744", "992287365086367744")</f>
        <v/>
      </c>
      <c r="B2030" s="2" t="n">
        <v>43224.26293981481</v>
      </c>
      <c r="C2030" t="n">
        <v>0</v>
      </c>
      <c r="D2030" t="n">
        <v>9175</v>
      </c>
      <c r="E2030" t="s">
        <v>2040</v>
      </c>
      <c r="F2030">
        <f>HYPERLINK("http://pbs.twimg.com/media/DcUorFKU0AAbm-w.jpg", "http://pbs.twimg.com/media/DcUorFKU0AAbm-w.jpg")</f>
        <v/>
      </c>
      <c r="G2030" t="s"/>
      <c r="H2030" t="s"/>
      <c r="I2030" t="s"/>
      <c r="J2030" t="n">
        <v>0.5106000000000001</v>
      </c>
      <c r="K2030" t="n">
        <v>0</v>
      </c>
      <c r="L2030" t="n">
        <v>0.852</v>
      </c>
      <c r="M2030" t="n">
        <v>0.148</v>
      </c>
    </row>
    <row r="2031" spans="1:13">
      <c r="A2031" s="1">
        <f>HYPERLINK("http://www.twitter.com/NathanBLawrence/status/992287294982770688", "992287294982770688")</f>
        <v/>
      </c>
      <c r="B2031" s="2" t="n">
        <v>43224.26274305556</v>
      </c>
      <c r="C2031" t="n">
        <v>12</v>
      </c>
      <c r="D2031" t="n">
        <v>9</v>
      </c>
      <c r="E2031" t="s">
        <v>2041</v>
      </c>
      <c r="F2031" t="s"/>
      <c r="G2031" t="s"/>
      <c r="H2031" t="s"/>
      <c r="I2031" t="s"/>
      <c r="J2031" t="n">
        <v>-0.3979</v>
      </c>
      <c r="K2031" t="n">
        <v>0.196</v>
      </c>
      <c r="L2031" t="n">
        <v>0.668</v>
      </c>
      <c r="M2031" t="n">
        <v>0.136</v>
      </c>
    </row>
    <row r="2032" spans="1:13">
      <c r="A2032" s="1">
        <f>HYPERLINK("http://www.twitter.com/NathanBLawrence/status/992287281632313346", "992287281632313346")</f>
        <v/>
      </c>
      <c r="B2032" s="2" t="n">
        <v>43224.26270833334</v>
      </c>
      <c r="C2032" t="n">
        <v>0</v>
      </c>
      <c r="D2032" t="n">
        <v>769</v>
      </c>
      <c r="E2032" t="s">
        <v>2042</v>
      </c>
      <c r="F2032" t="s"/>
      <c r="G2032" t="s"/>
      <c r="H2032" t="s"/>
      <c r="I2032" t="s"/>
      <c r="J2032" t="n">
        <v>0</v>
      </c>
      <c r="K2032" t="n">
        <v>0</v>
      </c>
      <c r="L2032" t="n">
        <v>1</v>
      </c>
      <c r="M2032" t="n">
        <v>0</v>
      </c>
    </row>
    <row r="2033" spans="1:13">
      <c r="A2033" s="1">
        <f>HYPERLINK("http://www.twitter.com/NathanBLawrence/status/992286097941020673", "992286097941020673")</f>
        <v/>
      </c>
      <c r="B2033" s="2" t="n">
        <v>43224.25944444445</v>
      </c>
      <c r="C2033" t="n">
        <v>0</v>
      </c>
      <c r="D2033" t="n">
        <v>168</v>
      </c>
      <c r="E2033" t="s">
        <v>2043</v>
      </c>
      <c r="F2033" t="s"/>
      <c r="G2033" t="s"/>
      <c r="H2033" t="s"/>
      <c r="I2033" t="s"/>
      <c r="J2033" t="n">
        <v>0</v>
      </c>
      <c r="K2033" t="n">
        <v>0</v>
      </c>
      <c r="L2033" t="n">
        <v>1</v>
      </c>
      <c r="M2033" t="n">
        <v>0</v>
      </c>
    </row>
    <row r="2034" spans="1:13">
      <c r="A2034" s="1">
        <f>HYPERLINK("http://www.twitter.com/NathanBLawrence/status/992285957322719237", "992285957322719237")</f>
        <v/>
      </c>
      <c r="B2034" s="2" t="n">
        <v>43224.25905092592</v>
      </c>
      <c r="C2034" t="n">
        <v>0</v>
      </c>
      <c r="D2034" t="n">
        <v>312</v>
      </c>
      <c r="E2034" t="s">
        <v>2044</v>
      </c>
      <c r="F2034" t="s"/>
      <c r="G2034" t="s"/>
      <c r="H2034" t="s"/>
      <c r="I2034" t="s"/>
      <c r="J2034" t="n">
        <v>-0.1027</v>
      </c>
      <c r="K2034" t="n">
        <v>0.119</v>
      </c>
      <c r="L2034" t="n">
        <v>0.779</v>
      </c>
      <c r="M2034" t="n">
        <v>0.102</v>
      </c>
    </row>
    <row r="2035" spans="1:13">
      <c r="A2035" s="1">
        <f>HYPERLINK("http://www.twitter.com/NathanBLawrence/status/992285887080759296", "992285887080759296")</f>
        <v/>
      </c>
      <c r="B2035" s="2" t="n">
        <v>43224.25885416667</v>
      </c>
      <c r="C2035" t="n">
        <v>0</v>
      </c>
      <c r="D2035" t="n">
        <v>896</v>
      </c>
      <c r="E2035" t="s">
        <v>2045</v>
      </c>
      <c r="F2035" t="s"/>
      <c r="G2035" t="s"/>
      <c r="H2035" t="s"/>
      <c r="I2035" t="s"/>
      <c r="J2035" t="n">
        <v>0.4019</v>
      </c>
      <c r="K2035" t="n">
        <v>0</v>
      </c>
      <c r="L2035" t="n">
        <v>0.87</v>
      </c>
      <c r="M2035" t="n">
        <v>0.13</v>
      </c>
    </row>
    <row r="2036" spans="1:13">
      <c r="A2036" s="1">
        <f>HYPERLINK("http://www.twitter.com/NathanBLawrence/status/992285689319276544", "992285689319276544")</f>
        <v/>
      </c>
      <c r="B2036" s="2" t="n">
        <v>43224.25831018519</v>
      </c>
      <c r="C2036" t="n">
        <v>0</v>
      </c>
      <c r="D2036" t="n">
        <v>127</v>
      </c>
      <c r="E2036" t="s">
        <v>2046</v>
      </c>
      <c r="F2036" t="s"/>
      <c r="G2036" t="s"/>
      <c r="H2036" t="s"/>
      <c r="I2036" t="s"/>
      <c r="J2036" t="n">
        <v>0.802</v>
      </c>
      <c r="K2036" t="n">
        <v>0</v>
      </c>
      <c r="L2036" t="n">
        <v>0.702</v>
      </c>
      <c r="M2036" t="n">
        <v>0.298</v>
      </c>
    </row>
    <row r="2037" spans="1:13">
      <c r="A2037" s="1">
        <f>HYPERLINK("http://www.twitter.com/NathanBLawrence/status/992285552983470082", "992285552983470082")</f>
        <v/>
      </c>
      <c r="B2037" s="2" t="n">
        <v>43224.25793981482</v>
      </c>
      <c r="C2037" t="n">
        <v>0</v>
      </c>
      <c r="D2037" t="n">
        <v>24</v>
      </c>
      <c r="E2037" t="s">
        <v>2047</v>
      </c>
      <c r="F2037" t="s"/>
      <c r="G2037" t="s"/>
      <c r="H2037" t="s"/>
      <c r="I2037" t="s"/>
      <c r="J2037" t="n">
        <v>0</v>
      </c>
      <c r="K2037" t="n">
        <v>0</v>
      </c>
      <c r="L2037" t="n">
        <v>1</v>
      </c>
      <c r="M2037" t="n">
        <v>0</v>
      </c>
    </row>
    <row r="2038" spans="1:13">
      <c r="A2038" s="1">
        <f>HYPERLINK("http://www.twitter.com/NathanBLawrence/status/992285516069457921", "992285516069457921")</f>
        <v/>
      </c>
      <c r="B2038" s="2" t="n">
        <v>43224.25783564815</v>
      </c>
      <c r="C2038" t="n">
        <v>0</v>
      </c>
      <c r="D2038" t="n">
        <v>1526</v>
      </c>
      <c r="E2038" t="s">
        <v>2048</v>
      </c>
      <c r="F2038" t="s"/>
      <c r="G2038" t="s"/>
      <c r="H2038" t="s"/>
      <c r="I2038" t="s"/>
      <c r="J2038" t="n">
        <v>0</v>
      </c>
      <c r="K2038" t="n">
        <v>0</v>
      </c>
      <c r="L2038" t="n">
        <v>1</v>
      </c>
      <c r="M2038" t="n">
        <v>0</v>
      </c>
    </row>
    <row r="2039" spans="1:13">
      <c r="A2039" s="1">
        <f>HYPERLINK("http://www.twitter.com/NathanBLawrence/status/992285386100563969", "992285386100563969")</f>
        <v/>
      </c>
      <c r="B2039" s="2" t="n">
        <v>43224.25747685185</v>
      </c>
      <c r="C2039" t="n">
        <v>0</v>
      </c>
      <c r="D2039" t="n">
        <v>233</v>
      </c>
      <c r="E2039" t="s">
        <v>2049</v>
      </c>
      <c r="F2039" t="s"/>
      <c r="G2039" t="s"/>
      <c r="H2039" t="s"/>
      <c r="I2039" t="s"/>
      <c r="J2039" t="n">
        <v>-0.6786</v>
      </c>
      <c r="K2039" t="n">
        <v>0.285</v>
      </c>
      <c r="L2039" t="n">
        <v>0.715</v>
      </c>
      <c r="M2039" t="n">
        <v>0</v>
      </c>
    </row>
    <row r="2040" spans="1:13">
      <c r="A2040" s="1">
        <f>HYPERLINK("http://www.twitter.com/NathanBLawrence/status/992285218760343552", "992285218760343552")</f>
        <v/>
      </c>
      <c r="B2040" s="2" t="n">
        <v>43224.25701388889</v>
      </c>
      <c r="C2040" t="n">
        <v>0</v>
      </c>
      <c r="D2040" t="n">
        <v>1303</v>
      </c>
      <c r="E2040" t="s">
        <v>2050</v>
      </c>
      <c r="F2040">
        <f>HYPERLINK("http://pbs.twimg.com/media/DHhh4KYUIAQO0fq.jpg", "http://pbs.twimg.com/media/DHhh4KYUIAQO0fq.jpg")</f>
        <v/>
      </c>
      <c r="G2040" t="s"/>
      <c r="H2040" t="s"/>
      <c r="I2040" t="s"/>
      <c r="J2040" t="n">
        <v>0.4019</v>
      </c>
      <c r="K2040" t="n">
        <v>0</v>
      </c>
      <c r="L2040" t="n">
        <v>0.787</v>
      </c>
      <c r="M2040" t="n">
        <v>0.213</v>
      </c>
    </row>
    <row r="2041" spans="1:13">
      <c r="A2041" s="1">
        <f>HYPERLINK("http://www.twitter.com/NathanBLawrence/status/992285132567425026", "992285132567425026")</f>
        <v/>
      </c>
      <c r="B2041" s="2" t="n">
        <v>43224.25678240741</v>
      </c>
      <c r="C2041" t="n">
        <v>0</v>
      </c>
      <c r="D2041" t="n">
        <v>217</v>
      </c>
      <c r="E2041" t="s">
        <v>2051</v>
      </c>
      <c r="F2041" t="s"/>
      <c r="G2041" t="s"/>
      <c r="H2041" t="s"/>
      <c r="I2041" t="s"/>
      <c r="J2041" t="n">
        <v>0.4754</v>
      </c>
      <c r="K2041" t="n">
        <v>0</v>
      </c>
      <c r="L2041" t="n">
        <v>0.819</v>
      </c>
      <c r="M2041" t="n">
        <v>0.181</v>
      </c>
    </row>
    <row r="2042" spans="1:13">
      <c r="A2042" s="1">
        <f>HYPERLINK("http://www.twitter.com/NathanBLawrence/status/992285090423046144", "992285090423046144")</f>
        <v/>
      </c>
      <c r="B2042" s="2" t="n">
        <v>43224.25665509259</v>
      </c>
      <c r="C2042" t="n">
        <v>0</v>
      </c>
      <c r="D2042" t="n">
        <v>1701</v>
      </c>
      <c r="E2042" t="s">
        <v>2052</v>
      </c>
      <c r="F2042">
        <f>HYPERLINK("https://video.twimg.com/ext_tw_video/991886733342998528/pu/vid/720x720/41Pml5xOB6Q61FRb.mp4?tag=3", "https://video.twimg.com/ext_tw_video/991886733342998528/pu/vid/720x720/41Pml5xOB6Q61FRb.mp4?tag=3")</f>
        <v/>
      </c>
      <c r="G2042" t="s"/>
      <c r="H2042" t="s"/>
      <c r="I2042" t="s"/>
      <c r="J2042" t="n">
        <v>-0.3182</v>
      </c>
      <c r="K2042" t="n">
        <v>0.126</v>
      </c>
      <c r="L2042" t="n">
        <v>0.874</v>
      </c>
      <c r="M2042" t="n">
        <v>0</v>
      </c>
    </row>
    <row r="2043" spans="1:13">
      <c r="A2043" s="1">
        <f>HYPERLINK("http://www.twitter.com/NathanBLawrence/status/992284850018140161", "992284850018140161")</f>
        <v/>
      </c>
      <c r="B2043" s="2" t="n">
        <v>43224.25599537037</v>
      </c>
      <c r="C2043" t="n">
        <v>0</v>
      </c>
      <c r="D2043" t="n">
        <v>3543</v>
      </c>
      <c r="E2043" t="s">
        <v>2053</v>
      </c>
      <c r="F2043" t="s"/>
      <c r="G2043" t="s"/>
      <c r="H2043" t="s"/>
      <c r="I2043" t="s"/>
      <c r="J2043" t="n">
        <v>0</v>
      </c>
      <c r="K2043" t="n">
        <v>0</v>
      </c>
      <c r="L2043" t="n">
        <v>1</v>
      </c>
      <c r="M2043" t="n">
        <v>0</v>
      </c>
    </row>
    <row r="2044" spans="1:13">
      <c r="A2044" s="1">
        <f>HYPERLINK("http://www.twitter.com/NathanBLawrence/status/992284651669540864", "992284651669540864")</f>
        <v/>
      </c>
      <c r="B2044" s="2" t="n">
        <v>43224.25545138889</v>
      </c>
      <c r="C2044" t="n">
        <v>0</v>
      </c>
      <c r="D2044" t="n">
        <v>87</v>
      </c>
      <c r="E2044" t="s">
        <v>2054</v>
      </c>
      <c r="F2044">
        <f>HYPERLINK("http://pbs.twimg.com/media/DcUTEDTVAAASvPu.jpg", "http://pbs.twimg.com/media/DcUTEDTVAAASvPu.jpg")</f>
        <v/>
      </c>
      <c r="G2044" t="s"/>
      <c r="H2044" t="s"/>
      <c r="I2044" t="s"/>
      <c r="J2044" t="n">
        <v>0.34</v>
      </c>
      <c r="K2044" t="n">
        <v>0.101</v>
      </c>
      <c r="L2044" t="n">
        <v>0.709</v>
      </c>
      <c r="M2044" t="n">
        <v>0.19</v>
      </c>
    </row>
    <row r="2045" spans="1:13">
      <c r="A2045" s="1">
        <f>HYPERLINK("http://www.twitter.com/NathanBLawrence/status/992284504029999104", "992284504029999104")</f>
        <v/>
      </c>
      <c r="B2045" s="2" t="n">
        <v>43224.2550462963</v>
      </c>
      <c r="C2045" t="n">
        <v>0</v>
      </c>
      <c r="D2045" t="n">
        <v>511</v>
      </c>
      <c r="E2045" t="s">
        <v>2055</v>
      </c>
      <c r="F2045">
        <f>HYPERLINK("http://pbs.twimg.com/media/DcU0wKZVQAEACZu.jpg", "http://pbs.twimg.com/media/DcU0wKZVQAEACZu.jpg")</f>
        <v/>
      </c>
      <c r="G2045" t="s"/>
      <c r="H2045" t="s"/>
      <c r="I2045" t="s"/>
      <c r="J2045" t="n">
        <v>0.8847</v>
      </c>
      <c r="K2045" t="n">
        <v>0</v>
      </c>
      <c r="L2045" t="n">
        <v>0.569</v>
      </c>
      <c r="M2045" t="n">
        <v>0.431</v>
      </c>
    </row>
    <row r="2046" spans="1:13">
      <c r="A2046" s="1">
        <f>HYPERLINK("http://www.twitter.com/NathanBLawrence/status/992284472690135040", "992284472690135040")</f>
        <v/>
      </c>
      <c r="B2046" s="2" t="n">
        <v>43224.2549537037</v>
      </c>
      <c r="C2046" t="n">
        <v>0</v>
      </c>
      <c r="D2046" t="n">
        <v>4</v>
      </c>
      <c r="E2046" t="s">
        <v>2056</v>
      </c>
      <c r="F2046" t="s"/>
      <c r="G2046" t="s"/>
      <c r="H2046" t="s"/>
      <c r="I2046" t="s"/>
      <c r="J2046" t="n">
        <v>0.4767</v>
      </c>
      <c r="K2046" t="n">
        <v>0</v>
      </c>
      <c r="L2046" t="n">
        <v>0.819</v>
      </c>
      <c r="M2046" t="n">
        <v>0.181</v>
      </c>
    </row>
    <row r="2047" spans="1:13">
      <c r="A2047" s="1">
        <f>HYPERLINK("http://www.twitter.com/NathanBLawrence/status/992284200823746560", "992284200823746560")</f>
        <v/>
      </c>
      <c r="B2047" s="2" t="n">
        <v>43224.25420138889</v>
      </c>
      <c r="C2047" t="n">
        <v>0</v>
      </c>
      <c r="D2047" t="n">
        <v>4</v>
      </c>
      <c r="E2047" t="s">
        <v>2057</v>
      </c>
      <c r="F2047" t="s"/>
      <c r="G2047" t="s"/>
      <c r="H2047" t="s"/>
      <c r="I2047" t="s"/>
      <c r="J2047" t="n">
        <v>0</v>
      </c>
      <c r="K2047" t="n">
        <v>0</v>
      </c>
      <c r="L2047" t="n">
        <v>1</v>
      </c>
      <c r="M2047" t="n">
        <v>0</v>
      </c>
    </row>
    <row r="2048" spans="1:13">
      <c r="A2048" s="1">
        <f>HYPERLINK("http://www.twitter.com/NathanBLawrence/status/992284144347443207", "992284144347443207")</f>
        <v/>
      </c>
      <c r="B2048" s="2" t="n">
        <v>43224.25405092593</v>
      </c>
      <c r="C2048" t="n">
        <v>3</v>
      </c>
      <c r="D2048" t="n">
        <v>3</v>
      </c>
      <c r="E2048" t="s">
        <v>2058</v>
      </c>
      <c r="F2048" t="s"/>
      <c r="G2048" t="s"/>
      <c r="H2048" t="s"/>
      <c r="I2048" t="s"/>
      <c r="J2048" t="n">
        <v>0.168</v>
      </c>
      <c r="K2048" t="n">
        <v>0</v>
      </c>
      <c r="L2048" t="n">
        <v>0.8080000000000001</v>
      </c>
      <c r="M2048" t="n">
        <v>0.192</v>
      </c>
    </row>
    <row r="2049" spans="1:13">
      <c r="A2049" s="1">
        <f>HYPERLINK("http://www.twitter.com/NathanBLawrence/status/992284028714729472", "992284028714729472")</f>
        <v/>
      </c>
      <c r="B2049" s="2" t="n">
        <v>43224.25372685185</v>
      </c>
      <c r="C2049" t="n">
        <v>0</v>
      </c>
      <c r="D2049" t="n">
        <v>2</v>
      </c>
      <c r="E2049" t="s">
        <v>2059</v>
      </c>
      <c r="F2049" t="s"/>
      <c r="G2049" t="s"/>
      <c r="H2049" t="s"/>
      <c r="I2049" t="s"/>
      <c r="J2049" t="n">
        <v>-0.4374</v>
      </c>
      <c r="K2049" t="n">
        <v>0.292</v>
      </c>
      <c r="L2049" t="n">
        <v>0.708</v>
      </c>
      <c r="M2049" t="n">
        <v>0</v>
      </c>
    </row>
    <row r="2050" spans="1:13">
      <c r="A2050" s="1">
        <f>HYPERLINK("http://www.twitter.com/NathanBLawrence/status/992283803249881090", "992283803249881090")</f>
        <v/>
      </c>
      <c r="B2050" s="2" t="n">
        <v>43224.25311342593</v>
      </c>
      <c r="C2050" t="n">
        <v>4</v>
      </c>
      <c r="D2050" t="n">
        <v>6</v>
      </c>
      <c r="E2050" t="s">
        <v>2060</v>
      </c>
      <c r="F2050" t="s"/>
      <c r="G2050" t="s"/>
      <c r="H2050" t="s"/>
      <c r="I2050" t="s"/>
      <c r="J2050" t="n">
        <v>-0.883</v>
      </c>
      <c r="K2050" t="n">
        <v>0.227</v>
      </c>
      <c r="L2050" t="n">
        <v>0.773</v>
      </c>
      <c r="M2050" t="n">
        <v>0</v>
      </c>
    </row>
    <row r="2051" spans="1:13">
      <c r="A2051" s="1">
        <f>HYPERLINK("http://www.twitter.com/NathanBLawrence/status/992281469354627073", "992281469354627073")</f>
        <v/>
      </c>
      <c r="B2051" s="2" t="n">
        <v>43224.24666666667</v>
      </c>
      <c r="C2051" t="n">
        <v>0</v>
      </c>
      <c r="D2051" t="n">
        <v>9</v>
      </c>
      <c r="E2051" t="s">
        <v>2061</v>
      </c>
      <c r="F2051">
        <f>HYPERLINK("http://pbs.twimg.com/media/DcVJQjHVMAIZI2_.jpg", "http://pbs.twimg.com/media/DcVJQjHVMAIZI2_.jpg")</f>
        <v/>
      </c>
      <c r="G2051" t="s"/>
      <c r="H2051" t="s"/>
      <c r="I2051" t="s"/>
      <c r="J2051" t="n">
        <v>-0.2263</v>
      </c>
      <c r="K2051" t="n">
        <v>0.187</v>
      </c>
      <c r="L2051" t="n">
        <v>0.674</v>
      </c>
      <c r="M2051" t="n">
        <v>0.14</v>
      </c>
    </row>
    <row r="2052" spans="1:13">
      <c r="A2052" s="1">
        <f>HYPERLINK("http://www.twitter.com/NathanBLawrence/status/992281343290626050", "992281343290626050")</f>
        <v/>
      </c>
      <c r="B2052" s="2" t="n">
        <v>43224.24631944444</v>
      </c>
      <c r="C2052" t="n">
        <v>4</v>
      </c>
      <c r="D2052" t="n">
        <v>0</v>
      </c>
      <c r="E2052" t="s">
        <v>2062</v>
      </c>
      <c r="F2052" t="s"/>
      <c r="G2052" t="s"/>
      <c r="H2052" t="s"/>
      <c r="I2052" t="s"/>
      <c r="J2052" t="n">
        <v>-0.8217</v>
      </c>
      <c r="K2052" t="n">
        <v>0.336</v>
      </c>
      <c r="L2052" t="n">
        <v>0.664</v>
      </c>
      <c r="M2052" t="n">
        <v>0</v>
      </c>
    </row>
    <row r="2053" spans="1:13">
      <c r="A2053" s="1">
        <f>HYPERLINK("http://www.twitter.com/NathanBLawrence/status/992281081477906433", "992281081477906433")</f>
        <v/>
      </c>
      <c r="B2053" s="2" t="n">
        <v>43224.24560185185</v>
      </c>
      <c r="C2053" t="n">
        <v>10</v>
      </c>
      <c r="D2053" t="n">
        <v>3</v>
      </c>
      <c r="E2053" t="s">
        <v>2063</v>
      </c>
      <c r="F2053" t="s"/>
      <c r="G2053" t="s"/>
      <c r="H2053" t="s"/>
      <c r="I2053" t="s"/>
      <c r="J2053" t="n">
        <v>-0.4389</v>
      </c>
      <c r="K2053" t="n">
        <v>0.42</v>
      </c>
      <c r="L2053" t="n">
        <v>0.58</v>
      </c>
      <c r="M2053" t="n">
        <v>0</v>
      </c>
    </row>
    <row r="2054" spans="1:13">
      <c r="A2054" s="1">
        <f>HYPERLINK("http://www.twitter.com/NathanBLawrence/status/992280746785034241", "992280746785034241")</f>
        <v/>
      </c>
      <c r="B2054" s="2" t="n">
        <v>43224.24467592593</v>
      </c>
      <c r="C2054" t="n">
        <v>1</v>
      </c>
      <c r="D2054" t="n">
        <v>2</v>
      </c>
      <c r="E2054" t="s">
        <v>2064</v>
      </c>
      <c r="F2054" t="s"/>
      <c r="G2054" t="s"/>
      <c r="H2054" t="s"/>
      <c r="I2054" t="s"/>
      <c r="J2054" t="n">
        <v>-0.1343</v>
      </c>
      <c r="K2054" t="n">
        <v>0.109</v>
      </c>
      <c r="L2054" t="n">
        <v>0.801</v>
      </c>
      <c r="M2054" t="n">
        <v>0.091</v>
      </c>
    </row>
    <row r="2055" spans="1:13">
      <c r="A2055" s="1">
        <f>HYPERLINK("http://www.twitter.com/NathanBLawrence/status/992280147586760705", "992280147586760705")</f>
        <v/>
      </c>
      <c r="B2055" s="2" t="n">
        <v>43224.24302083333</v>
      </c>
      <c r="C2055" t="n">
        <v>6</v>
      </c>
      <c r="D2055" t="n">
        <v>4</v>
      </c>
      <c r="E2055" t="s">
        <v>2065</v>
      </c>
      <c r="F2055" t="s"/>
      <c r="G2055" t="s"/>
      <c r="H2055" t="s"/>
      <c r="I2055" t="s"/>
      <c r="J2055" t="n">
        <v>-0.5266999999999999</v>
      </c>
      <c r="K2055" t="n">
        <v>0.175</v>
      </c>
      <c r="L2055" t="n">
        <v>0.825</v>
      </c>
      <c r="M2055" t="n">
        <v>0</v>
      </c>
    </row>
    <row r="2056" spans="1:13">
      <c r="A2056" s="1">
        <f>HYPERLINK("http://www.twitter.com/NathanBLawrence/status/992279851460513793", "992279851460513793")</f>
        <v/>
      </c>
      <c r="B2056" s="2" t="n">
        <v>43224.24219907408</v>
      </c>
      <c r="C2056" t="n">
        <v>0</v>
      </c>
      <c r="D2056" t="n">
        <v>1040</v>
      </c>
      <c r="E2056" t="s">
        <v>2066</v>
      </c>
      <c r="F2056" t="s"/>
      <c r="G2056" t="s"/>
      <c r="H2056" t="s"/>
      <c r="I2056" t="s"/>
      <c r="J2056" t="n">
        <v>0.0108</v>
      </c>
      <c r="K2056" t="n">
        <v>0.122</v>
      </c>
      <c r="L2056" t="n">
        <v>0.754</v>
      </c>
      <c r="M2056" t="n">
        <v>0.124</v>
      </c>
    </row>
    <row r="2057" spans="1:13">
      <c r="A2057" s="1">
        <f>HYPERLINK("http://www.twitter.com/NathanBLawrence/status/992279229579444226", "992279229579444226")</f>
        <v/>
      </c>
      <c r="B2057" s="2" t="n">
        <v>43224.24048611111</v>
      </c>
      <c r="C2057" t="n">
        <v>8</v>
      </c>
      <c r="D2057" t="n">
        <v>3</v>
      </c>
      <c r="E2057" t="s">
        <v>2067</v>
      </c>
      <c r="F2057" t="s"/>
      <c r="G2057" t="s"/>
      <c r="H2057" t="s"/>
      <c r="I2057" t="s"/>
      <c r="J2057" t="n">
        <v>0.1531</v>
      </c>
      <c r="K2057" t="n">
        <v>0</v>
      </c>
      <c r="L2057" t="n">
        <v>0.902</v>
      </c>
      <c r="M2057" t="n">
        <v>0.098</v>
      </c>
    </row>
    <row r="2058" spans="1:13">
      <c r="A2058" s="1">
        <f>HYPERLINK("http://www.twitter.com/NathanBLawrence/status/992278711067033600", "992278711067033600")</f>
        <v/>
      </c>
      <c r="B2058" s="2" t="n">
        <v>43224.2390625</v>
      </c>
      <c r="C2058" t="n">
        <v>28</v>
      </c>
      <c r="D2058" t="n">
        <v>10</v>
      </c>
      <c r="E2058" t="s">
        <v>2068</v>
      </c>
      <c r="F2058" t="s"/>
      <c r="G2058" t="s"/>
      <c r="H2058" t="s"/>
      <c r="I2058" t="s"/>
      <c r="J2058" t="n">
        <v>0.1007</v>
      </c>
      <c r="K2058" t="n">
        <v>0.102</v>
      </c>
      <c r="L2058" t="n">
        <v>0.785</v>
      </c>
      <c r="M2058" t="n">
        <v>0.113</v>
      </c>
    </row>
    <row r="2059" spans="1:13">
      <c r="A2059" s="1">
        <f>HYPERLINK("http://www.twitter.com/NathanBLawrence/status/992277923771006977", "992277923771006977")</f>
        <v/>
      </c>
      <c r="B2059" s="2" t="n">
        <v>43224.23688657407</v>
      </c>
      <c r="C2059" t="n">
        <v>0</v>
      </c>
      <c r="D2059" t="n">
        <v>670</v>
      </c>
      <c r="E2059" t="s">
        <v>2069</v>
      </c>
      <c r="F2059">
        <f>HYPERLINK("https://video.twimg.com/ext_tw_video/986656007081340931/pu/vid/640x360/IBchr5IvionXjsYo.mp4?tag=2", "https://video.twimg.com/ext_tw_video/986656007081340931/pu/vid/640x360/IBchr5IvionXjsYo.mp4?tag=2")</f>
        <v/>
      </c>
      <c r="G2059" t="s"/>
      <c r="H2059" t="s"/>
      <c r="I2059" t="s"/>
      <c r="J2059" t="n">
        <v>0.6166</v>
      </c>
      <c r="K2059" t="n">
        <v>0</v>
      </c>
      <c r="L2059" t="n">
        <v>0.8139999999999999</v>
      </c>
      <c r="M2059" t="n">
        <v>0.186</v>
      </c>
    </row>
    <row r="2060" spans="1:13">
      <c r="A2060" s="1">
        <f>HYPERLINK("http://www.twitter.com/NathanBLawrence/status/992277489920524289", "992277489920524289")</f>
        <v/>
      </c>
      <c r="B2060" s="2" t="n">
        <v>43224.23568287037</v>
      </c>
      <c r="C2060" t="n">
        <v>0</v>
      </c>
      <c r="D2060" t="n">
        <v>15863</v>
      </c>
      <c r="E2060" t="s">
        <v>2070</v>
      </c>
      <c r="F2060">
        <f>HYPERLINK("https://video.twimg.com/ext_tw_video/992106465119780864/pu/vid/1280x720/f__51xilfkS49s3x.mp4?tag=3", "https://video.twimg.com/ext_tw_video/992106465119780864/pu/vid/1280x720/f__51xilfkS49s3x.mp4?tag=3")</f>
        <v/>
      </c>
      <c r="G2060" t="s"/>
      <c r="H2060" t="s"/>
      <c r="I2060" t="s"/>
      <c r="J2060" t="n">
        <v>0</v>
      </c>
      <c r="K2060" t="n">
        <v>0</v>
      </c>
      <c r="L2060" t="n">
        <v>1</v>
      </c>
      <c r="M2060" t="n">
        <v>0</v>
      </c>
    </row>
    <row r="2061" spans="1:13">
      <c r="A2061" s="1">
        <f>HYPERLINK("http://www.twitter.com/NathanBLawrence/status/992277397754949634", "992277397754949634")</f>
        <v/>
      </c>
      <c r="B2061" s="2" t="n">
        <v>43224.23542824074</v>
      </c>
      <c r="C2061" t="n">
        <v>3</v>
      </c>
      <c r="D2061" t="n">
        <v>0</v>
      </c>
      <c r="E2061" t="s">
        <v>2071</v>
      </c>
      <c r="F2061" t="s"/>
      <c r="G2061" t="s"/>
      <c r="H2061" t="s"/>
      <c r="I2061" t="s"/>
      <c r="J2061" t="n">
        <v>0</v>
      </c>
      <c r="K2061" t="n">
        <v>0</v>
      </c>
      <c r="L2061" t="n">
        <v>1</v>
      </c>
      <c r="M2061" t="n">
        <v>0</v>
      </c>
    </row>
    <row r="2062" spans="1:13">
      <c r="A2062" s="1">
        <f>HYPERLINK("http://www.twitter.com/NathanBLawrence/status/992277230997811202", "992277230997811202")</f>
        <v/>
      </c>
      <c r="B2062" s="2" t="n">
        <v>43224.23497685185</v>
      </c>
      <c r="C2062" t="n">
        <v>0</v>
      </c>
      <c r="D2062" t="n">
        <v>621</v>
      </c>
      <c r="E2062" t="s">
        <v>2072</v>
      </c>
      <c r="F2062">
        <f>HYPERLINK("http://pbs.twimg.com/media/DcF4zXRU0AAOiLz.jpg", "http://pbs.twimg.com/media/DcF4zXRU0AAOiLz.jpg")</f>
        <v/>
      </c>
      <c r="G2062" t="s"/>
      <c r="H2062" t="s"/>
      <c r="I2062" t="s"/>
      <c r="J2062" t="n">
        <v>0</v>
      </c>
      <c r="K2062" t="n">
        <v>0</v>
      </c>
      <c r="L2062" t="n">
        <v>1</v>
      </c>
      <c r="M2062" t="n">
        <v>0</v>
      </c>
    </row>
    <row r="2063" spans="1:13">
      <c r="A2063" s="1">
        <f>HYPERLINK("http://www.twitter.com/NathanBLawrence/status/992277093143560192", "992277093143560192")</f>
        <v/>
      </c>
      <c r="B2063" s="2" t="n">
        <v>43224.23459490741</v>
      </c>
      <c r="C2063" t="n">
        <v>11</v>
      </c>
      <c r="D2063" t="n">
        <v>6</v>
      </c>
      <c r="E2063" t="s">
        <v>2073</v>
      </c>
      <c r="F2063" t="s"/>
      <c r="G2063" t="s"/>
      <c r="H2063" t="s"/>
      <c r="I2063" t="s"/>
      <c r="J2063" t="n">
        <v>0.0258</v>
      </c>
      <c r="K2063" t="n">
        <v>0</v>
      </c>
      <c r="L2063" t="n">
        <v>0.909</v>
      </c>
      <c r="M2063" t="n">
        <v>0.091</v>
      </c>
    </row>
    <row r="2064" spans="1:13">
      <c r="A2064" s="1">
        <f>HYPERLINK("http://www.twitter.com/NathanBLawrence/status/992274820552257536", "992274820552257536")</f>
        <v/>
      </c>
      <c r="B2064" s="2" t="n">
        <v>43224.22832175926</v>
      </c>
      <c r="C2064" t="n">
        <v>5</v>
      </c>
      <c r="D2064" t="n">
        <v>5</v>
      </c>
      <c r="E2064" t="s">
        <v>2074</v>
      </c>
      <c r="F2064" t="s"/>
      <c r="G2064" t="s"/>
      <c r="H2064" t="s"/>
      <c r="I2064" t="s"/>
      <c r="J2064" t="n">
        <v>0.0258</v>
      </c>
      <c r="K2064" t="n">
        <v>0.149</v>
      </c>
      <c r="L2064" t="n">
        <v>0.698</v>
      </c>
      <c r="M2064" t="n">
        <v>0.153</v>
      </c>
    </row>
    <row r="2065" spans="1:13">
      <c r="A2065" s="1">
        <f>HYPERLINK("http://www.twitter.com/NathanBLawrence/status/992274240572280836", "992274240572280836")</f>
        <v/>
      </c>
      <c r="B2065" s="2" t="n">
        <v>43224.22672453704</v>
      </c>
      <c r="C2065" t="n">
        <v>0</v>
      </c>
      <c r="D2065" t="n">
        <v>1949</v>
      </c>
      <c r="E2065" t="s">
        <v>2075</v>
      </c>
      <c r="F2065">
        <f>HYPERLINK("https://video.twimg.com/amplify_video/985913657778466816/vid/1280x720/MJl30Sj-BYEsUnMN.mp4?tag=2", "https://video.twimg.com/amplify_video/985913657778466816/vid/1280x720/MJl30Sj-BYEsUnMN.mp4?tag=2")</f>
        <v/>
      </c>
      <c r="G2065" t="s"/>
      <c r="H2065" t="s"/>
      <c r="I2065" t="s"/>
      <c r="J2065" t="n">
        <v>0</v>
      </c>
      <c r="K2065" t="n">
        <v>0</v>
      </c>
      <c r="L2065" t="n">
        <v>1</v>
      </c>
      <c r="M2065" t="n">
        <v>0</v>
      </c>
    </row>
    <row r="2066" spans="1:13">
      <c r="A2066" s="1">
        <f>HYPERLINK("http://www.twitter.com/NathanBLawrence/status/992273924988682245", "992273924988682245")</f>
        <v/>
      </c>
      <c r="B2066" s="2" t="n">
        <v>43224.22584490741</v>
      </c>
      <c r="C2066" t="n">
        <v>0</v>
      </c>
      <c r="D2066" t="n">
        <v>584</v>
      </c>
      <c r="E2066" t="s">
        <v>2076</v>
      </c>
      <c r="F2066">
        <f>HYPERLINK("http://pbs.twimg.com/media/DcTKGJ_VAAAFcKf.jpg", "http://pbs.twimg.com/media/DcTKGJ_VAAAFcKf.jpg")</f>
        <v/>
      </c>
      <c r="G2066">
        <f>HYPERLINK("http://pbs.twimg.com/media/DcTKGq7VwAAqUPJ.jpg", "http://pbs.twimg.com/media/DcTKGq7VwAAqUPJ.jpg")</f>
        <v/>
      </c>
      <c r="H2066" t="s"/>
      <c r="I2066" t="s"/>
      <c r="J2066" t="n">
        <v>0</v>
      </c>
      <c r="K2066" t="n">
        <v>0</v>
      </c>
      <c r="L2066" t="n">
        <v>1</v>
      </c>
      <c r="M2066" t="n">
        <v>0</v>
      </c>
    </row>
    <row r="2067" spans="1:13">
      <c r="A2067" s="1">
        <f>HYPERLINK("http://www.twitter.com/NathanBLawrence/status/992273807497834497", "992273807497834497")</f>
        <v/>
      </c>
      <c r="B2067" s="2" t="n">
        <v>43224.22552083333</v>
      </c>
      <c r="C2067" t="n">
        <v>8</v>
      </c>
      <c r="D2067" t="n">
        <v>8</v>
      </c>
      <c r="E2067" t="s">
        <v>2077</v>
      </c>
      <c r="F2067" t="s"/>
      <c r="G2067" t="s"/>
      <c r="H2067" t="s"/>
      <c r="I2067" t="s"/>
      <c r="J2067" t="n">
        <v>-0.904</v>
      </c>
      <c r="K2067" t="n">
        <v>0.336</v>
      </c>
      <c r="L2067" t="n">
        <v>0.588</v>
      </c>
      <c r="M2067" t="n">
        <v>0.076</v>
      </c>
    </row>
    <row r="2068" spans="1:13">
      <c r="A2068" s="1">
        <f>HYPERLINK("http://www.twitter.com/NathanBLawrence/status/992273533689511936", "992273533689511936")</f>
        <v/>
      </c>
      <c r="B2068" s="2" t="n">
        <v>43224.22476851852</v>
      </c>
      <c r="C2068" t="n">
        <v>1</v>
      </c>
      <c r="D2068" t="n">
        <v>1</v>
      </c>
      <c r="E2068" t="s">
        <v>2078</v>
      </c>
      <c r="F2068" t="s"/>
      <c r="G2068" t="s"/>
      <c r="H2068" t="s"/>
      <c r="I2068" t="s"/>
      <c r="J2068" t="n">
        <v>0</v>
      </c>
      <c r="K2068" t="n">
        <v>0</v>
      </c>
      <c r="L2068" t="n">
        <v>1</v>
      </c>
      <c r="M2068" t="n">
        <v>0</v>
      </c>
    </row>
    <row r="2069" spans="1:13">
      <c r="A2069" s="1">
        <f>HYPERLINK("http://www.twitter.com/NathanBLawrence/status/992272527421407233", "992272527421407233")</f>
        <v/>
      </c>
      <c r="B2069" s="2" t="n">
        <v>43224.22199074074</v>
      </c>
      <c r="C2069" t="n">
        <v>9</v>
      </c>
      <c r="D2069" t="n">
        <v>5</v>
      </c>
      <c r="E2069" t="s">
        <v>2079</v>
      </c>
      <c r="F2069" t="s"/>
      <c r="G2069" t="s"/>
      <c r="H2069" t="s"/>
      <c r="I2069" t="s"/>
      <c r="J2069" t="n">
        <v>0</v>
      </c>
      <c r="K2069" t="n">
        <v>0</v>
      </c>
      <c r="L2069" t="n">
        <v>1</v>
      </c>
      <c r="M2069" t="n">
        <v>0</v>
      </c>
    </row>
    <row r="2070" spans="1:13">
      <c r="A2070" s="1">
        <f>HYPERLINK("http://www.twitter.com/NathanBLawrence/status/992272337738153990", "992272337738153990")</f>
        <v/>
      </c>
      <c r="B2070" s="2" t="n">
        <v>43224.22146990741</v>
      </c>
      <c r="C2070" t="n">
        <v>3</v>
      </c>
      <c r="D2070" t="n">
        <v>0</v>
      </c>
      <c r="E2070" t="s">
        <v>2080</v>
      </c>
      <c r="F2070" t="s"/>
      <c r="G2070" t="s"/>
      <c r="H2070" t="s"/>
      <c r="I2070" t="s"/>
      <c r="J2070" t="n">
        <v>0</v>
      </c>
      <c r="K2070" t="n">
        <v>0</v>
      </c>
      <c r="L2070" t="n">
        <v>1</v>
      </c>
      <c r="M2070" t="n">
        <v>0</v>
      </c>
    </row>
    <row r="2071" spans="1:13">
      <c r="A2071" s="1">
        <f>HYPERLINK("http://www.twitter.com/NathanBLawrence/status/992272164584808450", "992272164584808450")</f>
        <v/>
      </c>
      <c r="B2071" s="2" t="n">
        <v>43224.22099537037</v>
      </c>
      <c r="C2071" t="n">
        <v>7</v>
      </c>
      <c r="D2071" t="n">
        <v>7</v>
      </c>
      <c r="E2071" t="s">
        <v>2081</v>
      </c>
      <c r="F2071" t="s"/>
      <c r="G2071" t="s"/>
      <c r="H2071" t="s"/>
      <c r="I2071" t="s"/>
      <c r="J2071" t="n">
        <v>-0.8386</v>
      </c>
      <c r="K2071" t="n">
        <v>0.257</v>
      </c>
      <c r="L2071" t="n">
        <v>0.743</v>
      </c>
      <c r="M2071" t="n">
        <v>0</v>
      </c>
    </row>
    <row r="2072" spans="1:13">
      <c r="A2072" s="1">
        <f>HYPERLINK("http://www.twitter.com/NathanBLawrence/status/992271485820547073", "992271485820547073")</f>
        <v/>
      </c>
      <c r="B2072" s="2" t="n">
        <v>43224.21912037037</v>
      </c>
      <c r="C2072" t="n">
        <v>0</v>
      </c>
      <c r="D2072" t="n">
        <v>29</v>
      </c>
      <c r="E2072" t="s">
        <v>2082</v>
      </c>
      <c r="F2072" t="s"/>
      <c r="G2072" t="s"/>
      <c r="H2072" t="s"/>
      <c r="I2072" t="s"/>
      <c r="J2072" t="n">
        <v>0</v>
      </c>
      <c r="K2072" t="n">
        <v>0</v>
      </c>
      <c r="L2072" t="n">
        <v>1</v>
      </c>
      <c r="M2072" t="n">
        <v>0</v>
      </c>
    </row>
    <row r="2073" spans="1:13">
      <c r="A2073" s="1">
        <f>HYPERLINK("http://www.twitter.com/NathanBLawrence/status/992271453641785346", "992271453641785346")</f>
        <v/>
      </c>
      <c r="B2073" s="2" t="n">
        <v>43224.21902777778</v>
      </c>
      <c r="C2073" t="n">
        <v>0</v>
      </c>
      <c r="D2073" t="n">
        <v>278</v>
      </c>
      <c r="E2073" t="s">
        <v>2083</v>
      </c>
      <c r="F2073">
        <f>HYPERLINK("http://pbs.twimg.com/media/DcTBbk_U8AAC3Kp.jpg", "http://pbs.twimg.com/media/DcTBbk_U8AAC3Kp.jpg")</f>
        <v/>
      </c>
      <c r="G2073" t="s"/>
      <c r="H2073" t="s"/>
      <c r="I2073" t="s"/>
      <c r="J2073" t="n">
        <v>0</v>
      </c>
      <c r="K2073" t="n">
        <v>0</v>
      </c>
      <c r="L2073" t="n">
        <v>1</v>
      </c>
      <c r="M2073" t="n">
        <v>0</v>
      </c>
    </row>
    <row r="2074" spans="1:13">
      <c r="A2074" s="1">
        <f>HYPERLINK("http://www.twitter.com/NathanBLawrence/status/992271181595033600", "992271181595033600")</f>
        <v/>
      </c>
      <c r="B2074" s="2" t="n">
        <v>43224.21827546296</v>
      </c>
      <c r="C2074" t="n">
        <v>9</v>
      </c>
      <c r="D2074" t="n">
        <v>6</v>
      </c>
      <c r="E2074" t="s">
        <v>2084</v>
      </c>
      <c r="F2074" t="s"/>
      <c r="G2074" t="s"/>
      <c r="H2074" t="s"/>
      <c r="I2074" t="s"/>
      <c r="J2074" t="n">
        <v>-0.7412</v>
      </c>
      <c r="K2074" t="n">
        <v>0.143</v>
      </c>
      <c r="L2074" t="n">
        <v>0.8080000000000001</v>
      </c>
      <c r="M2074" t="n">
        <v>0.048</v>
      </c>
    </row>
    <row r="2075" spans="1:13">
      <c r="A2075" s="1">
        <f>HYPERLINK("http://www.twitter.com/NathanBLawrence/status/992251986866094080", "992251986866094080")</f>
        <v/>
      </c>
      <c r="B2075" s="2" t="n">
        <v>43224.1653125</v>
      </c>
      <c r="C2075" t="n">
        <v>0</v>
      </c>
      <c r="D2075" t="n">
        <v>13816</v>
      </c>
      <c r="E2075" t="s">
        <v>2085</v>
      </c>
      <c r="F2075" t="s"/>
      <c r="G2075" t="s"/>
      <c r="H2075" t="s"/>
      <c r="I2075" t="s"/>
      <c r="J2075" t="n">
        <v>0.2023</v>
      </c>
      <c r="K2075" t="n">
        <v>0</v>
      </c>
      <c r="L2075" t="n">
        <v>0.917</v>
      </c>
      <c r="M2075" t="n">
        <v>0.083</v>
      </c>
    </row>
    <row r="2076" spans="1:13">
      <c r="A2076" s="1">
        <f>HYPERLINK("http://www.twitter.com/NathanBLawrence/status/992251662055104513", "992251662055104513")</f>
        <v/>
      </c>
      <c r="B2076" s="2" t="n">
        <v>43224.16442129629</v>
      </c>
      <c r="C2076" t="n">
        <v>0</v>
      </c>
      <c r="D2076" t="n">
        <v>2628</v>
      </c>
      <c r="E2076" t="s">
        <v>2086</v>
      </c>
      <c r="F2076">
        <f>HYPERLINK("https://video.twimg.com/ext_tw_video/990698720416141313/pu/vid/1280x720/_gG5PzVMF1kyQw_o.mp4?tag=3", "https://video.twimg.com/ext_tw_video/990698720416141313/pu/vid/1280x720/_gG5PzVMF1kyQw_o.mp4?tag=3")</f>
        <v/>
      </c>
      <c r="G2076" t="s"/>
      <c r="H2076" t="s"/>
      <c r="I2076" t="s"/>
      <c r="J2076" t="n">
        <v>-0.5719</v>
      </c>
      <c r="K2076" t="n">
        <v>0.125</v>
      </c>
      <c r="L2076" t="n">
        <v>0.875</v>
      </c>
      <c r="M2076" t="n">
        <v>0</v>
      </c>
    </row>
    <row r="2077" spans="1:13">
      <c r="A2077" s="1">
        <f>HYPERLINK("http://www.twitter.com/NathanBLawrence/status/992250955482591233", "992250955482591233")</f>
        <v/>
      </c>
      <c r="B2077" s="2" t="n">
        <v>43224.16246527778</v>
      </c>
      <c r="C2077" t="n">
        <v>2</v>
      </c>
      <c r="D2077" t="n">
        <v>1</v>
      </c>
      <c r="E2077" t="s">
        <v>2087</v>
      </c>
      <c r="F2077" t="s"/>
      <c r="G2077" t="s"/>
      <c r="H2077" t="s"/>
      <c r="I2077" t="s"/>
      <c r="J2077" t="n">
        <v>0</v>
      </c>
      <c r="K2077" t="n">
        <v>0</v>
      </c>
      <c r="L2077" t="n">
        <v>1</v>
      </c>
      <c r="M2077" t="n">
        <v>0</v>
      </c>
    </row>
    <row r="2078" spans="1:13">
      <c r="A2078" s="1">
        <f>HYPERLINK("http://www.twitter.com/NathanBLawrence/status/992250794475864065", "992250794475864065")</f>
        <v/>
      </c>
      <c r="B2078" s="2" t="n">
        <v>43224.16202546296</v>
      </c>
      <c r="C2078" t="n">
        <v>0</v>
      </c>
      <c r="D2078" t="n">
        <v>92</v>
      </c>
      <c r="E2078" t="s">
        <v>2088</v>
      </c>
      <c r="F2078" t="s"/>
      <c r="G2078" t="s"/>
      <c r="H2078" t="s"/>
      <c r="I2078" t="s"/>
      <c r="J2078" t="n">
        <v>0</v>
      </c>
      <c r="K2078" t="n">
        <v>0</v>
      </c>
      <c r="L2078" t="n">
        <v>1</v>
      </c>
      <c r="M2078" t="n">
        <v>0</v>
      </c>
    </row>
    <row r="2079" spans="1:13">
      <c r="A2079" s="1">
        <f>HYPERLINK("http://www.twitter.com/NathanBLawrence/status/992241443237281793", "992241443237281793")</f>
        <v/>
      </c>
      <c r="B2079" s="2" t="n">
        <v>43224.13621527778</v>
      </c>
      <c r="C2079" t="n">
        <v>0</v>
      </c>
      <c r="D2079" t="n">
        <v>2</v>
      </c>
      <c r="E2079" t="s">
        <v>2089</v>
      </c>
      <c r="F2079" t="s"/>
      <c r="G2079" t="s"/>
      <c r="H2079" t="s"/>
      <c r="I2079" t="s"/>
      <c r="J2079" t="n">
        <v>0</v>
      </c>
      <c r="K2079" t="n">
        <v>0</v>
      </c>
      <c r="L2079" t="n">
        <v>1</v>
      </c>
      <c r="M2079" t="n">
        <v>0</v>
      </c>
    </row>
    <row r="2080" spans="1:13">
      <c r="A2080" s="1">
        <f>HYPERLINK("http://www.twitter.com/NathanBLawrence/status/992240922397102086", "992240922397102086")</f>
        <v/>
      </c>
      <c r="B2080" s="2" t="n">
        <v>43224.13478009259</v>
      </c>
      <c r="C2080" t="n">
        <v>3</v>
      </c>
      <c r="D2080" t="n">
        <v>2</v>
      </c>
      <c r="E2080" t="s">
        <v>2090</v>
      </c>
      <c r="F2080" t="s"/>
      <c r="G2080" t="s"/>
      <c r="H2080" t="s"/>
      <c r="I2080" t="s"/>
      <c r="J2080" t="n">
        <v>-0.6996</v>
      </c>
      <c r="K2080" t="n">
        <v>0.157</v>
      </c>
      <c r="L2080" t="n">
        <v>0.843</v>
      </c>
      <c r="M2080" t="n">
        <v>0</v>
      </c>
    </row>
    <row r="2081" spans="1:13">
      <c r="A2081" s="1">
        <f>HYPERLINK("http://www.twitter.com/NathanBLawrence/status/992240579248513024", "992240579248513024")</f>
        <v/>
      </c>
      <c r="B2081" s="2" t="n">
        <v>43224.13383101852</v>
      </c>
      <c r="C2081" t="n">
        <v>17</v>
      </c>
      <c r="D2081" t="n">
        <v>14</v>
      </c>
      <c r="E2081" t="s">
        <v>2091</v>
      </c>
      <c r="F2081" t="s"/>
      <c r="G2081" t="s"/>
      <c r="H2081" t="s"/>
      <c r="I2081" t="s"/>
      <c r="J2081" t="n">
        <v>-0.9278999999999999</v>
      </c>
      <c r="K2081" t="n">
        <v>0.314</v>
      </c>
      <c r="L2081" t="n">
        <v>0.6860000000000001</v>
      </c>
      <c r="M2081" t="n">
        <v>0</v>
      </c>
    </row>
    <row r="2082" spans="1:13">
      <c r="A2082" s="1">
        <f>HYPERLINK("http://www.twitter.com/NathanBLawrence/status/992240118013411329", "992240118013411329")</f>
        <v/>
      </c>
      <c r="B2082" s="2" t="n">
        <v>43224.13255787037</v>
      </c>
      <c r="C2082" t="n">
        <v>0</v>
      </c>
      <c r="D2082" t="n">
        <v>14896</v>
      </c>
      <c r="E2082" t="s">
        <v>2092</v>
      </c>
      <c r="F2082" t="s"/>
      <c r="G2082" t="s"/>
      <c r="H2082" t="s"/>
      <c r="I2082" t="s"/>
      <c r="J2082" t="n">
        <v>0.3818</v>
      </c>
      <c r="K2082" t="n">
        <v>0</v>
      </c>
      <c r="L2082" t="n">
        <v>0.89</v>
      </c>
      <c r="M2082" t="n">
        <v>0.11</v>
      </c>
    </row>
    <row r="2083" spans="1:13">
      <c r="A2083" s="1">
        <f>HYPERLINK("http://www.twitter.com/NathanBLawrence/status/992240017136275457", "992240017136275457")</f>
        <v/>
      </c>
      <c r="B2083" s="2" t="n">
        <v>43224.13228009259</v>
      </c>
      <c r="C2083" t="n">
        <v>5</v>
      </c>
      <c r="D2083" t="n">
        <v>2</v>
      </c>
      <c r="E2083" t="s">
        <v>2093</v>
      </c>
      <c r="F2083" t="s"/>
      <c r="G2083" t="s"/>
      <c r="H2083" t="s"/>
      <c r="I2083" t="s"/>
      <c r="J2083" t="n">
        <v>0.5707</v>
      </c>
      <c r="K2083" t="n">
        <v>0</v>
      </c>
      <c r="L2083" t="n">
        <v>0.8100000000000001</v>
      </c>
      <c r="M2083" t="n">
        <v>0.19</v>
      </c>
    </row>
    <row r="2084" spans="1:13">
      <c r="A2084" s="1">
        <f>HYPERLINK("http://www.twitter.com/NathanBLawrence/status/992239661874495489", "992239661874495489")</f>
        <v/>
      </c>
      <c r="B2084" s="2" t="n">
        <v>43224.1312962963</v>
      </c>
      <c r="C2084" t="n">
        <v>21</v>
      </c>
      <c r="D2084" t="n">
        <v>15</v>
      </c>
      <c r="E2084" t="s">
        <v>2094</v>
      </c>
      <c r="F2084" t="s"/>
      <c r="G2084" t="s"/>
      <c r="H2084" t="s"/>
      <c r="I2084" t="s"/>
      <c r="J2084" t="n">
        <v>-0.8144</v>
      </c>
      <c r="K2084" t="n">
        <v>0.222</v>
      </c>
      <c r="L2084" t="n">
        <v>0.778</v>
      </c>
      <c r="M2084" t="n">
        <v>0</v>
      </c>
    </row>
    <row r="2085" spans="1:13">
      <c r="A2085" s="1">
        <f>HYPERLINK("http://www.twitter.com/NathanBLawrence/status/992238818550927360", "992238818550927360")</f>
        <v/>
      </c>
      <c r="B2085" s="2" t="n">
        <v>43224.1289699074</v>
      </c>
      <c r="C2085" t="n">
        <v>9</v>
      </c>
      <c r="D2085" t="n">
        <v>3</v>
      </c>
      <c r="E2085" t="s">
        <v>2095</v>
      </c>
      <c r="F2085" t="s"/>
      <c r="G2085" t="s"/>
      <c r="H2085" t="s"/>
      <c r="I2085" t="s"/>
      <c r="J2085" t="n">
        <v>-0.7345</v>
      </c>
      <c r="K2085" t="n">
        <v>0.436</v>
      </c>
      <c r="L2085" t="n">
        <v>0.5639999999999999</v>
      </c>
      <c r="M2085" t="n">
        <v>0</v>
      </c>
    </row>
    <row r="2086" spans="1:13">
      <c r="A2086" s="1">
        <f>HYPERLINK("http://www.twitter.com/NathanBLawrence/status/992238571435081728", "992238571435081728")</f>
        <v/>
      </c>
      <c r="B2086" s="2" t="n">
        <v>43224.12828703703</v>
      </c>
      <c r="C2086" t="n">
        <v>23</v>
      </c>
      <c r="D2086" t="n">
        <v>14</v>
      </c>
      <c r="E2086" t="s">
        <v>2096</v>
      </c>
      <c r="F2086" t="s"/>
      <c r="G2086" t="s"/>
      <c r="H2086" t="s"/>
      <c r="I2086" t="s"/>
      <c r="J2086" t="n">
        <v>-0.9016999999999999</v>
      </c>
      <c r="K2086" t="n">
        <v>0.309</v>
      </c>
      <c r="L2086" t="n">
        <v>0.6909999999999999</v>
      </c>
      <c r="M2086" t="n">
        <v>0</v>
      </c>
    </row>
    <row r="2087" spans="1:13">
      <c r="A2087" s="1">
        <f>HYPERLINK("http://www.twitter.com/NathanBLawrence/status/992238080915468289", "992238080915468289")</f>
        <v/>
      </c>
      <c r="B2087" s="2" t="n">
        <v>43224.12694444445</v>
      </c>
      <c r="C2087" t="n">
        <v>9</v>
      </c>
      <c r="D2087" t="n">
        <v>1</v>
      </c>
      <c r="E2087" t="s">
        <v>2097</v>
      </c>
      <c r="F2087" t="s"/>
      <c r="G2087" t="s"/>
      <c r="H2087" t="s"/>
      <c r="I2087" t="s"/>
      <c r="J2087" t="n">
        <v>-0.9016999999999999</v>
      </c>
      <c r="K2087" t="n">
        <v>0.347</v>
      </c>
      <c r="L2087" t="n">
        <v>0.653</v>
      </c>
      <c r="M2087" t="n">
        <v>0</v>
      </c>
    </row>
    <row r="2088" spans="1:13">
      <c r="A2088" s="1">
        <f>HYPERLINK("http://www.twitter.com/NathanBLawrence/status/992237894357008385", "992237894357008385")</f>
        <v/>
      </c>
      <c r="B2088" s="2" t="n">
        <v>43224.12642361111</v>
      </c>
      <c r="C2088" t="n">
        <v>0</v>
      </c>
      <c r="D2088" t="n">
        <v>6005</v>
      </c>
      <c r="E2088" t="s">
        <v>2098</v>
      </c>
      <c r="F2088">
        <f>HYPERLINK("http://pbs.twimg.com/media/DcSiNlcUQAIMLSv.jpg", "http://pbs.twimg.com/media/DcSiNlcUQAIMLSv.jpg")</f>
        <v/>
      </c>
      <c r="G2088" t="s"/>
      <c r="H2088" t="s"/>
      <c r="I2088" t="s"/>
      <c r="J2088" t="n">
        <v>-0.8225</v>
      </c>
      <c r="K2088" t="n">
        <v>0.603</v>
      </c>
      <c r="L2088" t="n">
        <v>0.397</v>
      </c>
      <c r="M2088" t="n">
        <v>0</v>
      </c>
    </row>
    <row r="2089" spans="1:13">
      <c r="A2089" s="1">
        <f>HYPERLINK("http://www.twitter.com/NathanBLawrence/status/992237512478285825", "992237512478285825")</f>
        <v/>
      </c>
      <c r="B2089" s="2" t="n">
        <v>43224.12537037037</v>
      </c>
      <c r="C2089" t="n">
        <v>7</v>
      </c>
      <c r="D2089" t="n">
        <v>5</v>
      </c>
      <c r="E2089" t="s">
        <v>2099</v>
      </c>
      <c r="F2089" t="s"/>
      <c r="G2089" t="s"/>
      <c r="H2089" t="s"/>
      <c r="I2089" t="s"/>
      <c r="J2089" t="n">
        <v>0.4574</v>
      </c>
      <c r="K2089" t="n">
        <v>0</v>
      </c>
      <c r="L2089" t="n">
        <v>0.875</v>
      </c>
      <c r="M2089" t="n">
        <v>0.125</v>
      </c>
    </row>
    <row r="2090" spans="1:13">
      <c r="A2090" s="1">
        <f>HYPERLINK("http://www.twitter.com/NathanBLawrence/status/992237340453056512", "992237340453056512")</f>
        <v/>
      </c>
      <c r="B2090" s="2" t="n">
        <v>43224.12489583333</v>
      </c>
      <c r="C2090" t="n">
        <v>0</v>
      </c>
      <c r="D2090" t="n">
        <v>1301</v>
      </c>
      <c r="E2090" t="s">
        <v>2100</v>
      </c>
      <c r="F2090">
        <f>HYPERLINK("http://pbs.twimg.com/media/DcUU1OPUQAAbKRe.jpg", "http://pbs.twimg.com/media/DcUU1OPUQAAbKRe.jpg")</f>
        <v/>
      </c>
      <c r="G2090" t="s"/>
      <c r="H2090" t="s"/>
      <c r="I2090" t="s"/>
      <c r="J2090" t="n">
        <v>0.6369</v>
      </c>
      <c r="K2090" t="n">
        <v>0</v>
      </c>
      <c r="L2090" t="n">
        <v>0.588</v>
      </c>
      <c r="M2090" t="n">
        <v>0.412</v>
      </c>
    </row>
    <row r="2091" spans="1:13">
      <c r="A2091" s="1">
        <f>HYPERLINK("http://www.twitter.com/NathanBLawrence/status/992237149977133057", "992237149977133057")</f>
        <v/>
      </c>
      <c r="B2091" s="2" t="n">
        <v>43224.124375</v>
      </c>
      <c r="C2091" t="n">
        <v>0</v>
      </c>
      <c r="D2091" t="n">
        <v>16</v>
      </c>
      <c r="E2091" t="s">
        <v>2101</v>
      </c>
      <c r="F2091" t="s"/>
      <c r="G2091" t="s"/>
      <c r="H2091" t="s"/>
      <c r="I2091" t="s"/>
      <c r="J2091" t="n">
        <v>0</v>
      </c>
      <c r="K2091" t="n">
        <v>0</v>
      </c>
      <c r="L2091" t="n">
        <v>1</v>
      </c>
      <c r="M2091" t="n">
        <v>0</v>
      </c>
    </row>
    <row r="2092" spans="1:13">
      <c r="A2092" s="1">
        <f>HYPERLINK("http://www.twitter.com/NathanBLawrence/status/992236984251764738", "992236984251764738")</f>
        <v/>
      </c>
      <c r="B2092" s="2" t="n">
        <v>43224.12391203704</v>
      </c>
      <c r="C2092" t="n">
        <v>0</v>
      </c>
      <c r="D2092" t="n">
        <v>5672</v>
      </c>
      <c r="E2092" t="s">
        <v>2102</v>
      </c>
      <c r="F2092" t="s"/>
      <c r="G2092" t="s"/>
      <c r="H2092" t="s"/>
      <c r="I2092" t="s"/>
      <c r="J2092" t="n">
        <v>0.296</v>
      </c>
      <c r="K2092" t="n">
        <v>0</v>
      </c>
      <c r="L2092" t="n">
        <v>0.901</v>
      </c>
      <c r="M2092" t="n">
        <v>0.099</v>
      </c>
    </row>
    <row r="2093" spans="1:13">
      <c r="A2093" s="1">
        <f>HYPERLINK("http://www.twitter.com/NathanBLawrence/status/992236893109538816", "992236893109538816")</f>
        <v/>
      </c>
      <c r="B2093" s="2" t="n">
        <v>43224.12365740741</v>
      </c>
      <c r="C2093" t="n">
        <v>8</v>
      </c>
      <c r="D2093" t="n">
        <v>4</v>
      </c>
      <c r="E2093" t="s">
        <v>2103</v>
      </c>
      <c r="F2093" t="s"/>
      <c r="G2093" t="s"/>
      <c r="H2093" t="s"/>
      <c r="I2093" t="s"/>
      <c r="J2093" t="n">
        <v>0.4738</v>
      </c>
      <c r="K2093" t="n">
        <v>0</v>
      </c>
      <c r="L2093" t="n">
        <v>0.8080000000000001</v>
      </c>
      <c r="M2093" t="n">
        <v>0.192</v>
      </c>
    </row>
    <row r="2094" spans="1:13">
      <c r="A2094" s="1">
        <f>HYPERLINK("http://www.twitter.com/NathanBLawrence/status/992236677652402176", "992236677652402176")</f>
        <v/>
      </c>
      <c r="B2094" s="2" t="n">
        <v>43224.12306712963</v>
      </c>
      <c r="C2094" t="n">
        <v>0</v>
      </c>
      <c r="D2094" t="n">
        <v>3573</v>
      </c>
      <c r="E2094" t="s">
        <v>2104</v>
      </c>
      <c r="F2094" t="s"/>
      <c r="G2094" t="s"/>
      <c r="H2094" t="s"/>
      <c r="I2094" t="s"/>
      <c r="J2094" t="n">
        <v>0</v>
      </c>
      <c r="K2094" t="n">
        <v>0</v>
      </c>
      <c r="L2094" t="n">
        <v>1</v>
      </c>
      <c r="M2094" t="n">
        <v>0</v>
      </c>
    </row>
    <row r="2095" spans="1:13">
      <c r="A2095" s="1">
        <f>HYPERLINK("http://www.twitter.com/NathanBLawrence/status/992236584433954817", "992236584433954817")</f>
        <v/>
      </c>
      <c r="B2095" s="2" t="n">
        <v>43224.1228125</v>
      </c>
      <c r="C2095" t="n">
        <v>0</v>
      </c>
      <c r="D2095" t="n">
        <v>12</v>
      </c>
      <c r="E2095" t="s">
        <v>2105</v>
      </c>
      <c r="F2095" t="s"/>
      <c r="G2095" t="s"/>
      <c r="H2095" t="s"/>
      <c r="I2095" t="s"/>
      <c r="J2095" t="n">
        <v>0</v>
      </c>
      <c r="K2095" t="n">
        <v>0</v>
      </c>
      <c r="L2095" t="n">
        <v>1</v>
      </c>
      <c r="M2095" t="n">
        <v>0</v>
      </c>
    </row>
    <row r="2096" spans="1:13">
      <c r="A2096" s="1">
        <f>HYPERLINK("http://www.twitter.com/NathanBLawrence/status/992236467169591302", "992236467169591302")</f>
        <v/>
      </c>
      <c r="B2096" s="2" t="n">
        <v>43224.12248842593</v>
      </c>
      <c r="C2096" t="n">
        <v>0</v>
      </c>
      <c r="D2096" t="n">
        <v>2016</v>
      </c>
      <c r="E2096" t="s">
        <v>2106</v>
      </c>
      <c r="F2096" t="s"/>
      <c r="G2096" t="s"/>
      <c r="H2096" t="s"/>
      <c r="I2096" t="s"/>
      <c r="J2096" t="n">
        <v>-0.4479</v>
      </c>
      <c r="K2096" t="n">
        <v>0.118</v>
      </c>
      <c r="L2096" t="n">
        <v>0.882</v>
      </c>
      <c r="M2096" t="n">
        <v>0</v>
      </c>
    </row>
    <row r="2097" spans="1:13">
      <c r="A2097" s="1">
        <f>HYPERLINK("http://www.twitter.com/NathanBLawrence/status/992236324961710085", "992236324961710085")</f>
        <v/>
      </c>
      <c r="B2097" s="2" t="n">
        <v>43224.1220949074</v>
      </c>
      <c r="C2097" t="n">
        <v>0</v>
      </c>
      <c r="D2097" t="n">
        <v>36</v>
      </c>
      <c r="E2097" t="s">
        <v>2107</v>
      </c>
      <c r="F2097" t="s"/>
      <c r="G2097" t="s"/>
      <c r="H2097" t="s"/>
      <c r="I2097" t="s"/>
      <c r="J2097" t="n">
        <v>0</v>
      </c>
      <c r="K2097" t="n">
        <v>0</v>
      </c>
      <c r="L2097" t="n">
        <v>1</v>
      </c>
      <c r="M2097" t="n">
        <v>0</v>
      </c>
    </row>
    <row r="2098" spans="1:13">
      <c r="A2098" s="1">
        <f>HYPERLINK("http://www.twitter.com/NathanBLawrence/status/992236040592154624", "992236040592154624")</f>
        <v/>
      </c>
      <c r="B2098" s="2" t="n">
        <v>43224.12130787037</v>
      </c>
      <c r="C2098" t="n">
        <v>6</v>
      </c>
      <c r="D2098" t="n">
        <v>2</v>
      </c>
      <c r="E2098" t="s">
        <v>2108</v>
      </c>
      <c r="F2098" t="s"/>
      <c r="G2098" t="s"/>
      <c r="H2098" t="s"/>
      <c r="I2098" t="s"/>
      <c r="J2098" t="n">
        <v>-0.4559</v>
      </c>
      <c r="K2098" t="n">
        <v>0.166</v>
      </c>
      <c r="L2098" t="n">
        <v>0.834</v>
      </c>
      <c r="M2098" t="n">
        <v>0</v>
      </c>
    </row>
    <row r="2099" spans="1:13">
      <c r="A2099" s="1">
        <f>HYPERLINK("http://www.twitter.com/NathanBLawrence/status/992235801747439616", "992235801747439616")</f>
        <v/>
      </c>
      <c r="B2099" s="2" t="n">
        <v>43224.12064814815</v>
      </c>
      <c r="C2099" t="n">
        <v>16</v>
      </c>
      <c r="D2099" t="n">
        <v>9</v>
      </c>
      <c r="E2099" t="s">
        <v>2109</v>
      </c>
      <c r="F2099" t="s"/>
      <c r="G2099" t="s"/>
      <c r="H2099" t="s"/>
      <c r="I2099" t="s"/>
      <c r="J2099" t="n">
        <v>0</v>
      </c>
      <c r="K2099" t="n">
        <v>0</v>
      </c>
      <c r="L2099" t="n">
        <v>1</v>
      </c>
      <c r="M2099" t="n">
        <v>0</v>
      </c>
    </row>
    <row r="2100" spans="1:13">
      <c r="A2100" s="1">
        <f>HYPERLINK("http://www.twitter.com/NathanBLawrence/status/992235476407934976", "992235476407934976")</f>
        <v/>
      </c>
      <c r="B2100" s="2" t="n">
        <v>43224.11975694444</v>
      </c>
      <c r="C2100" t="n">
        <v>5</v>
      </c>
      <c r="D2100" t="n">
        <v>3</v>
      </c>
      <c r="E2100" t="s">
        <v>2110</v>
      </c>
      <c r="F2100" t="s"/>
      <c r="G2100" t="s"/>
      <c r="H2100" t="s"/>
      <c r="I2100" t="s"/>
      <c r="J2100" t="n">
        <v>0</v>
      </c>
      <c r="K2100" t="n">
        <v>0</v>
      </c>
      <c r="L2100" t="n">
        <v>1</v>
      </c>
      <c r="M2100" t="n">
        <v>0</v>
      </c>
    </row>
    <row r="2101" spans="1:13">
      <c r="A2101" s="1">
        <f>HYPERLINK("http://www.twitter.com/NathanBLawrence/status/992235378840031232", "992235378840031232")</f>
        <v/>
      </c>
      <c r="B2101" s="2" t="n">
        <v>43224.11947916666</v>
      </c>
      <c r="C2101" t="n">
        <v>10</v>
      </c>
      <c r="D2101" t="n">
        <v>6</v>
      </c>
      <c r="E2101" t="s">
        <v>2111</v>
      </c>
      <c r="F2101" t="s"/>
      <c r="G2101" t="s"/>
      <c r="H2101" t="s"/>
      <c r="I2101" t="s"/>
      <c r="J2101" t="n">
        <v>-0.8591</v>
      </c>
      <c r="K2101" t="n">
        <v>0.373</v>
      </c>
      <c r="L2101" t="n">
        <v>0.627</v>
      </c>
      <c r="M2101" t="n">
        <v>0</v>
      </c>
    </row>
    <row r="2102" spans="1:13">
      <c r="A2102" s="1">
        <f>HYPERLINK("http://www.twitter.com/NathanBLawrence/status/992235299236282368", "992235299236282368")</f>
        <v/>
      </c>
      <c r="B2102" s="2" t="n">
        <v>43224.11925925926</v>
      </c>
      <c r="C2102" t="n">
        <v>5</v>
      </c>
      <c r="D2102" t="n">
        <v>4</v>
      </c>
      <c r="E2102" t="s">
        <v>2112</v>
      </c>
      <c r="F2102" t="s"/>
      <c r="G2102" t="s"/>
      <c r="H2102" t="s"/>
      <c r="I2102" t="s"/>
      <c r="J2102" t="n">
        <v>0</v>
      </c>
      <c r="K2102" t="n">
        <v>0</v>
      </c>
      <c r="L2102" t="n">
        <v>1</v>
      </c>
      <c r="M2102" t="n">
        <v>0</v>
      </c>
    </row>
    <row r="2103" spans="1:13">
      <c r="A2103" s="1">
        <f>HYPERLINK("http://www.twitter.com/NathanBLawrence/status/992235174841671680", "992235174841671680")</f>
        <v/>
      </c>
      <c r="B2103" s="2" t="n">
        <v>43224.11892361111</v>
      </c>
      <c r="C2103" t="n">
        <v>9</v>
      </c>
      <c r="D2103" t="n">
        <v>8</v>
      </c>
      <c r="E2103" t="s">
        <v>2113</v>
      </c>
      <c r="F2103" t="s"/>
      <c r="G2103" t="s"/>
      <c r="H2103" t="s"/>
      <c r="I2103" t="s"/>
      <c r="J2103" t="n">
        <v>0</v>
      </c>
      <c r="K2103" t="n">
        <v>0</v>
      </c>
      <c r="L2103" t="n">
        <v>1</v>
      </c>
      <c r="M2103" t="n">
        <v>0</v>
      </c>
    </row>
    <row r="2104" spans="1:13">
      <c r="A2104" s="1">
        <f>HYPERLINK("http://www.twitter.com/NathanBLawrence/status/992235026241601537", "992235026241601537")</f>
        <v/>
      </c>
      <c r="B2104" s="2" t="n">
        <v>43224.11850694445</v>
      </c>
      <c r="C2104" t="n">
        <v>6</v>
      </c>
      <c r="D2104" t="n">
        <v>5</v>
      </c>
      <c r="E2104" t="s">
        <v>2114</v>
      </c>
      <c r="F2104" t="s"/>
      <c r="G2104" t="s"/>
      <c r="H2104" t="s"/>
      <c r="I2104" t="s"/>
      <c r="J2104" t="n">
        <v>-0.34</v>
      </c>
      <c r="K2104" t="n">
        <v>0.103</v>
      </c>
      <c r="L2104" t="n">
        <v>0.897</v>
      </c>
      <c r="M2104" t="n">
        <v>0</v>
      </c>
    </row>
    <row r="2105" spans="1:13">
      <c r="A2105" s="1">
        <f>HYPERLINK("http://www.twitter.com/NathanBLawrence/status/992234970516090880", "992234970516090880")</f>
        <v/>
      </c>
      <c r="B2105" s="2" t="n">
        <v>43224.11835648148</v>
      </c>
      <c r="C2105" t="n">
        <v>6</v>
      </c>
      <c r="D2105" t="n">
        <v>4</v>
      </c>
      <c r="E2105" t="s">
        <v>2115</v>
      </c>
      <c r="F2105" t="s"/>
      <c r="G2105" t="s"/>
      <c r="H2105" t="s"/>
      <c r="I2105" t="s"/>
      <c r="J2105" t="n">
        <v>0</v>
      </c>
      <c r="K2105" t="n">
        <v>0</v>
      </c>
      <c r="L2105" t="n">
        <v>1</v>
      </c>
      <c r="M2105" t="n">
        <v>0</v>
      </c>
    </row>
    <row r="2106" spans="1:13">
      <c r="A2106" s="1">
        <f>HYPERLINK("http://www.twitter.com/NathanBLawrence/status/992234914564067329", "992234914564067329")</f>
        <v/>
      </c>
      <c r="B2106" s="2" t="n">
        <v>43224.11820601852</v>
      </c>
      <c r="C2106" t="n">
        <v>5</v>
      </c>
      <c r="D2106" t="n">
        <v>5</v>
      </c>
      <c r="E2106" t="s">
        <v>2116</v>
      </c>
      <c r="F2106" t="s"/>
      <c r="G2106" t="s"/>
      <c r="H2106" t="s"/>
      <c r="I2106" t="s"/>
      <c r="J2106" t="n">
        <v>0</v>
      </c>
      <c r="K2106" t="n">
        <v>0</v>
      </c>
      <c r="L2106" t="n">
        <v>1</v>
      </c>
      <c r="M2106" t="n">
        <v>0</v>
      </c>
    </row>
    <row r="2107" spans="1:13">
      <c r="A2107" s="1">
        <f>HYPERLINK("http://www.twitter.com/NathanBLawrence/status/992234873652789249", "992234873652789249")</f>
        <v/>
      </c>
      <c r="B2107" s="2" t="n">
        <v>43224.11809027778</v>
      </c>
      <c r="C2107" t="n">
        <v>18</v>
      </c>
      <c r="D2107" t="n">
        <v>10</v>
      </c>
      <c r="E2107" t="s">
        <v>2117</v>
      </c>
      <c r="F2107" t="s"/>
      <c r="G2107" t="s"/>
      <c r="H2107" t="s"/>
      <c r="I2107" t="s"/>
      <c r="J2107" t="n">
        <v>-0.3612</v>
      </c>
      <c r="K2107" t="n">
        <v>0.111</v>
      </c>
      <c r="L2107" t="n">
        <v>0.889</v>
      </c>
      <c r="M2107" t="n">
        <v>0</v>
      </c>
    </row>
    <row r="2108" spans="1:13">
      <c r="A2108" s="1">
        <f>HYPERLINK("http://www.twitter.com/NathanBLawrence/status/992234802303483904", "992234802303483904")</f>
        <v/>
      </c>
      <c r="B2108" s="2" t="n">
        <v>43224.11789351852</v>
      </c>
      <c r="C2108" t="n">
        <v>11</v>
      </c>
      <c r="D2108" t="n">
        <v>5</v>
      </c>
      <c r="E2108" t="s">
        <v>2038</v>
      </c>
      <c r="F2108" t="s"/>
      <c r="G2108" t="s"/>
      <c r="H2108" t="s"/>
      <c r="I2108" t="s"/>
      <c r="J2108" t="n">
        <v>-0.4404</v>
      </c>
      <c r="K2108" t="n">
        <v>0.182</v>
      </c>
      <c r="L2108" t="n">
        <v>0.8179999999999999</v>
      </c>
      <c r="M2108" t="n">
        <v>0</v>
      </c>
    </row>
    <row r="2109" spans="1:13">
      <c r="A2109" s="1">
        <f>HYPERLINK("http://www.twitter.com/NathanBLawrence/status/992234682686160897", "992234682686160897")</f>
        <v/>
      </c>
      <c r="B2109" s="2" t="n">
        <v>43224.11755787037</v>
      </c>
      <c r="C2109" t="n">
        <v>4</v>
      </c>
      <c r="D2109" t="n">
        <v>3</v>
      </c>
      <c r="E2109" t="s">
        <v>2118</v>
      </c>
      <c r="F2109" t="s"/>
      <c r="G2109" t="s"/>
      <c r="H2109" t="s"/>
      <c r="I2109" t="s"/>
      <c r="J2109" t="n">
        <v>-0.4588</v>
      </c>
      <c r="K2109" t="n">
        <v>0.3</v>
      </c>
      <c r="L2109" t="n">
        <v>0.7</v>
      </c>
      <c r="M2109" t="n">
        <v>0</v>
      </c>
    </row>
    <row r="2110" spans="1:13">
      <c r="A2110" s="1">
        <f>HYPERLINK("http://www.twitter.com/NathanBLawrence/status/992234439211036677", "992234439211036677")</f>
        <v/>
      </c>
      <c r="B2110" s="2" t="n">
        <v>43224.11688657408</v>
      </c>
      <c r="C2110" t="n">
        <v>3</v>
      </c>
      <c r="D2110" t="n">
        <v>5</v>
      </c>
      <c r="E2110" t="s">
        <v>2119</v>
      </c>
      <c r="F2110" t="s"/>
      <c r="G2110" t="s"/>
      <c r="H2110" t="s"/>
      <c r="I2110" t="s"/>
      <c r="J2110" t="n">
        <v>-0.6369</v>
      </c>
      <c r="K2110" t="n">
        <v>0.286</v>
      </c>
      <c r="L2110" t="n">
        <v>0.714</v>
      </c>
      <c r="M2110" t="n">
        <v>0</v>
      </c>
    </row>
    <row r="2111" spans="1:13">
      <c r="A2111" s="1">
        <f>HYPERLINK("http://www.twitter.com/NathanBLawrence/status/992234375415676928", "992234375415676928")</f>
        <v/>
      </c>
      <c r="B2111" s="2" t="n">
        <v>43224.11671296296</v>
      </c>
      <c r="C2111" t="n">
        <v>10</v>
      </c>
      <c r="D2111" t="n">
        <v>7</v>
      </c>
      <c r="E2111" t="s">
        <v>2120</v>
      </c>
      <c r="F2111" t="s"/>
      <c r="G2111" t="s"/>
      <c r="H2111" t="s"/>
      <c r="I2111" t="s"/>
      <c r="J2111" t="n">
        <v>0.1613</v>
      </c>
      <c r="K2111" t="n">
        <v>0.121</v>
      </c>
      <c r="L2111" t="n">
        <v>0.732</v>
      </c>
      <c r="M2111" t="n">
        <v>0.148</v>
      </c>
    </row>
    <row r="2112" spans="1:13">
      <c r="A2112" s="1">
        <f>HYPERLINK("http://www.twitter.com/NathanBLawrence/status/992234244024881153", "992234244024881153")</f>
        <v/>
      </c>
      <c r="B2112" s="2" t="n">
        <v>43224.11635416667</v>
      </c>
      <c r="C2112" t="n">
        <v>6</v>
      </c>
      <c r="D2112" t="n">
        <v>7</v>
      </c>
      <c r="E2112" t="s">
        <v>2121</v>
      </c>
      <c r="F2112" t="s"/>
      <c r="G2112" t="s"/>
      <c r="H2112" t="s"/>
      <c r="I2112" t="s"/>
      <c r="J2112" t="n">
        <v>0</v>
      </c>
      <c r="K2112" t="n">
        <v>0</v>
      </c>
      <c r="L2112" t="n">
        <v>1</v>
      </c>
      <c r="M2112" t="n">
        <v>0</v>
      </c>
    </row>
    <row r="2113" spans="1:13">
      <c r="A2113" s="1">
        <f>HYPERLINK("http://www.twitter.com/NathanBLawrence/status/992234090798628864", "992234090798628864")</f>
        <v/>
      </c>
      <c r="B2113" s="2" t="n">
        <v>43224.11592592593</v>
      </c>
      <c r="C2113" t="n">
        <v>0</v>
      </c>
      <c r="D2113" t="n">
        <v>51</v>
      </c>
      <c r="E2113" t="s">
        <v>2122</v>
      </c>
      <c r="F2113">
        <f>HYPERLINK("http://pbs.twimg.com/media/DcUbquJUwAAXi9U.jpg", "http://pbs.twimg.com/media/DcUbquJUwAAXi9U.jpg")</f>
        <v/>
      </c>
      <c r="G2113" t="s"/>
      <c r="H2113" t="s"/>
      <c r="I2113" t="s"/>
      <c r="J2113" t="n">
        <v>0.6249</v>
      </c>
      <c r="K2113" t="n">
        <v>0.101</v>
      </c>
      <c r="L2113" t="n">
        <v>0.658</v>
      </c>
      <c r="M2113" t="n">
        <v>0.241</v>
      </c>
    </row>
    <row r="2114" spans="1:13">
      <c r="A2114" s="1">
        <f>HYPERLINK("http://www.twitter.com/NathanBLawrence/status/992234009101877253", "992234009101877253")</f>
        <v/>
      </c>
      <c r="B2114" s="2" t="n">
        <v>43224.11570601852</v>
      </c>
      <c r="C2114" t="n">
        <v>3</v>
      </c>
      <c r="D2114" t="n">
        <v>5</v>
      </c>
      <c r="E2114" t="s">
        <v>2123</v>
      </c>
      <c r="F2114" t="s"/>
      <c r="G2114" t="s"/>
      <c r="H2114" t="s"/>
      <c r="I2114" t="s"/>
      <c r="J2114" t="n">
        <v>-0.6351</v>
      </c>
      <c r="K2114" t="n">
        <v>0.337</v>
      </c>
      <c r="L2114" t="n">
        <v>0.541</v>
      </c>
      <c r="M2114" t="n">
        <v>0.122</v>
      </c>
    </row>
    <row r="2115" spans="1:13">
      <c r="A2115" s="1">
        <f>HYPERLINK("http://www.twitter.com/NathanBLawrence/status/992233798006788096", "992233798006788096")</f>
        <v/>
      </c>
      <c r="B2115" s="2" t="n">
        <v>43224.11511574074</v>
      </c>
      <c r="C2115" t="n">
        <v>20</v>
      </c>
      <c r="D2115" t="n">
        <v>13</v>
      </c>
      <c r="E2115" t="s">
        <v>2124</v>
      </c>
      <c r="F2115" t="s"/>
      <c r="G2115" t="s"/>
      <c r="H2115" t="s"/>
      <c r="I2115" t="s"/>
      <c r="J2115" t="n">
        <v>-0.9633</v>
      </c>
      <c r="K2115" t="n">
        <v>0.499</v>
      </c>
      <c r="L2115" t="n">
        <v>0.501</v>
      </c>
      <c r="M2115" t="n">
        <v>0</v>
      </c>
    </row>
    <row r="2116" spans="1:13">
      <c r="A2116" s="1">
        <f>HYPERLINK("http://www.twitter.com/NathanBLawrence/status/992212816655511553", "992212816655511553")</f>
        <v/>
      </c>
      <c r="B2116" s="2" t="n">
        <v>43224.05722222223</v>
      </c>
      <c r="C2116" t="n">
        <v>7</v>
      </c>
      <c r="D2116" t="n">
        <v>2</v>
      </c>
      <c r="E2116" t="s">
        <v>2125</v>
      </c>
      <c r="F2116" t="s"/>
      <c r="G2116" t="s"/>
      <c r="H2116" t="s"/>
      <c r="I2116" t="s"/>
      <c r="J2116" t="n">
        <v>0.2682</v>
      </c>
      <c r="K2116" t="n">
        <v>0.078</v>
      </c>
      <c r="L2116" t="n">
        <v>0.8</v>
      </c>
      <c r="M2116" t="n">
        <v>0.123</v>
      </c>
    </row>
    <row r="2117" spans="1:13">
      <c r="A2117" s="1">
        <f>HYPERLINK("http://www.twitter.com/NathanBLawrence/status/992211545731018752", "992211545731018752")</f>
        <v/>
      </c>
      <c r="B2117" s="2" t="n">
        <v>43224.05371527778</v>
      </c>
      <c r="C2117" t="n">
        <v>0</v>
      </c>
      <c r="D2117" t="n">
        <v>586</v>
      </c>
      <c r="E2117" t="s">
        <v>2126</v>
      </c>
      <c r="F2117" t="s"/>
      <c r="G2117" t="s"/>
      <c r="H2117" t="s"/>
      <c r="I2117" t="s"/>
      <c r="J2117" t="n">
        <v>0.5994</v>
      </c>
      <c r="K2117" t="n">
        <v>0</v>
      </c>
      <c r="L2117" t="n">
        <v>0.766</v>
      </c>
      <c r="M2117" t="n">
        <v>0.234</v>
      </c>
    </row>
    <row r="2118" spans="1:13">
      <c r="A2118" s="1">
        <f>HYPERLINK("http://www.twitter.com/NathanBLawrence/status/992211383084138497", "992211383084138497")</f>
        <v/>
      </c>
      <c r="B2118" s="2" t="n">
        <v>43224.05326388889</v>
      </c>
      <c r="C2118" t="n">
        <v>0</v>
      </c>
      <c r="D2118" t="n">
        <v>41</v>
      </c>
      <c r="E2118" t="s">
        <v>2127</v>
      </c>
      <c r="F2118" t="s"/>
      <c r="G2118" t="s"/>
      <c r="H2118" t="s"/>
      <c r="I2118" t="s"/>
      <c r="J2118" t="n">
        <v>-0.6124000000000001</v>
      </c>
      <c r="K2118" t="n">
        <v>0.229</v>
      </c>
      <c r="L2118" t="n">
        <v>0.701</v>
      </c>
      <c r="M2118" t="n">
        <v>0.07000000000000001</v>
      </c>
    </row>
    <row r="2119" spans="1:13">
      <c r="A2119" s="1">
        <f>HYPERLINK("http://www.twitter.com/NathanBLawrence/status/992211183708000256", "992211183708000256")</f>
        <v/>
      </c>
      <c r="B2119" s="2" t="n">
        <v>43224.05271990741</v>
      </c>
      <c r="C2119" t="n">
        <v>0</v>
      </c>
      <c r="D2119" t="n">
        <v>629</v>
      </c>
      <c r="E2119" t="s">
        <v>2128</v>
      </c>
      <c r="F2119" t="s"/>
      <c r="G2119" t="s"/>
      <c r="H2119" t="s"/>
      <c r="I2119" t="s"/>
      <c r="J2119" t="n">
        <v>-0.4767</v>
      </c>
      <c r="K2119" t="n">
        <v>0.181</v>
      </c>
      <c r="L2119" t="n">
        <v>0.819</v>
      </c>
      <c r="M2119" t="n">
        <v>0</v>
      </c>
    </row>
    <row r="2120" spans="1:13">
      <c r="A2120" s="1">
        <f>HYPERLINK("http://www.twitter.com/NathanBLawrence/status/992211126153691137", "992211126153691137")</f>
        <v/>
      </c>
      <c r="B2120" s="2" t="n">
        <v>43224.05255787037</v>
      </c>
      <c r="C2120" t="n">
        <v>6</v>
      </c>
      <c r="D2120" t="n">
        <v>1</v>
      </c>
      <c r="E2120" t="s">
        <v>2129</v>
      </c>
      <c r="F2120" t="s"/>
      <c r="G2120" t="s"/>
      <c r="H2120" t="s"/>
      <c r="I2120" t="s"/>
      <c r="J2120" t="n">
        <v>-0.5707</v>
      </c>
      <c r="K2120" t="n">
        <v>0.299</v>
      </c>
      <c r="L2120" t="n">
        <v>0.701</v>
      </c>
      <c r="M2120" t="n">
        <v>0</v>
      </c>
    </row>
    <row r="2121" spans="1:13">
      <c r="A2121" s="1">
        <f>HYPERLINK("http://www.twitter.com/NathanBLawrence/status/992210868250144769", "992210868250144769")</f>
        <v/>
      </c>
      <c r="B2121" s="2" t="n">
        <v>43224.05185185185</v>
      </c>
      <c r="C2121" t="n">
        <v>5</v>
      </c>
      <c r="D2121" t="n">
        <v>5</v>
      </c>
      <c r="E2121" t="s">
        <v>2130</v>
      </c>
      <c r="F2121" t="s"/>
      <c r="G2121" t="s"/>
      <c r="H2121" t="s"/>
      <c r="I2121" t="s"/>
      <c r="J2121" t="n">
        <v>0.5848</v>
      </c>
      <c r="K2121" t="n">
        <v>0</v>
      </c>
      <c r="L2121" t="n">
        <v>0.731</v>
      </c>
      <c r="M2121" t="n">
        <v>0.269</v>
      </c>
    </row>
    <row r="2122" spans="1:13">
      <c r="A2122" s="1">
        <f>HYPERLINK("http://www.twitter.com/NathanBLawrence/status/992210669742112769", "992210669742112769")</f>
        <v/>
      </c>
      <c r="B2122" s="2" t="n">
        <v>43224.0512962963</v>
      </c>
      <c r="C2122" t="n">
        <v>18</v>
      </c>
      <c r="D2122" t="n">
        <v>10</v>
      </c>
      <c r="E2122" t="s">
        <v>2131</v>
      </c>
      <c r="F2122" t="s"/>
      <c r="G2122" t="s"/>
      <c r="H2122" t="s"/>
      <c r="I2122" t="s"/>
      <c r="J2122" t="n">
        <v>-0.6817</v>
      </c>
      <c r="K2122" t="n">
        <v>0.276</v>
      </c>
      <c r="L2122" t="n">
        <v>0.601</v>
      </c>
      <c r="M2122" t="n">
        <v>0.123</v>
      </c>
    </row>
    <row r="2123" spans="1:13">
      <c r="A2123" s="1">
        <f>HYPERLINK("http://www.twitter.com/NathanBLawrence/status/992210190899412992", "992210190899412992")</f>
        <v/>
      </c>
      <c r="B2123" s="2" t="n">
        <v>43224.04997685185</v>
      </c>
      <c r="C2123" t="n">
        <v>0</v>
      </c>
      <c r="D2123" t="n">
        <v>746</v>
      </c>
      <c r="E2123" t="s">
        <v>2132</v>
      </c>
      <c r="F2123" t="s"/>
      <c r="G2123" t="s"/>
      <c r="H2123" t="s"/>
      <c r="I2123" t="s"/>
      <c r="J2123" t="n">
        <v>0.6486</v>
      </c>
      <c r="K2123" t="n">
        <v>0</v>
      </c>
      <c r="L2123" t="n">
        <v>0.782</v>
      </c>
      <c r="M2123" t="n">
        <v>0.218</v>
      </c>
    </row>
    <row r="2124" spans="1:13">
      <c r="A2124" s="1">
        <f>HYPERLINK("http://www.twitter.com/NathanBLawrence/status/992210124637794305", "992210124637794305")</f>
        <v/>
      </c>
      <c r="B2124" s="2" t="n">
        <v>43224.04979166666</v>
      </c>
      <c r="C2124" t="n">
        <v>18</v>
      </c>
      <c r="D2124" t="n">
        <v>12</v>
      </c>
      <c r="E2124" t="s">
        <v>2133</v>
      </c>
      <c r="F2124" t="s"/>
      <c r="G2124" t="s"/>
      <c r="H2124" t="s"/>
      <c r="I2124" t="s"/>
      <c r="J2124" t="n">
        <v>0.8893</v>
      </c>
      <c r="K2124" t="n">
        <v>0.076</v>
      </c>
      <c r="L2124" t="n">
        <v>0.613</v>
      </c>
      <c r="M2124" t="n">
        <v>0.311</v>
      </c>
    </row>
    <row r="2125" spans="1:13">
      <c r="A2125" s="1">
        <f>HYPERLINK("http://www.twitter.com/NathanBLawrence/status/992101747702222848", "992101747702222848")</f>
        <v/>
      </c>
      <c r="B2125" s="2" t="n">
        <v>43223.75072916667</v>
      </c>
      <c r="C2125" t="n">
        <v>0</v>
      </c>
      <c r="D2125" t="n">
        <v>1233</v>
      </c>
      <c r="E2125" t="s">
        <v>2134</v>
      </c>
      <c r="F2125" t="s"/>
      <c r="G2125" t="s"/>
      <c r="H2125" t="s"/>
      <c r="I2125" t="s"/>
      <c r="J2125" t="n">
        <v>0.1531</v>
      </c>
      <c r="K2125" t="n">
        <v>0.091</v>
      </c>
      <c r="L2125" t="n">
        <v>0.794</v>
      </c>
      <c r="M2125" t="n">
        <v>0.115</v>
      </c>
    </row>
    <row r="2126" spans="1:13">
      <c r="A2126" s="1">
        <f>HYPERLINK("http://www.twitter.com/NathanBLawrence/status/992101687845208064", "992101687845208064")</f>
        <v/>
      </c>
      <c r="B2126" s="2" t="n">
        <v>43223.75056712963</v>
      </c>
      <c r="C2126" t="n">
        <v>10</v>
      </c>
      <c r="D2126" t="n">
        <v>3</v>
      </c>
      <c r="E2126" t="s">
        <v>2135</v>
      </c>
      <c r="F2126" t="s"/>
      <c r="G2126" t="s"/>
      <c r="H2126" t="s"/>
      <c r="I2126" t="s"/>
      <c r="J2126" t="n">
        <v>-0.5837</v>
      </c>
      <c r="K2126" t="n">
        <v>0.157</v>
      </c>
      <c r="L2126" t="n">
        <v>0.803</v>
      </c>
      <c r="M2126" t="n">
        <v>0.04</v>
      </c>
    </row>
    <row r="2127" spans="1:13">
      <c r="A2127" s="1">
        <f>HYPERLINK("http://www.twitter.com/NathanBLawrence/status/992101368490950656", "992101368490950656")</f>
        <v/>
      </c>
      <c r="B2127" s="2" t="n">
        <v>43223.7496875</v>
      </c>
      <c r="C2127" t="n">
        <v>4</v>
      </c>
      <c r="D2127" t="n">
        <v>0</v>
      </c>
      <c r="E2127" t="s">
        <v>2136</v>
      </c>
      <c r="F2127" t="s"/>
      <c r="G2127" t="s"/>
      <c r="H2127" t="s"/>
      <c r="I2127" t="s"/>
      <c r="J2127" t="n">
        <v>0.0258</v>
      </c>
      <c r="K2127" t="n">
        <v>0.202</v>
      </c>
      <c r="L2127" t="n">
        <v>0.588</v>
      </c>
      <c r="M2127" t="n">
        <v>0.21</v>
      </c>
    </row>
    <row r="2128" spans="1:13">
      <c r="A2128" s="1">
        <f>HYPERLINK("http://www.twitter.com/NathanBLawrence/status/992101247694995456", "992101247694995456")</f>
        <v/>
      </c>
      <c r="B2128" s="2" t="n">
        <v>43223.74935185185</v>
      </c>
      <c r="C2128" t="n">
        <v>0</v>
      </c>
      <c r="D2128" t="n">
        <v>35872</v>
      </c>
      <c r="E2128" t="s">
        <v>2137</v>
      </c>
      <c r="F2128" t="s"/>
      <c r="G2128" t="s"/>
      <c r="H2128" t="s"/>
      <c r="I2128" t="s"/>
      <c r="J2128" t="n">
        <v>0.4939</v>
      </c>
      <c r="K2128" t="n">
        <v>0</v>
      </c>
      <c r="L2128" t="n">
        <v>0.758</v>
      </c>
      <c r="M2128" t="n">
        <v>0.242</v>
      </c>
    </row>
    <row r="2129" spans="1:13">
      <c r="A2129" s="1">
        <f>HYPERLINK("http://www.twitter.com/NathanBLawrence/status/992101215239520256", "992101215239520256")</f>
        <v/>
      </c>
      <c r="B2129" s="2" t="n">
        <v>43223.74925925926</v>
      </c>
      <c r="C2129" t="n">
        <v>0</v>
      </c>
      <c r="D2129" t="n">
        <v>17657</v>
      </c>
      <c r="E2129" t="s">
        <v>2138</v>
      </c>
      <c r="F2129" t="s"/>
      <c r="G2129" t="s"/>
      <c r="H2129" t="s"/>
      <c r="I2129" t="s"/>
      <c r="J2129" t="n">
        <v>0.3397</v>
      </c>
      <c r="K2129" t="n">
        <v>0.134</v>
      </c>
      <c r="L2129" t="n">
        <v>0.654</v>
      </c>
      <c r="M2129" t="n">
        <v>0.212</v>
      </c>
    </row>
    <row r="2130" spans="1:13">
      <c r="A2130" s="1">
        <f>HYPERLINK("http://www.twitter.com/NathanBLawrence/status/992101113661829120", "992101113661829120")</f>
        <v/>
      </c>
      <c r="B2130" s="2" t="n">
        <v>43223.74898148148</v>
      </c>
      <c r="C2130" t="n">
        <v>19</v>
      </c>
      <c r="D2130" t="n">
        <v>19</v>
      </c>
      <c r="E2130" t="s">
        <v>2139</v>
      </c>
      <c r="F2130" t="s"/>
      <c r="G2130" t="s"/>
      <c r="H2130" t="s"/>
      <c r="I2130" t="s"/>
      <c r="J2130" t="n">
        <v>0</v>
      </c>
      <c r="K2130" t="n">
        <v>0</v>
      </c>
      <c r="L2130" t="n">
        <v>1</v>
      </c>
      <c r="M2130" t="n">
        <v>0</v>
      </c>
    </row>
    <row r="2131" spans="1:13">
      <c r="A2131" s="1">
        <f>HYPERLINK("http://www.twitter.com/NathanBLawrence/status/992100812716363776", "992100812716363776")</f>
        <v/>
      </c>
      <c r="B2131" s="2" t="n">
        <v>43223.74814814814</v>
      </c>
      <c r="C2131" t="n">
        <v>3</v>
      </c>
      <c r="D2131" t="n">
        <v>1</v>
      </c>
      <c r="E2131" t="s">
        <v>2140</v>
      </c>
      <c r="F2131" t="s"/>
      <c r="G2131" t="s"/>
      <c r="H2131" t="s"/>
      <c r="I2131" t="s"/>
      <c r="J2131" t="n">
        <v>-0.8856000000000001</v>
      </c>
      <c r="K2131" t="n">
        <v>0.318</v>
      </c>
      <c r="L2131" t="n">
        <v>0.605</v>
      </c>
      <c r="M2131" t="n">
        <v>0.077</v>
      </c>
    </row>
    <row r="2132" spans="1:13">
      <c r="A2132" s="1">
        <f>HYPERLINK("http://www.twitter.com/NathanBLawrence/status/992100449040842752", "992100449040842752")</f>
        <v/>
      </c>
      <c r="B2132" s="2" t="n">
        <v>43223.74715277777</v>
      </c>
      <c r="C2132" t="n">
        <v>0</v>
      </c>
      <c r="D2132" t="n">
        <v>14248</v>
      </c>
      <c r="E2132" t="s">
        <v>2141</v>
      </c>
      <c r="F2132" t="s"/>
      <c r="G2132" t="s"/>
      <c r="H2132" t="s"/>
      <c r="I2132" t="s"/>
      <c r="J2132" t="n">
        <v>0</v>
      </c>
      <c r="K2132" t="n">
        <v>0</v>
      </c>
      <c r="L2132" t="n">
        <v>1</v>
      </c>
      <c r="M2132" t="n">
        <v>0</v>
      </c>
    </row>
    <row r="2133" spans="1:13">
      <c r="A2133" s="1">
        <f>HYPERLINK("http://www.twitter.com/NathanBLawrence/status/992100343457632256", "992100343457632256")</f>
        <v/>
      </c>
      <c r="B2133" s="2" t="n">
        <v>43223.74685185185</v>
      </c>
      <c r="C2133" t="n">
        <v>0</v>
      </c>
      <c r="D2133" t="n">
        <v>4791</v>
      </c>
      <c r="E2133" t="s">
        <v>2142</v>
      </c>
      <c r="F2133" t="s"/>
      <c r="G2133" t="s"/>
      <c r="H2133" t="s"/>
      <c r="I2133" t="s"/>
      <c r="J2133" t="n">
        <v>0</v>
      </c>
      <c r="K2133" t="n">
        <v>0</v>
      </c>
      <c r="L2133" t="n">
        <v>1</v>
      </c>
      <c r="M2133" t="n">
        <v>0</v>
      </c>
    </row>
    <row r="2134" spans="1:13">
      <c r="A2134" s="1">
        <f>HYPERLINK("http://www.twitter.com/NathanBLawrence/status/992100249916207104", "992100249916207104")</f>
        <v/>
      </c>
      <c r="B2134" s="2" t="n">
        <v>43223.74659722222</v>
      </c>
      <c r="C2134" t="n">
        <v>0</v>
      </c>
      <c r="D2134" t="n">
        <v>1538</v>
      </c>
      <c r="E2134" t="s">
        <v>2143</v>
      </c>
      <c r="F2134" t="s"/>
      <c r="G2134" t="s"/>
      <c r="H2134" t="s"/>
      <c r="I2134" t="s"/>
      <c r="J2134" t="n">
        <v>-0.296</v>
      </c>
      <c r="K2134" t="n">
        <v>0.127</v>
      </c>
      <c r="L2134" t="n">
        <v>0.873</v>
      </c>
      <c r="M2134" t="n">
        <v>0</v>
      </c>
    </row>
    <row r="2135" spans="1:13">
      <c r="A2135" s="1">
        <f>HYPERLINK("http://www.twitter.com/NathanBLawrence/status/992100106991095808", "992100106991095808")</f>
        <v/>
      </c>
      <c r="B2135" s="2" t="n">
        <v>43223.7462037037</v>
      </c>
      <c r="C2135" t="n">
        <v>7</v>
      </c>
      <c r="D2135" t="n">
        <v>4</v>
      </c>
      <c r="E2135" t="s">
        <v>2144</v>
      </c>
      <c r="F2135" t="s"/>
      <c r="G2135" t="s"/>
      <c r="H2135" t="s"/>
      <c r="I2135" t="s"/>
      <c r="J2135" t="n">
        <v>-0.6476</v>
      </c>
      <c r="K2135" t="n">
        <v>0.193</v>
      </c>
      <c r="L2135" t="n">
        <v>0.8070000000000001</v>
      </c>
      <c r="M2135" t="n">
        <v>0</v>
      </c>
    </row>
    <row r="2136" spans="1:13">
      <c r="A2136" s="1">
        <f>HYPERLINK("http://www.twitter.com/NathanBLawrence/status/992099827176488960", "992099827176488960")</f>
        <v/>
      </c>
      <c r="B2136" s="2" t="n">
        <v>43223.74542824074</v>
      </c>
      <c r="C2136" t="n">
        <v>3</v>
      </c>
      <c r="D2136" t="n">
        <v>2</v>
      </c>
      <c r="E2136" t="s">
        <v>2145</v>
      </c>
      <c r="F2136" t="s"/>
      <c r="G2136" t="s"/>
      <c r="H2136" t="s"/>
      <c r="I2136" t="s"/>
      <c r="J2136" t="n">
        <v>0</v>
      </c>
      <c r="K2136" t="n">
        <v>0</v>
      </c>
      <c r="L2136" t="n">
        <v>1</v>
      </c>
      <c r="M2136" t="n">
        <v>0</v>
      </c>
    </row>
    <row r="2137" spans="1:13">
      <c r="A2137" s="1">
        <f>HYPERLINK("http://www.twitter.com/NathanBLawrence/status/992099671278419968", "992099671278419968")</f>
        <v/>
      </c>
      <c r="B2137" s="2" t="n">
        <v>43223.745</v>
      </c>
      <c r="C2137" t="n">
        <v>3</v>
      </c>
      <c r="D2137" t="n">
        <v>3</v>
      </c>
      <c r="E2137" t="s">
        <v>2146</v>
      </c>
      <c r="F2137" t="s"/>
      <c r="G2137" t="s"/>
      <c r="H2137" t="s"/>
      <c r="I2137" t="s"/>
      <c r="J2137" t="n">
        <v>-0.4499</v>
      </c>
      <c r="K2137" t="n">
        <v>0.208</v>
      </c>
      <c r="L2137" t="n">
        <v>0.6850000000000001</v>
      </c>
      <c r="M2137" t="n">
        <v>0.107</v>
      </c>
    </row>
    <row r="2138" spans="1:13">
      <c r="A2138" s="1">
        <f>HYPERLINK("http://www.twitter.com/NathanBLawrence/status/992099447889801216", "992099447889801216")</f>
        <v/>
      </c>
      <c r="B2138" s="2" t="n">
        <v>43223.74438657407</v>
      </c>
      <c r="C2138" t="n">
        <v>5</v>
      </c>
      <c r="D2138" t="n">
        <v>6</v>
      </c>
      <c r="E2138" t="s">
        <v>2147</v>
      </c>
      <c r="F2138" t="s"/>
      <c r="G2138" t="s"/>
      <c r="H2138" t="s"/>
      <c r="I2138" t="s"/>
      <c r="J2138" t="n">
        <v>-0.7154</v>
      </c>
      <c r="K2138" t="n">
        <v>0.176</v>
      </c>
      <c r="L2138" t="n">
        <v>0.824</v>
      </c>
      <c r="M2138" t="n">
        <v>0</v>
      </c>
    </row>
    <row r="2139" spans="1:13">
      <c r="A2139" s="1">
        <f>HYPERLINK("http://www.twitter.com/NathanBLawrence/status/992099206255919104", "992099206255919104")</f>
        <v/>
      </c>
      <c r="B2139" s="2" t="n">
        <v>43223.74371527778</v>
      </c>
      <c r="C2139" t="n">
        <v>7</v>
      </c>
      <c r="D2139" t="n">
        <v>3</v>
      </c>
      <c r="E2139" t="s">
        <v>2148</v>
      </c>
      <c r="F2139" t="s"/>
      <c r="G2139" t="s"/>
      <c r="H2139" t="s"/>
      <c r="I2139" t="s"/>
      <c r="J2139" t="n">
        <v>0</v>
      </c>
      <c r="K2139" t="n">
        <v>0</v>
      </c>
      <c r="L2139" t="n">
        <v>1</v>
      </c>
      <c r="M2139" t="n">
        <v>0</v>
      </c>
    </row>
    <row r="2140" spans="1:13">
      <c r="A2140" s="1">
        <f>HYPERLINK("http://www.twitter.com/NathanBLawrence/status/992098570282004480", "992098570282004480")</f>
        <v/>
      </c>
      <c r="B2140" s="2" t="n">
        <v>43223.74196759259</v>
      </c>
      <c r="C2140" t="n">
        <v>2</v>
      </c>
      <c r="D2140" t="n">
        <v>0</v>
      </c>
      <c r="E2140" t="s">
        <v>2149</v>
      </c>
      <c r="F2140" t="s"/>
      <c r="G2140" t="s"/>
      <c r="H2140" t="s"/>
      <c r="I2140" t="s"/>
      <c r="J2140" t="n">
        <v>0.3182</v>
      </c>
      <c r="K2140" t="n">
        <v>0</v>
      </c>
      <c r="L2140" t="n">
        <v>0.796</v>
      </c>
      <c r="M2140" t="n">
        <v>0.204</v>
      </c>
    </row>
    <row r="2141" spans="1:13">
      <c r="A2141" s="1">
        <f>HYPERLINK("http://www.twitter.com/NathanBLawrence/status/992098432603963392", "992098432603963392")</f>
        <v/>
      </c>
      <c r="B2141" s="2" t="n">
        <v>43223.74158564815</v>
      </c>
      <c r="C2141" t="n">
        <v>4</v>
      </c>
      <c r="D2141" t="n">
        <v>1</v>
      </c>
      <c r="E2141" t="s">
        <v>2150</v>
      </c>
      <c r="F2141" t="s"/>
      <c r="G2141" t="s"/>
      <c r="H2141" t="s"/>
      <c r="I2141" t="s"/>
      <c r="J2141" t="n">
        <v>0</v>
      </c>
      <c r="K2141" t="n">
        <v>0</v>
      </c>
      <c r="L2141" t="n">
        <v>1</v>
      </c>
      <c r="M2141" t="n">
        <v>0</v>
      </c>
    </row>
    <row r="2142" spans="1:13">
      <c r="A2142" s="1">
        <f>HYPERLINK("http://www.twitter.com/NathanBLawrence/status/992098269135126530", "992098269135126530")</f>
        <v/>
      </c>
      <c r="B2142" s="2" t="n">
        <v>43223.74113425926</v>
      </c>
      <c r="C2142" t="n">
        <v>10</v>
      </c>
      <c r="D2142" t="n">
        <v>3</v>
      </c>
      <c r="E2142" t="s">
        <v>2151</v>
      </c>
      <c r="F2142" t="s"/>
      <c r="G2142" t="s"/>
      <c r="H2142" t="s"/>
      <c r="I2142" t="s"/>
      <c r="J2142" t="n">
        <v>0.4767</v>
      </c>
      <c r="K2142" t="n">
        <v>0</v>
      </c>
      <c r="L2142" t="n">
        <v>0.78</v>
      </c>
      <c r="M2142" t="n">
        <v>0.22</v>
      </c>
    </row>
    <row r="2143" spans="1:13">
      <c r="A2143" s="1">
        <f>HYPERLINK("http://www.twitter.com/NathanBLawrence/status/992097369830244352", "992097369830244352")</f>
        <v/>
      </c>
      <c r="B2143" s="2" t="n">
        <v>43223.73864583333</v>
      </c>
      <c r="C2143" t="n">
        <v>5</v>
      </c>
      <c r="D2143" t="n">
        <v>1</v>
      </c>
      <c r="E2143" t="s">
        <v>2152</v>
      </c>
      <c r="F2143" t="s"/>
      <c r="G2143" t="s"/>
      <c r="H2143" t="s"/>
      <c r="I2143" t="s"/>
      <c r="J2143" t="n">
        <v>-0.2732</v>
      </c>
      <c r="K2143" t="n">
        <v>0.07000000000000001</v>
      </c>
      <c r="L2143" t="n">
        <v>0.93</v>
      </c>
      <c r="M2143" t="n">
        <v>0</v>
      </c>
    </row>
    <row r="2144" spans="1:13">
      <c r="A2144" s="1">
        <f>HYPERLINK("http://www.twitter.com/NathanBLawrence/status/991904764785967105", "991904764785967105")</f>
        <v/>
      </c>
      <c r="B2144" s="2" t="n">
        <v>43223.20716435185</v>
      </c>
      <c r="C2144" t="n">
        <v>13</v>
      </c>
      <c r="D2144" t="n">
        <v>12</v>
      </c>
      <c r="E2144" t="s">
        <v>2153</v>
      </c>
      <c r="F2144" t="s"/>
      <c r="G2144" t="s"/>
      <c r="H2144" t="s"/>
      <c r="I2144" t="s"/>
      <c r="J2144" t="n">
        <v>-0.3809</v>
      </c>
      <c r="K2144" t="n">
        <v>0.194</v>
      </c>
      <c r="L2144" t="n">
        <v>0.655</v>
      </c>
      <c r="M2144" t="n">
        <v>0.151</v>
      </c>
    </row>
    <row r="2145" spans="1:13">
      <c r="A2145" s="1">
        <f>HYPERLINK("http://www.twitter.com/NathanBLawrence/status/991904579913596929", "991904579913596929")</f>
        <v/>
      </c>
      <c r="B2145" s="2" t="n">
        <v>43223.2066550926</v>
      </c>
      <c r="C2145" t="n">
        <v>26</v>
      </c>
      <c r="D2145" t="n">
        <v>6</v>
      </c>
      <c r="E2145" t="s">
        <v>2154</v>
      </c>
      <c r="F2145" t="s"/>
      <c r="G2145" t="s"/>
      <c r="H2145" t="s"/>
      <c r="I2145" t="s"/>
      <c r="J2145" t="n">
        <v>-0.2905</v>
      </c>
      <c r="K2145" t="n">
        <v>0.186</v>
      </c>
      <c r="L2145" t="n">
        <v>0.665</v>
      </c>
      <c r="M2145" t="n">
        <v>0.149</v>
      </c>
    </row>
    <row r="2146" spans="1:13">
      <c r="A2146" s="1">
        <f>HYPERLINK("http://www.twitter.com/NathanBLawrence/status/991899779222269953", "991899779222269953")</f>
        <v/>
      </c>
      <c r="B2146" s="2" t="n">
        <v>43223.19340277778</v>
      </c>
      <c r="C2146" t="n">
        <v>15</v>
      </c>
      <c r="D2146" t="n">
        <v>9</v>
      </c>
      <c r="E2146" t="s">
        <v>2155</v>
      </c>
      <c r="F2146" t="s"/>
      <c r="G2146" t="s"/>
      <c r="H2146" t="s"/>
      <c r="I2146" t="s"/>
      <c r="J2146" t="n">
        <v>-0.8564000000000001</v>
      </c>
      <c r="K2146" t="n">
        <v>0.296</v>
      </c>
      <c r="L2146" t="n">
        <v>0.704</v>
      </c>
      <c r="M2146" t="n">
        <v>0</v>
      </c>
    </row>
    <row r="2147" spans="1:13">
      <c r="A2147" s="1">
        <f>HYPERLINK("http://www.twitter.com/NathanBLawrence/status/991899598489767936", "991899598489767936")</f>
        <v/>
      </c>
      <c r="B2147" s="2" t="n">
        <v>43223.19290509259</v>
      </c>
      <c r="C2147" t="n">
        <v>2</v>
      </c>
      <c r="D2147" t="n">
        <v>4</v>
      </c>
      <c r="E2147" t="s">
        <v>2156</v>
      </c>
      <c r="F2147" t="s"/>
      <c r="G2147" t="s"/>
      <c r="H2147" t="s"/>
      <c r="I2147" t="s"/>
      <c r="J2147" t="n">
        <v>-0.2263</v>
      </c>
      <c r="K2147" t="n">
        <v>0.113</v>
      </c>
      <c r="L2147" t="n">
        <v>0.821</v>
      </c>
      <c r="M2147" t="n">
        <v>0.067</v>
      </c>
    </row>
    <row r="2148" spans="1:13">
      <c r="A2148" s="1">
        <f>HYPERLINK("http://www.twitter.com/NathanBLawrence/status/991899516696641536", "991899516696641536")</f>
        <v/>
      </c>
      <c r="B2148" s="2" t="n">
        <v>43223.19268518518</v>
      </c>
      <c r="C2148" t="n">
        <v>7</v>
      </c>
      <c r="D2148" t="n">
        <v>5</v>
      </c>
      <c r="E2148" t="s">
        <v>2157</v>
      </c>
      <c r="F2148" t="s"/>
      <c r="G2148" t="s"/>
      <c r="H2148" t="s"/>
      <c r="I2148" t="s"/>
      <c r="J2148" t="n">
        <v>0.6114000000000001</v>
      </c>
      <c r="K2148" t="n">
        <v>0</v>
      </c>
      <c r="L2148" t="n">
        <v>0.792</v>
      </c>
      <c r="M2148" t="n">
        <v>0.208</v>
      </c>
    </row>
    <row r="2149" spans="1:13">
      <c r="A2149" s="1">
        <f>HYPERLINK("http://www.twitter.com/NathanBLawrence/status/991899213419003904", "991899213419003904")</f>
        <v/>
      </c>
      <c r="B2149" s="2" t="n">
        <v>43223.19184027778</v>
      </c>
      <c r="C2149" t="n">
        <v>2</v>
      </c>
      <c r="D2149" t="n">
        <v>1</v>
      </c>
      <c r="E2149" t="s">
        <v>2158</v>
      </c>
      <c r="F2149" t="s"/>
      <c r="G2149" t="s"/>
      <c r="H2149" t="s"/>
      <c r="I2149" t="s"/>
      <c r="J2149" t="n">
        <v>0.3853</v>
      </c>
      <c r="K2149" t="n">
        <v>0</v>
      </c>
      <c r="L2149" t="n">
        <v>0.851</v>
      </c>
      <c r="M2149" t="n">
        <v>0.149</v>
      </c>
    </row>
    <row r="2150" spans="1:13">
      <c r="A2150" s="1">
        <f>HYPERLINK("http://www.twitter.com/NathanBLawrence/status/991898995944402945", "991898995944402945")</f>
        <v/>
      </c>
      <c r="B2150" s="2" t="n">
        <v>43223.19123842593</v>
      </c>
      <c r="C2150" t="n">
        <v>1</v>
      </c>
      <c r="D2150" t="n">
        <v>0</v>
      </c>
      <c r="E2150" t="s">
        <v>2159</v>
      </c>
      <c r="F2150" t="s"/>
      <c r="G2150" t="s"/>
      <c r="H2150" t="s"/>
      <c r="I2150" t="s"/>
      <c r="J2150" t="n">
        <v>-0.25</v>
      </c>
      <c r="K2150" t="n">
        <v>0.5</v>
      </c>
      <c r="L2150" t="n">
        <v>0.5</v>
      </c>
      <c r="M2150" t="n">
        <v>0</v>
      </c>
    </row>
    <row r="2151" spans="1:13">
      <c r="A2151" s="1">
        <f>HYPERLINK("http://www.twitter.com/NathanBLawrence/status/991898942521589767", "991898942521589767")</f>
        <v/>
      </c>
      <c r="B2151" s="2" t="n">
        <v>43223.19109953703</v>
      </c>
      <c r="C2151" t="n">
        <v>1</v>
      </c>
      <c r="D2151" t="n">
        <v>1</v>
      </c>
      <c r="E2151" t="s">
        <v>2160</v>
      </c>
      <c r="F2151" t="s"/>
      <c r="G2151" t="s"/>
      <c r="H2151" t="s"/>
      <c r="I2151" t="s"/>
      <c r="J2151" t="n">
        <v>-0.3595</v>
      </c>
      <c r="K2151" t="n">
        <v>0.217</v>
      </c>
      <c r="L2151" t="n">
        <v>0.783</v>
      </c>
      <c r="M2151" t="n">
        <v>0</v>
      </c>
    </row>
    <row r="2152" spans="1:13">
      <c r="A2152" s="1">
        <f>HYPERLINK("http://www.twitter.com/NathanBLawrence/status/991898811948613632", "991898811948613632")</f>
        <v/>
      </c>
      <c r="B2152" s="2" t="n">
        <v>43223.19074074074</v>
      </c>
      <c r="C2152" t="n">
        <v>3</v>
      </c>
      <c r="D2152" t="n">
        <v>1</v>
      </c>
      <c r="E2152" t="s">
        <v>2161</v>
      </c>
      <c r="F2152" t="s"/>
      <c r="G2152" t="s"/>
      <c r="H2152" t="s"/>
      <c r="I2152" t="s"/>
      <c r="J2152" t="n">
        <v>0</v>
      </c>
      <c r="K2152" t="n">
        <v>0</v>
      </c>
      <c r="L2152" t="n">
        <v>1</v>
      </c>
      <c r="M2152" t="n">
        <v>0</v>
      </c>
    </row>
    <row r="2153" spans="1:13">
      <c r="A2153" s="1">
        <f>HYPERLINK("http://www.twitter.com/NathanBLawrence/status/991898640275849216", "991898640275849216")</f>
        <v/>
      </c>
      <c r="B2153" s="2" t="n">
        <v>43223.1902662037</v>
      </c>
      <c r="C2153" t="n">
        <v>10</v>
      </c>
      <c r="D2153" t="n">
        <v>7</v>
      </c>
      <c r="E2153" t="s">
        <v>2162</v>
      </c>
      <c r="F2153" t="s"/>
      <c r="G2153" t="s"/>
      <c r="H2153" t="s"/>
      <c r="I2153" t="s"/>
      <c r="J2153" t="n">
        <v>-0.3147</v>
      </c>
      <c r="K2153" t="n">
        <v>0.07099999999999999</v>
      </c>
      <c r="L2153" t="n">
        <v>0.929</v>
      </c>
      <c r="M2153" t="n">
        <v>0</v>
      </c>
    </row>
    <row r="2154" spans="1:13">
      <c r="A2154" s="1">
        <f>HYPERLINK("http://www.twitter.com/NathanBLawrence/status/991898419135266816", "991898419135266816")</f>
        <v/>
      </c>
      <c r="B2154" s="2" t="n">
        <v>43223.18965277778</v>
      </c>
      <c r="C2154" t="n">
        <v>7</v>
      </c>
      <c r="D2154" t="n">
        <v>0</v>
      </c>
      <c r="E2154" t="s">
        <v>2163</v>
      </c>
      <c r="F2154" t="s"/>
      <c r="G2154" t="s"/>
      <c r="H2154" t="s"/>
      <c r="I2154" t="s"/>
      <c r="J2154" t="n">
        <v>-0.8898</v>
      </c>
      <c r="K2154" t="n">
        <v>0.34</v>
      </c>
      <c r="L2154" t="n">
        <v>0.587</v>
      </c>
      <c r="M2154" t="n">
        <v>0.073</v>
      </c>
    </row>
    <row r="2155" spans="1:13">
      <c r="A2155" s="1">
        <f>HYPERLINK("http://www.twitter.com/NathanBLawrence/status/991898262259941382", "991898262259941382")</f>
        <v/>
      </c>
      <c r="B2155" s="2" t="n">
        <v>43223.18921296296</v>
      </c>
      <c r="C2155" t="n">
        <v>1</v>
      </c>
      <c r="D2155" t="n">
        <v>0</v>
      </c>
      <c r="E2155" t="s">
        <v>2164</v>
      </c>
      <c r="F2155" t="s"/>
      <c r="G2155" t="s"/>
      <c r="H2155" t="s"/>
      <c r="I2155" t="s"/>
      <c r="J2155" t="n">
        <v>0</v>
      </c>
      <c r="K2155" t="n">
        <v>0</v>
      </c>
      <c r="L2155" t="n">
        <v>1</v>
      </c>
      <c r="M2155" t="n">
        <v>0</v>
      </c>
    </row>
    <row r="2156" spans="1:13">
      <c r="A2156" s="1">
        <f>HYPERLINK("http://www.twitter.com/NathanBLawrence/status/991898132194590722", "991898132194590722")</f>
        <v/>
      </c>
      <c r="B2156" s="2" t="n">
        <v>43223.18885416666</v>
      </c>
      <c r="C2156" t="n">
        <v>1</v>
      </c>
      <c r="D2156" t="n">
        <v>1</v>
      </c>
      <c r="E2156" t="s">
        <v>2165</v>
      </c>
      <c r="F2156" t="s"/>
      <c r="G2156" t="s"/>
      <c r="H2156" t="s"/>
      <c r="I2156" t="s"/>
      <c r="J2156" t="n">
        <v>-0.296</v>
      </c>
      <c r="K2156" t="n">
        <v>0.239</v>
      </c>
      <c r="L2156" t="n">
        <v>0.761</v>
      </c>
      <c r="M2156" t="n">
        <v>0</v>
      </c>
    </row>
    <row r="2157" spans="1:13">
      <c r="A2157" s="1">
        <f>HYPERLINK("http://www.twitter.com/NathanBLawrence/status/991898035096506371", "991898035096506371")</f>
        <v/>
      </c>
      <c r="B2157" s="2" t="n">
        <v>43223.18858796296</v>
      </c>
      <c r="C2157" t="n">
        <v>2</v>
      </c>
      <c r="D2157" t="n">
        <v>3</v>
      </c>
      <c r="E2157" t="s">
        <v>2166</v>
      </c>
      <c r="F2157" t="s"/>
      <c r="G2157" t="s"/>
      <c r="H2157" t="s"/>
      <c r="I2157" t="s"/>
      <c r="J2157" t="n">
        <v>-0.5106000000000001</v>
      </c>
      <c r="K2157" t="n">
        <v>0.155</v>
      </c>
      <c r="L2157" t="n">
        <v>0.845</v>
      </c>
      <c r="M2157" t="n">
        <v>0</v>
      </c>
    </row>
    <row r="2158" spans="1:13">
      <c r="A2158" s="1">
        <f>HYPERLINK("http://www.twitter.com/NathanBLawrence/status/991897711858221058", "991897711858221058")</f>
        <v/>
      </c>
      <c r="B2158" s="2" t="n">
        <v>43223.18769675926</v>
      </c>
      <c r="C2158" t="n">
        <v>7</v>
      </c>
      <c r="D2158" t="n">
        <v>3</v>
      </c>
      <c r="E2158" t="s">
        <v>2167</v>
      </c>
      <c r="F2158" t="s"/>
      <c r="G2158" t="s"/>
      <c r="H2158" t="s"/>
      <c r="I2158" t="s"/>
      <c r="J2158" t="n">
        <v>-0.5079</v>
      </c>
      <c r="K2158" t="n">
        <v>0.257</v>
      </c>
      <c r="L2158" t="n">
        <v>0.573</v>
      </c>
      <c r="M2158" t="n">
        <v>0.17</v>
      </c>
    </row>
    <row r="2159" spans="1:13">
      <c r="A2159" s="1">
        <f>HYPERLINK("http://www.twitter.com/NathanBLawrence/status/991897605134209024", "991897605134209024")</f>
        <v/>
      </c>
      <c r="B2159" s="2" t="n">
        <v>43223.18740740741</v>
      </c>
      <c r="C2159" t="n">
        <v>0</v>
      </c>
      <c r="D2159" t="n">
        <v>2</v>
      </c>
      <c r="E2159" t="s">
        <v>2168</v>
      </c>
      <c r="F2159" t="s"/>
      <c r="G2159" t="s"/>
      <c r="H2159" t="s"/>
      <c r="I2159" t="s"/>
      <c r="J2159" t="n">
        <v>0</v>
      </c>
      <c r="K2159" t="n">
        <v>0</v>
      </c>
      <c r="L2159" t="n">
        <v>1</v>
      </c>
      <c r="M2159" t="n">
        <v>0</v>
      </c>
    </row>
    <row r="2160" spans="1:13">
      <c r="A2160" s="1">
        <f>HYPERLINK("http://www.twitter.com/NathanBLawrence/status/991897506198908929", "991897506198908929")</f>
        <v/>
      </c>
      <c r="B2160" s="2" t="n">
        <v>43223.18712962963</v>
      </c>
      <c r="C2160" t="n">
        <v>17</v>
      </c>
      <c r="D2160" t="n">
        <v>7</v>
      </c>
      <c r="E2160" t="s">
        <v>2169</v>
      </c>
      <c r="F2160" t="s"/>
      <c r="G2160" t="s"/>
      <c r="H2160" t="s"/>
      <c r="I2160" t="s"/>
      <c r="J2160" t="n">
        <v>-0.8356</v>
      </c>
      <c r="K2160" t="n">
        <v>0.307</v>
      </c>
      <c r="L2160" t="n">
        <v>0.588</v>
      </c>
      <c r="M2160" t="n">
        <v>0.105</v>
      </c>
    </row>
    <row r="2161" spans="1:13">
      <c r="A2161" s="1">
        <f>HYPERLINK("http://www.twitter.com/NathanBLawrence/status/991897155009789952", "991897155009789952")</f>
        <v/>
      </c>
      <c r="B2161" s="2" t="n">
        <v>43223.18615740741</v>
      </c>
      <c r="C2161" t="n">
        <v>2</v>
      </c>
      <c r="D2161" t="n">
        <v>1</v>
      </c>
      <c r="E2161" t="s">
        <v>2170</v>
      </c>
      <c r="F2161" t="s"/>
      <c r="G2161" t="s"/>
      <c r="H2161" t="s"/>
      <c r="I2161" t="s"/>
      <c r="J2161" t="n">
        <v>0</v>
      </c>
      <c r="K2161" t="n">
        <v>0</v>
      </c>
      <c r="L2161" t="n">
        <v>1</v>
      </c>
      <c r="M2161" t="n">
        <v>0</v>
      </c>
    </row>
    <row r="2162" spans="1:13">
      <c r="A2162" s="1">
        <f>HYPERLINK("http://www.twitter.com/NathanBLawrence/status/991897104187457536", "991897104187457536")</f>
        <v/>
      </c>
      <c r="B2162" s="2" t="n">
        <v>43223.18601851852</v>
      </c>
      <c r="C2162" t="n">
        <v>12</v>
      </c>
      <c r="D2162" t="n">
        <v>4</v>
      </c>
      <c r="E2162" t="s">
        <v>2171</v>
      </c>
      <c r="F2162" t="s"/>
      <c r="G2162" t="s"/>
      <c r="H2162" t="s"/>
      <c r="I2162" t="s"/>
      <c r="J2162" t="n">
        <v>0.6114000000000001</v>
      </c>
      <c r="K2162" t="n">
        <v>0</v>
      </c>
      <c r="L2162" t="n">
        <v>0.723</v>
      </c>
      <c r="M2162" t="n">
        <v>0.277</v>
      </c>
    </row>
    <row r="2163" spans="1:13">
      <c r="A2163" s="1">
        <f>HYPERLINK("http://www.twitter.com/NathanBLawrence/status/991896948054503424", "991896948054503424")</f>
        <v/>
      </c>
      <c r="B2163" s="2" t="n">
        <v>43223.18559027778</v>
      </c>
      <c r="C2163" t="n">
        <v>2</v>
      </c>
      <c r="D2163" t="n">
        <v>1</v>
      </c>
      <c r="E2163" t="s">
        <v>2172</v>
      </c>
      <c r="F2163" t="s"/>
      <c r="G2163" t="s"/>
      <c r="H2163" t="s"/>
      <c r="I2163" t="s"/>
      <c r="J2163" t="n">
        <v>0</v>
      </c>
      <c r="K2163" t="n">
        <v>0</v>
      </c>
      <c r="L2163" t="n">
        <v>1</v>
      </c>
      <c r="M2163" t="n">
        <v>0</v>
      </c>
    </row>
    <row r="2164" spans="1:13">
      <c r="A2164" s="1">
        <f>HYPERLINK("http://www.twitter.com/NathanBLawrence/status/991896850926993408", "991896850926993408")</f>
        <v/>
      </c>
      <c r="B2164" s="2" t="n">
        <v>43223.18532407407</v>
      </c>
      <c r="C2164" t="n">
        <v>0</v>
      </c>
      <c r="D2164" t="n">
        <v>592</v>
      </c>
      <c r="E2164" t="s">
        <v>2173</v>
      </c>
      <c r="F2164">
        <f>HYPERLINK("http://pbs.twimg.com/media/DcOiKQKVwAAPScj.jpg", "http://pbs.twimg.com/media/DcOiKQKVwAAPScj.jpg")</f>
        <v/>
      </c>
      <c r="G2164" t="s"/>
      <c r="H2164" t="s"/>
      <c r="I2164" t="s"/>
      <c r="J2164" t="n">
        <v>0</v>
      </c>
      <c r="K2164" t="n">
        <v>0</v>
      </c>
      <c r="L2164" t="n">
        <v>1</v>
      </c>
      <c r="M2164" t="n">
        <v>0</v>
      </c>
    </row>
    <row r="2165" spans="1:13">
      <c r="A2165" s="1">
        <f>HYPERLINK("http://www.twitter.com/NathanBLawrence/status/991896708383588353", "991896708383588353")</f>
        <v/>
      </c>
      <c r="B2165" s="2" t="n">
        <v>43223.18493055556</v>
      </c>
      <c r="C2165" t="n">
        <v>0</v>
      </c>
      <c r="D2165" t="n">
        <v>802</v>
      </c>
      <c r="E2165" t="s">
        <v>2174</v>
      </c>
      <c r="F2165">
        <f>HYPERLINK("http://pbs.twimg.com/media/DbtqlMRVwAAn1sM.jpg", "http://pbs.twimg.com/media/DbtqlMRVwAAn1sM.jpg")</f>
        <v/>
      </c>
      <c r="G2165">
        <f>HYPERLINK("http://pbs.twimg.com/media/DbtqlMVUQAAsgls.jpg", "http://pbs.twimg.com/media/DbtqlMVUQAAsgls.jpg")</f>
        <v/>
      </c>
      <c r="H2165">
        <f>HYPERLINK("http://pbs.twimg.com/media/DbtqlMVU0AEl2Iz.jpg", "http://pbs.twimg.com/media/DbtqlMVU0AEl2Iz.jpg")</f>
        <v/>
      </c>
      <c r="I2165">
        <f>HYPERLINK("http://pbs.twimg.com/media/DbtqlMSVQAE3uVh.jpg", "http://pbs.twimg.com/media/DbtqlMSVQAE3uVh.jpg")</f>
        <v/>
      </c>
      <c r="J2165" t="n">
        <v>0</v>
      </c>
      <c r="K2165" t="n">
        <v>0</v>
      </c>
      <c r="L2165" t="n">
        <v>1</v>
      </c>
      <c r="M2165" t="n">
        <v>0</v>
      </c>
    </row>
    <row r="2166" spans="1:13">
      <c r="A2166" s="1">
        <f>HYPERLINK("http://www.twitter.com/NathanBLawrence/status/991895960862130176", "991895960862130176")</f>
        <v/>
      </c>
      <c r="B2166" s="2" t="n">
        <v>43223.18287037037</v>
      </c>
      <c r="C2166" t="n">
        <v>0</v>
      </c>
      <c r="D2166" t="n">
        <v>4</v>
      </c>
      <c r="E2166" t="s">
        <v>2175</v>
      </c>
      <c r="F2166" t="s"/>
      <c r="G2166" t="s"/>
      <c r="H2166" t="s"/>
      <c r="I2166" t="s"/>
      <c r="J2166" t="n">
        <v>0.2023</v>
      </c>
      <c r="K2166" t="n">
        <v>0</v>
      </c>
      <c r="L2166" t="n">
        <v>0.913</v>
      </c>
      <c r="M2166" t="n">
        <v>0.08699999999999999</v>
      </c>
    </row>
    <row r="2167" spans="1:13">
      <c r="A2167" s="1">
        <f>HYPERLINK("http://www.twitter.com/NathanBLawrence/status/991895904067072000", "991895904067072000")</f>
        <v/>
      </c>
      <c r="B2167" s="2" t="n">
        <v>43223.18270833333</v>
      </c>
      <c r="C2167" t="n">
        <v>11</v>
      </c>
      <c r="D2167" t="n">
        <v>3</v>
      </c>
      <c r="E2167" t="s">
        <v>2176</v>
      </c>
      <c r="F2167" t="s"/>
      <c r="G2167" t="s"/>
      <c r="H2167" t="s"/>
      <c r="I2167" t="s"/>
      <c r="J2167" t="n">
        <v>-0.9379999999999999</v>
      </c>
      <c r="K2167" t="n">
        <v>0.464</v>
      </c>
      <c r="L2167" t="n">
        <v>0.453</v>
      </c>
      <c r="M2167" t="n">
        <v>0.082</v>
      </c>
    </row>
    <row r="2168" spans="1:13">
      <c r="A2168" s="1">
        <f>HYPERLINK("http://www.twitter.com/NathanBLawrence/status/991895682725265408", "991895682725265408")</f>
        <v/>
      </c>
      <c r="B2168" s="2" t="n">
        <v>43223.18209490741</v>
      </c>
      <c r="C2168" t="n">
        <v>2</v>
      </c>
      <c r="D2168" t="n">
        <v>1</v>
      </c>
      <c r="E2168" t="s">
        <v>2177</v>
      </c>
      <c r="F2168" t="s"/>
      <c r="G2168" t="s"/>
      <c r="H2168" t="s"/>
      <c r="I2168" t="s"/>
      <c r="J2168" t="n">
        <v>0.3802</v>
      </c>
      <c r="K2168" t="n">
        <v>0</v>
      </c>
      <c r="L2168" t="n">
        <v>0.436</v>
      </c>
      <c r="M2168" t="n">
        <v>0.5639999999999999</v>
      </c>
    </row>
    <row r="2169" spans="1:13">
      <c r="A2169" s="1">
        <f>HYPERLINK("http://www.twitter.com/NathanBLawrence/status/991895575791480833", "991895575791480833")</f>
        <v/>
      </c>
      <c r="B2169" s="2" t="n">
        <v>43223.18180555556</v>
      </c>
      <c r="C2169" t="n">
        <v>0</v>
      </c>
      <c r="D2169" t="n">
        <v>4</v>
      </c>
      <c r="E2169" t="s">
        <v>2178</v>
      </c>
      <c r="F2169" t="s"/>
      <c r="G2169" t="s"/>
      <c r="H2169" t="s"/>
      <c r="I2169" t="s"/>
      <c r="J2169" t="n">
        <v>0.957</v>
      </c>
      <c r="K2169" t="n">
        <v>0</v>
      </c>
      <c r="L2169" t="n">
        <v>0.529</v>
      </c>
      <c r="M2169" t="n">
        <v>0.471</v>
      </c>
    </row>
    <row r="2170" spans="1:13">
      <c r="A2170" s="1">
        <f>HYPERLINK("http://www.twitter.com/NathanBLawrence/status/991895535920398336", "991895535920398336")</f>
        <v/>
      </c>
      <c r="B2170" s="2" t="n">
        <v>43223.18168981482</v>
      </c>
      <c r="C2170" t="n">
        <v>7</v>
      </c>
      <c r="D2170" t="n">
        <v>1</v>
      </c>
      <c r="E2170" t="s">
        <v>2179</v>
      </c>
      <c r="F2170" t="s"/>
      <c r="G2170" t="s"/>
      <c r="H2170" t="s"/>
      <c r="I2170" t="s"/>
      <c r="J2170" t="n">
        <v>-0.9325</v>
      </c>
      <c r="K2170" t="n">
        <v>0.342</v>
      </c>
      <c r="L2170" t="n">
        <v>0.658</v>
      </c>
      <c r="M2170" t="n">
        <v>0</v>
      </c>
    </row>
    <row r="2171" spans="1:13">
      <c r="A2171" s="1">
        <f>HYPERLINK("http://www.twitter.com/NathanBLawrence/status/991895315987947520", "991895315987947520")</f>
        <v/>
      </c>
      <c r="B2171" s="2" t="n">
        <v>43223.18108796296</v>
      </c>
      <c r="C2171" t="n">
        <v>0</v>
      </c>
      <c r="D2171" t="n">
        <v>658</v>
      </c>
      <c r="E2171" t="s">
        <v>2180</v>
      </c>
      <c r="F2171">
        <f>HYPERLINK("https://video.twimg.com/amplify_video/959226711329202176/vid/1280x720/azYGXHVl4u9HzGb4.mp4", "https://video.twimg.com/amplify_video/959226711329202176/vid/1280x720/azYGXHVl4u9HzGb4.mp4")</f>
        <v/>
      </c>
      <c r="G2171" t="s"/>
      <c r="H2171" t="s"/>
      <c r="I2171" t="s"/>
      <c r="J2171" t="n">
        <v>0.0772</v>
      </c>
      <c r="K2171" t="n">
        <v>0.174</v>
      </c>
      <c r="L2171" t="n">
        <v>0.596</v>
      </c>
      <c r="M2171" t="n">
        <v>0.23</v>
      </c>
    </row>
    <row r="2172" spans="1:13">
      <c r="A2172" s="1">
        <f>HYPERLINK("http://www.twitter.com/NathanBLawrence/status/991895251425026048", "991895251425026048")</f>
        <v/>
      </c>
      <c r="B2172" s="2" t="n">
        <v>43223.18091435185</v>
      </c>
      <c r="C2172" t="n">
        <v>0</v>
      </c>
      <c r="D2172" t="n">
        <v>2882</v>
      </c>
      <c r="E2172" t="s">
        <v>2181</v>
      </c>
      <c r="F2172" t="s"/>
      <c r="G2172" t="s"/>
      <c r="H2172" t="s"/>
      <c r="I2172" t="s"/>
      <c r="J2172" t="n">
        <v>0.75</v>
      </c>
      <c r="K2172" t="n">
        <v>0</v>
      </c>
      <c r="L2172" t="n">
        <v>0.727</v>
      </c>
      <c r="M2172" t="n">
        <v>0.273</v>
      </c>
    </row>
    <row r="2173" spans="1:13">
      <c r="A2173" s="1">
        <f>HYPERLINK("http://www.twitter.com/NathanBLawrence/status/991895225839763456", "991895225839763456")</f>
        <v/>
      </c>
      <c r="B2173" s="2" t="n">
        <v>43223.18084490741</v>
      </c>
      <c r="C2173" t="n">
        <v>0</v>
      </c>
      <c r="D2173" t="n">
        <v>4591</v>
      </c>
      <c r="E2173" t="s">
        <v>2182</v>
      </c>
      <c r="F2173" t="s"/>
      <c r="G2173" t="s"/>
      <c r="H2173" t="s"/>
      <c r="I2173" t="s"/>
      <c r="J2173" t="n">
        <v>0</v>
      </c>
      <c r="K2173" t="n">
        <v>0</v>
      </c>
      <c r="L2173" t="n">
        <v>1</v>
      </c>
      <c r="M2173" t="n">
        <v>0</v>
      </c>
    </row>
    <row r="2174" spans="1:13">
      <c r="A2174" s="1">
        <f>HYPERLINK("http://www.twitter.com/NathanBLawrence/status/991895152707887109", "991895152707887109")</f>
        <v/>
      </c>
      <c r="B2174" s="2" t="n">
        <v>43223.18063657408</v>
      </c>
      <c r="C2174" t="n">
        <v>0</v>
      </c>
      <c r="D2174" t="n">
        <v>2044</v>
      </c>
      <c r="E2174" t="s">
        <v>2183</v>
      </c>
      <c r="F2174">
        <f>HYPERLINK("https://video.twimg.com/ext_tw_video/946159296273842184/pu/vid/480x480/2GGCB58xKiYOn7CN.mp4", "https://video.twimg.com/ext_tw_video/946159296273842184/pu/vid/480x480/2GGCB58xKiYOn7CN.mp4")</f>
        <v/>
      </c>
      <c r="G2174" t="s"/>
      <c r="H2174" t="s"/>
      <c r="I2174" t="s"/>
      <c r="J2174" t="n">
        <v>-0.5574</v>
      </c>
      <c r="K2174" t="n">
        <v>0.195</v>
      </c>
      <c r="L2174" t="n">
        <v>0.805</v>
      </c>
      <c r="M2174" t="n">
        <v>0</v>
      </c>
    </row>
    <row r="2175" spans="1:13">
      <c r="A2175" s="1">
        <f>HYPERLINK("http://www.twitter.com/NathanBLawrence/status/991895040564781056", "991895040564781056")</f>
        <v/>
      </c>
      <c r="B2175" s="2" t="n">
        <v>43223.18032407408</v>
      </c>
      <c r="C2175" t="n">
        <v>6</v>
      </c>
      <c r="D2175" t="n">
        <v>2</v>
      </c>
      <c r="E2175" t="s">
        <v>2184</v>
      </c>
      <c r="F2175" t="s"/>
      <c r="G2175" t="s"/>
      <c r="H2175" t="s"/>
      <c r="I2175" t="s"/>
      <c r="J2175" t="n">
        <v>-0.3818</v>
      </c>
      <c r="K2175" t="n">
        <v>0.167</v>
      </c>
      <c r="L2175" t="n">
        <v>0.833</v>
      </c>
      <c r="M2175" t="n">
        <v>0</v>
      </c>
    </row>
    <row r="2176" spans="1:13">
      <c r="A2176" s="1">
        <f>HYPERLINK("http://www.twitter.com/NathanBLawrence/status/991894834918047744", "991894834918047744")</f>
        <v/>
      </c>
      <c r="B2176" s="2" t="n">
        <v>43223.17975694445</v>
      </c>
      <c r="C2176" t="n">
        <v>3</v>
      </c>
      <c r="D2176" t="n">
        <v>3</v>
      </c>
      <c r="E2176" t="s">
        <v>2185</v>
      </c>
      <c r="F2176" t="s"/>
      <c r="G2176" t="s"/>
      <c r="H2176" t="s"/>
      <c r="I2176" t="s"/>
      <c r="J2176" t="n">
        <v>0</v>
      </c>
      <c r="K2176" t="n">
        <v>0</v>
      </c>
      <c r="L2176" t="n">
        <v>1</v>
      </c>
      <c r="M2176" t="n">
        <v>0</v>
      </c>
    </row>
    <row r="2177" spans="1:13">
      <c r="A2177" s="1">
        <f>HYPERLINK("http://www.twitter.com/NathanBLawrence/status/991894588238446592", "991894588238446592")</f>
        <v/>
      </c>
      <c r="B2177" s="2" t="n">
        <v>43223.17908564815</v>
      </c>
      <c r="C2177" t="n">
        <v>5</v>
      </c>
      <c r="D2177" t="n">
        <v>2</v>
      </c>
      <c r="E2177" t="s">
        <v>2186</v>
      </c>
      <c r="F2177" t="s"/>
      <c r="G2177" t="s"/>
      <c r="H2177" t="s"/>
      <c r="I2177" t="s"/>
      <c r="J2177" t="n">
        <v>0.34</v>
      </c>
      <c r="K2177" t="n">
        <v>0</v>
      </c>
      <c r="L2177" t="n">
        <v>0.769</v>
      </c>
      <c r="M2177" t="n">
        <v>0.231</v>
      </c>
    </row>
    <row r="2178" spans="1:13">
      <c r="A2178" s="1">
        <f>HYPERLINK("http://www.twitter.com/NathanBLawrence/status/991894194997284864", "991894194997284864")</f>
        <v/>
      </c>
      <c r="B2178" s="2" t="n">
        <v>43223.17799768518</v>
      </c>
      <c r="C2178" t="n">
        <v>8</v>
      </c>
      <c r="D2178" t="n">
        <v>5</v>
      </c>
      <c r="E2178" t="s">
        <v>2187</v>
      </c>
      <c r="F2178" t="s"/>
      <c r="G2178" t="s"/>
      <c r="H2178" t="s"/>
      <c r="I2178" t="s"/>
      <c r="J2178" t="n">
        <v>-0.4588</v>
      </c>
      <c r="K2178" t="n">
        <v>0.214</v>
      </c>
      <c r="L2178" t="n">
        <v>0.786</v>
      </c>
      <c r="M2178" t="n">
        <v>0</v>
      </c>
    </row>
    <row r="2179" spans="1:13">
      <c r="A2179" s="1">
        <f>HYPERLINK("http://www.twitter.com/NathanBLawrence/status/991893961076686848", "991893961076686848")</f>
        <v/>
      </c>
      <c r="B2179" s="2" t="n">
        <v>43223.17734953704</v>
      </c>
      <c r="C2179" t="n">
        <v>4</v>
      </c>
      <c r="D2179" t="n">
        <v>1</v>
      </c>
      <c r="E2179" t="s">
        <v>2188</v>
      </c>
      <c r="F2179" t="s"/>
      <c r="G2179" t="s"/>
      <c r="H2179" t="s"/>
      <c r="I2179" t="s"/>
      <c r="J2179" t="n">
        <v>0.4019</v>
      </c>
      <c r="K2179" t="n">
        <v>0</v>
      </c>
      <c r="L2179" t="n">
        <v>0.828</v>
      </c>
      <c r="M2179" t="n">
        <v>0.172</v>
      </c>
    </row>
    <row r="2180" spans="1:13">
      <c r="A2180" s="1">
        <f>HYPERLINK("http://www.twitter.com/NathanBLawrence/status/991893856458190849", "991893856458190849")</f>
        <v/>
      </c>
      <c r="B2180" s="2" t="n">
        <v>43223.17706018518</v>
      </c>
      <c r="C2180" t="n">
        <v>9</v>
      </c>
      <c r="D2180" t="n">
        <v>3</v>
      </c>
      <c r="E2180" t="s">
        <v>2189</v>
      </c>
      <c r="F2180" t="s"/>
      <c r="G2180" t="s"/>
      <c r="H2180" t="s"/>
      <c r="I2180" t="s"/>
      <c r="J2180" t="n">
        <v>0.4019</v>
      </c>
      <c r="K2180" t="n">
        <v>0</v>
      </c>
      <c r="L2180" t="n">
        <v>0.769</v>
      </c>
      <c r="M2180" t="n">
        <v>0.231</v>
      </c>
    </row>
    <row r="2181" spans="1:13">
      <c r="A2181" s="1">
        <f>HYPERLINK("http://www.twitter.com/NathanBLawrence/status/991893595622817792", "991893595622817792")</f>
        <v/>
      </c>
      <c r="B2181" s="2" t="n">
        <v>43223.17634259259</v>
      </c>
      <c r="C2181" t="n">
        <v>8</v>
      </c>
      <c r="D2181" t="n">
        <v>3</v>
      </c>
      <c r="E2181" t="s">
        <v>2190</v>
      </c>
      <c r="F2181" t="s"/>
      <c r="G2181" t="s"/>
      <c r="H2181" t="s"/>
      <c r="I2181" t="s"/>
      <c r="J2181" t="n">
        <v>-0.3818</v>
      </c>
      <c r="K2181" t="n">
        <v>0.224</v>
      </c>
      <c r="L2181" t="n">
        <v>0.776</v>
      </c>
      <c r="M2181" t="n">
        <v>0</v>
      </c>
    </row>
    <row r="2182" spans="1:13">
      <c r="A2182" s="1">
        <f>HYPERLINK("http://www.twitter.com/NathanBLawrence/status/991893497861980161", "991893497861980161")</f>
        <v/>
      </c>
      <c r="B2182" s="2" t="n">
        <v>43223.17607638889</v>
      </c>
      <c r="C2182" t="n">
        <v>12</v>
      </c>
      <c r="D2182" t="n">
        <v>3</v>
      </c>
      <c r="E2182" t="s">
        <v>2191</v>
      </c>
      <c r="F2182" t="s"/>
      <c r="G2182" t="s"/>
      <c r="H2182" t="s"/>
      <c r="I2182" t="s"/>
      <c r="J2182" t="n">
        <v>-0.3612</v>
      </c>
      <c r="K2182" t="n">
        <v>0.273</v>
      </c>
      <c r="L2182" t="n">
        <v>0.579</v>
      </c>
      <c r="M2182" t="n">
        <v>0.149</v>
      </c>
    </row>
    <row r="2183" spans="1:13">
      <c r="A2183" s="1">
        <f>HYPERLINK("http://www.twitter.com/NathanBLawrence/status/991893428953743361", "991893428953743361")</f>
        <v/>
      </c>
      <c r="B2183" s="2" t="n">
        <v>43223.17587962963</v>
      </c>
      <c r="C2183" t="n">
        <v>16</v>
      </c>
      <c r="D2183" t="n">
        <v>4</v>
      </c>
      <c r="E2183" t="s">
        <v>2192</v>
      </c>
      <c r="F2183" t="s"/>
      <c r="G2183" t="s"/>
      <c r="H2183" t="s"/>
      <c r="I2183" t="s"/>
      <c r="J2183" t="n">
        <v>0.5461</v>
      </c>
      <c r="K2183" t="n">
        <v>0</v>
      </c>
      <c r="L2183" t="n">
        <v>0.799</v>
      </c>
      <c r="M2183" t="n">
        <v>0.201</v>
      </c>
    </row>
    <row r="2184" spans="1:13">
      <c r="A2184" s="1">
        <f>HYPERLINK("http://www.twitter.com/NathanBLawrence/status/991893297097461760", "991893297097461760")</f>
        <v/>
      </c>
      <c r="B2184" s="2" t="n">
        <v>43223.17552083333</v>
      </c>
      <c r="C2184" t="n">
        <v>6</v>
      </c>
      <c r="D2184" t="n">
        <v>0</v>
      </c>
      <c r="E2184" t="s">
        <v>2193</v>
      </c>
      <c r="F2184" t="s"/>
      <c r="G2184" t="s"/>
      <c r="H2184" t="s"/>
      <c r="I2184" t="s"/>
      <c r="J2184" t="n">
        <v>0.7783</v>
      </c>
      <c r="K2184" t="n">
        <v>0</v>
      </c>
      <c r="L2184" t="n">
        <v>0.57</v>
      </c>
      <c r="M2184" t="n">
        <v>0.43</v>
      </c>
    </row>
    <row r="2185" spans="1:13">
      <c r="A2185" s="1">
        <f>HYPERLINK("http://www.twitter.com/NathanBLawrence/status/991893240063320064", "991893240063320064")</f>
        <v/>
      </c>
      <c r="B2185" s="2" t="n">
        <v>43223.1753587963</v>
      </c>
      <c r="C2185" t="n">
        <v>10</v>
      </c>
      <c r="D2185" t="n">
        <v>4</v>
      </c>
      <c r="E2185" t="s">
        <v>2194</v>
      </c>
      <c r="F2185" t="s"/>
      <c r="G2185" t="s"/>
      <c r="H2185" t="s"/>
      <c r="I2185" t="s"/>
      <c r="J2185" t="n">
        <v>-0.1027</v>
      </c>
      <c r="K2185" t="n">
        <v>0.104</v>
      </c>
      <c r="L2185" t="n">
        <v>0.896</v>
      </c>
      <c r="M2185" t="n">
        <v>0</v>
      </c>
    </row>
    <row r="2186" spans="1:13">
      <c r="A2186" s="1">
        <f>HYPERLINK("http://www.twitter.com/NathanBLawrence/status/991893041727225857", "991893041727225857")</f>
        <v/>
      </c>
      <c r="B2186" s="2" t="n">
        <v>43223.17481481482</v>
      </c>
      <c r="C2186" t="n">
        <v>2</v>
      </c>
      <c r="D2186" t="n">
        <v>2</v>
      </c>
      <c r="E2186" t="s">
        <v>2195</v>
      </c>
      <c r="F2186" t="s"/>
      <c r="G2186" t="s"/>
      <c r="H2186" t="s"/>
      <c r="I2186" t="s"/>
      <c r="J2186" t="n">
        <v>0</v>
      </c>
      <c r="K2186" t="n">
        <v>0</v>
      </c>
      <c r="L2186" t="n">
        <v>1</v>
      </c>
      <c r="M2186" t="n">
        <v>0</v>
      </c>
    </row>
    <row r="2187" spans="1:13">
      <c r="A2187" s="1">
        <f>HYPERLINK("http://www.twitter.com/NathanBLawrence/status/991892912450371586", "991892912450371586")</f>
        <v/>
      </c>
      <c r="B2187" s="2" t="n">
        <v>43223.17445601852</v>
      </c>
      <c r="C2187" t="n">
        <v>4</v>
      </c>
      <c r="D2187" t="n">
        <v>1</v>
      </c>
      <c r="E2187" t="s">
        <v>2196</v>
      </c>
      <c r="F2187" t="s"/>
      <c r="G2187" t="s"/>
      <c r="H2187" t="s"/>
      <c r="I2187" t="s"/>
      <c r="J2187" t="n">
        <v>0.3034</v>
      </c>
      <c r="K2187" t="n">
        <v>0</v>
      </c>
      <c r="L2187" t="n">
        <v>0.853</v>
      </c>
      <c r="M2187" t="n">
        <v>0.147</v>
      </c>
    </row>
    <row r="2188" spans="1:13">
      <c r="A2188" s="1">
        <f>HYPERLINK("http://www.twitter.com/NathanBLawrence/status/991892751594672128", "991892751594672128")</f>
        <v/>
      </c>
      <c r="B2188" s="2" t="n">
        <v>43223.1740162037</v>
      </c>
      <c r="C2188" t="n">
        <v>11</v>
      </c>
      <c r="D2188" t="n">
        <v>2</v>
      </c>
      <c r="E2188" t="s">
        <v>2197</v>
      </c>
      <c r="F2188" t="s"/>
      <c r="G2188" t="s"/>
      <c r="H2188" t="s"/>
      <c r="I2188" t="s"/>
      <c r="J2188" t="n">
        <v>0</v>
      </c>
      <c r="K2188" t="n">
        <v>0</v>
      </c>
      <c r="L2188" t="n">
        <v>1</v>
      </c>
      <c r="M2188" t="n">
        <v>0</v>
      </c>
    </row>
    <row r="2189" spans="1:13">
      <c r="A2189" s="1">
        <f>HYPERLINK("http://www.twitter.com/NathanBLawrence/status/991892618408701953", "991892618408701953")</f>
        <v/>
      </c>
      <c r="B2189" s="2" t="n">
        <v>43223.17364583333</v>
      </c>
      <c r="C2189" t="n">
        <v>8</v>
      </c>
      <c r="D2189" t="n">
        <v>6</v>
      </c>
      <c r="E2189" t="s">
        <v>2198</v>
      </c>
      <c r="F2189" t="s"/>
      <c r="G2189" t="s"/>
      <c r="H2189" t="s"/>
      <c r="I2189" t="s"/>
      <c r="J2189" t="n">
        <v>0.5282</v>
      </c>
      <c r="K2189" t="n">
        <v>0.06</v>
      </c>
      <c r="L2189" t="n">
        <v>0.776</v>
      </c>
      <c r="M2189" t="n">
        <v>0.164</v>
      </c>
    </row>
    <row r="2190" spans="1:13">
      <c r="A2190" s="1">
        <f>HYPERLINK("http://www.twitter.com/NathanBLawrence/status/991892432521388034", "991892432521388034")</f>
        <v/>
      </c>
      <c r="B2190" s="2" t="n">
        <v>43223.17313657407</v>
      </c>
      <c r="C2190" t="n">
        <v>4</v>
      </c>
      <c r="D2190" t="n">
        <v>3</v>
      </c>
      <c r="E2190" t="s">
        <v>2199</v>
      </c>
      <c r="F2190" t="s"/>
      <c r="G2190" t="s"/>
      <c r="H2190" t="s"/>
      <c r="I2190" t="s"/>
      <c r="J2190" t="n">
        <v>0</v>
      </c>
      <c r="K2190" t="n">
        <v>0</v>
      </c>
      <c r="L2190" t="n">
        <v>1</v>
      </c>
      <c r="M2190" t="n">
        <v>0</v>
      </c>
    </row>
    <row r="2191" spans="1:13">
      <c r="A2191" s="1">
        <f>HYPERLINK("http://www.twitter.com/NathanBLawrence/status/991892353236389889", "991892353236389889")</f>
        <v/>
      </c>
      <c r="B2191" s="2" t="n">
        <v>43223.17291666667</v>
      </c>
      <c r="C2191" t="n">
        <v>2</v>
      </c>
      <c r="D2191" t="n">
        <v>1</v>
      </c>
      <c r="E2191" t="s">
        <v>2200</v>
      </c>
      <c r="F2191" t="s"/>
      <c r="G2191" t="s"/>
      <c r="H2191" t="s"/>
      <c r="I2191" t="s"/>
      <c r="J2191" t="n">
        <v>-0.6705</v>
      </c>
      <c r="K2191" t="n">
        <v>0.474</v>
      </c>
      <c r="L2191" t="n">
        <v>0.526</v>
      </c>
      <c r="M2191" t="n">
        <v>0</v>
      </c>
    </row>
    <row r="2192" spans="1:13">
      <c r="A2192" s="1">
        <f>HYPERLINK("http://www.twitter.com/NathanBLawrence/status/991892254481567745", "991892254481567745")</f>
        <v/>
      </c>
      <c r="B2192" s="2" t="n">
        <v>43223.17263888889</v>
      </c>
      <c r="C2192" t="n">
        <v>3</v>
      </c>
      <c r="D2192" t="n">
        <v>2</v>
      </c>
      <c r="E2192" t="s">
        <v>2201</v>
      </c>
      <c r="F2192" t="s"/>
      <c r="G2192" t="s"/>
      <c r="H2192" t="s"/>
      <c r="I2192" t="s"/>
      <c r="J2192" t="n">
        <v>-0.6155</v>
      </c>
      <c r="K2192" t="n">
        <v>0.155</v>
      </c>
      <c r="L2192" t="n">
        <v>0.845</v>
      </c>
      <c r="M2192" t="n">
        <v>0</v>
      </c>
    </row>
    <row r="2193" spans="1:13">
      <c r="A2193" s="1">
        <f>HYPERLINK("http://www.twitter.com/NathanBLawrence/status/991891789438054401", "991891789438054401")</f>
        <v/>
      </c>
      <c r="B2193" s="2" t="n">
        <v>43223.17135416667</v>
      </c>
      <c r="C2193" t="n">
        <v>9</v>
      </c>
      <c r="D2193" t="n">
        <v>4</v>
      </c>
      <c r="E2193" t="s">
        <v>2202</v>
      </c>
      <c r="F2193" t="s"/>
      <c r="G2193" t="s"/>
      <c r="H2193" t="s"/>
      <c r="I2193" t="s"/>
      <c r="J2193" t="n">
        <v>-0.7184</v>
      </c>
      <c r="K2193" t="n">
        <v>0.353</v>
      </c>
      <c r="L2193" t="n">
        <v>0.647</v>
      </c>
      <c r="M2193" t="n">
        <v>0</v>
      </c>
    </row>
    <row r="2194" spans="1:13">
      <c r="A2194" s="1">
        <f>HYPERLINK("http://www.twitter.com/NathanBLawrence/status/991891716692103168", "991891716692103168")</f>
        <v/>
      </c>
      <c r="B2194" s="2" t="n">
        <v>43223.17115740741</v>
      </c>
      <c r="C2194" t="n">
        <v>12</v>
      </c>
      <c r="D2194" t="n">
        <v>6</v>
      </c>
      <c r="E2194" t="s">
        <v>2203</v>
      </c>
      <c r="F2194" t="s"/>
      <c r="G2194" t="s"/>
      <c r="H2194" t="s"/>
      <c r="I2194" t="s"/>
      <c r="J2194" t="n">
        <v>0</v>
      </c>
      <c r="K2194" t="n">
        <v>0</v>
      </c>
      <c r="L2194" t="n">
        <v>1</v>
      </c>
      <c r="M2194" t="n">
        <v>0</v>
      </c>
    </row>
    <row r="2195" spans="1:13">
      <c r="A2195" s="1">
        <f>HYPERLINK("http://www.twitter.com/NathanBLawrence/status/991891612849459201", "991891612849459201")</f>
        <v/>
      </c>
      <c r="B2195" s="2" t="n">
        <v>43223.17086805555</v>
      </c>
      <c r="C2195" t="n">
        <v>5</v>
      </c>
      <c r="D2195" t="n">
        <v>2</v>
      </c>
      <c r="E2195" t="s">
        <v>2204</v>
      </c>
      <c r="F2195" t="s"/>
      <c r="G2195" t="s"/>
      <c r="H2195" t="s"/>
      <c r="I2195" t="s"/>
      <c r="J2195" t="n">
        <v>-0.9419</v>
      </c>
      <c r="K2195" t="n">
        <v>0.414</v>
      </c>
      <c r="L2195" t="n">
        <v>0.586</v>
      </c>
      <c r="M2195" t="n">
        <v>0</v>
      </c>
    </row>
    <row r="2196" spans="1:13">
      <c r="A2196" s="1">
        <f>HYPERLINK("http://www.twitter.com/NathanBLawrence/status/991718410080870401", "991718410080870401")</f>
        <v/>
      </c>
      <c r="B2196" s="2" t="n">
        <v>43222.69291666667</v>
      </c>
      <c r="C2196" t="n">
        <v>5</v>
      </c>
      <c r="D2196" t="n">
        <v>1</v>
      </c>
      <c r="E2196" t="s">
        <v>2205</v>
      </c>
      <c r="F2196" t="s"/>
      <c r="G2196" t="s"/>
      <c r="H2196" t="s"/>
      <c r="I2196" t="s"/>
      <c r="J2196" t="n">
        <v>-0.8468</v>
      </c>
      <c r="K2196" t="n">
        <v>0.337</v>
      </c>
      <c r="L2196" t="n">
        <v>0.663</v>
      </c>
      <c r="M2196" t="n">
        <v>0</v>
      </c>
    </row>
    <row r="2197" spans="1:13">
      <c r="A2197" s="1">
        <f>HYPERLINK("http://www.twitter.com/NathanBLawrence/status/991718225283985409", "991718225283985409")</f>
        <v/>
      </c>
      <c r="B2197" s="2" t="n">
        <v>43222.6924074074</v>
      </c>
      <c r="C2197" t="n">
        <v>18</v>
      </c>
      <c r="D2197" t="n">
        <v>10</v>
      </c>
      <c r="E2197" t="s">
        <v>2206</v>
      </c>
      <c r="F2197" t="s"/>
      <c r="G2197" t="s"/>
      <c r="H2197" t="s"/>
      <c r="I2197" t="s"/>
      <c r="J2197" t="n">
        <v>0.4374</v>
      </c>
      <c r="K2197" t="n">
        <v>0.118</v>
      </c>
      <c r="L2197" t="n">
        <v>0.667</v>
      </c>
      <c r="M2197" t="n">
        <v>0.215</v>
      </c>
    </row>
    <row r="2198" spans="1:13">
      <c r="A2198" s="1">
        <f>HYPERLINK("http://www.twitter.com/NathanBLawrence/status/991717738597859328", "991717738597859328")</f>
        <v/>
      </c>
      <c r="B2198" s="2" t="n">
        <v>43222.69106481481</v>
      </c>
      <c r="C2198" t="n">
        <v>2</v>
      </c>
      <c r="D2198" t="n">
        <v>3</v>
      </c>
      <c r="E2198" t="s">
        <v>2207</v>
      </c>
      <c r="F2198" t="s"/>
      <c r="G2198" t="s"/>
      <c r="H2198" t="s"/>
      <c r="I2198" t="s"/>
      <c r="J2198" t="n">
        <v>-0.5106000000000001</v>
      </c>
      <c r="K2198" t="n">
        <v>0.163</v>
      </c>
      <c r="L2198" t="n">
        <v>0.837</v>
      </c>
      <c r="M2198" t="n">
        <v>0</v>
      </c>
    </row>
    <row r="2199" spans="1:13">
      <c r="A2199" s="1">
        <f>HYPERLINK("http://www.twitter.com/NathanBLawrence/status/991717609358807040", "991717609358807040")</f>
        <v/>
      </c>
      <c r="B2199" s="2" t="n">
        <v>43222.69070601852</v>
      </c>
      <c r="C2199" t="n">
        <v>2</v>
      </c>
      <c r="D2199" t="n">
        <v>1</v>
      </c>
      <c r="E2199" t="s">
        <v>2208</v>
      </c>
      <c r="F2199" t="s"/>
      <c r="G2199" t="s"/>
      <c r="H2199" t="s"/>
      <c r="I2199" t="s"/>
      <c r="J2199" t="n">
        <v>-0.4404</v>
      </c>
      <c r="K2199" t="n">
        <v>0.1</v>
      </c>
      <c r="L2199" t="n">
        <v>0.9</v>
      </c>
      <c r="M2199" t="n">
        <v>0</v>
      </c>
    </row>
    <row r="2200" spans="1:13">
      <c r="A2200" s="1">
        <f>HYPERLINK("http://www.twitter.com/NathanBLawrence/status/991717429796470785", "991717429796470785")</f>
        <v/>
      </c>
      <c r="B2200" s="2" t="n">
        <v>43222.69021990741</v>
      </c>
      <c r="C2200" t="n">
        <v>0</v>
      </c>
      <c r="D2200" t="n">
        <v>10</v>
      </c>
      <c r="E2200" t="s">
        <v>2209</v>
      </c>
      <c r="F2200" t="s"/>
      <c r="G2200" t="s"/>
      <c r="H2200" t="s"/>
      <c r="I2200" t="s"/>
      <c r="J2200" t="n">
        <v>0</v>
      </c>
      <c r="K2200" t="n">
        <v>0</v>
      </c>
      <c r="L2200" t="n">
        <v>1</v>
      </c>
      <c r="M2200" t="n">
        <v>0</v>
      </c>
    </row>
    <row r="2201" spans="1:13">
      <c r="A2201" s="1">
        <f>HYPERLINK("http://www.twitter.com/NathanBLawrence/status/991717293267734528", "991717293267734528")</f>
        <v/>
      </c>
      <c r="B2201" s="2" t="n">
        <v>43222.68983796296</v>
      </c>
      <c r="C2201" t="n">
        <v>0</v>
      </c>
      <c r="D2201" t="n">
        <v>16</v>
      </c>
      <c r="E2201" t="s">
        <v>2210</v>
      </c>
      <c r="F2201" t="s"/>
      <c r="G2201" t="s"/>
      <c r="H2201" t="s"/>
      <c r="I2201" t="s"/>
      <c r="J2201" t="n">
        <v>0.2023</v>
      </c>
      <c r="K2201" t="n">
        <v>0.096</v>
      </c>
      <c r="L2201" t="n">
        <v>0.778</v>
      </c>
      <c r="M2201" t="n">
        <v>0.126</v>
      </c>
    </row>
    <row r="2202" spans="1:13">
      <c r="A2202" s="1">
        <f>HYPERLINK("http://www.twitter.com/NathanBLawrence/status/991717241748996096", "991717241748996096")</f>
        <v/>
      </c>
      <c r="B2202" s="2" t="n">
        <v>43222.68969907407</v>
      </c>
      <c r="C2202" t="n">
        <v>3</v>
      </c>
      <c r="D2202" t="n">
        <v>1</v>
      </c>
      <c r="E2202" t="s">
        <v>2211</v>
      </c>
      <c r="F2202" t="s"/>
      <c r="G2202" t="s"/>
      <c r="H2202" t="s"/>
      <c r="I2202" t="s"/>
      <c r="J2202" t="n">
        <v>0</v>
      </c>
      <c r="K2202" t="n">
        <v>0</v>
      </c>
      <c r="L2202" t="n">
        <v>1</v>
      </c>
      <c r="M2202" t="n">
        <v>0</v>
      </c>
    </row>
    <row r="2203" spans="1:13">
      <c r="A2203" s="1">
        <f>HYPERLINK("http://www.twitter.com/NathanBLawrence/status/991717028397441030", "991717028397441030")</f>
        <v/>
      </c>
      <c r="B2203" s="2" t="n">
        <v>43222.68910879629</v>
      </c>
      <c r="C2203" t="n">
        <v>2</v>
      </c>
      <c r="D2203" t="n">
        <v>2</v>
      </c>
      <c r="E2203" t="s">
        <v>2212</v>
      </c>
      <c r="F2203" t="s"/>
      <c r="G2203" t="s"/>
      <c r="H2203" t="s"/>
      <c r="I2203" t="s"/>
      <c r="J2203" t="n">
        <v>0</v>
      </c>
      <c r="K2203" t="n">
        <v>0</v>
      </c>
      <c r="L2203" t="n">
        <v>1</v>
      </c>
      <c r="M2203" t="n">
        <v>0</v>
      </c>
    </row>
    <row r="2204" spans="1:13">
      <c r="A2204" s="1">
        <f>HYPERLINK("http://www.twitter.com/NathanBLawrence/status/991716914966683648", "991716914966683648")</f>
        <v/>
      </c>
      <c r="B2204" s="2" t="n">
        <v>43222.68879629629</v>
      </c>
      <c r="C2204" t="n">
        <v>5</v>
      </c>
      <c r="D2204" t="n">
        <v>1</v>
      </c>
      <c r="E2204" t="s">
        <v>2213</v>
      </c>
      <c r="F2204" t="s"/>
      <c r="G2204" t="s"/>
      <c r="H2204" t="s"/>
      <c r="I2204" t="s"/>
      <c r="J2204" t="n">
        <v>0</v>
      </c>
      <c r="K2204" t="n">
        <v>0</v>
      </c>
      <c r="L2204" t="n">
        <v>1</v>
      </c>
      <c r="M2204" t="n">
        <v>0</v>
      </c>
    </row>
    <row r="2205" spans="1:13">
      <c r="A2205" s="1">
        <f>HYPERLINK("http://www.twitter.com/NathanBLawrence/status/991716841088212992", "991716841088212992")</f>
        <v/>
      </c>
      <c r="B2205" s="2" t="n">
        <v>43222.68858796296</v>
      </c>
      <c r="C2205" t="n">
        <v>4</v>
      </c>
      <c r="D2205" t="n">
        <v>1</v>
      </c>
      <c r="E2205" t="s">
        <v>2214</v>
      </c>
      <c r="F2205" t="s"/>
      <c r="G2205" t="s"/>
      <c r="H2205" t="s"/>
      <c r="I2205" t="s"/>
      <c r="J2205" t="n">
        <v>0</v>
      </c>
      <c r="K2205" t="n">
        <v>0</v>
      </c>
      <c r="L2205" t="n">
        <v>1</v>
      </c>
      <c r="M2205" t="n">
        <v>0</v>
      </c>
    </row>
    <row r="2206" spans="1:13">
      <c r="A2206" s="1">
        <f>HYPERLINK("http://www.twitter.com/NathanBLawrence/status/991716729943347200", "991716729943347200")</f>
        <v/>
      </c>
      <c r="B2206" s="2" t="n">
        <v>43222.68828703704</v>
      </c>
      <c r="C2206" t="n">
        <v>0</v>
      </c>
      <c r="D2206" t="n">
        <v>75</v>
      </c>
      <c r="E2206" t="s">
        <v>2215</v>
      </c>
      <c r="F2206">
        <f>HYPERLINK("http://pbs.twimg.com/media/DcM89xOWAAEz-Ky.jpg", "http://pbs.twimg.com/media/DcM89xOWAAEz-Ky.jpg")</f>
        <v/>
      </c>
      <c r="G2206" t="s"/>
      <c r="H2206" t="s"/>
      <c r="I2206" t="s"/>
      <c r="J2206" t="n">
        <v>0</v>
      </c>
      <c r="K2206" t="n">
        <v>0</v>
      </c>
      <c r="L2206" t="n">
        <v>1</v>
      </c>
      <c r="M2206" t="n">
        <v>0</v>
      </c>
    </row>
    <row r="2207" spans="1:13">
      <c r="A2207" s="1">
        <f>HYPERLINK("http://www.twitter.com/NathanBLawrence/status/991716630160752641", "991716630160752641")</f>
        <v/>
      </c>
      <c r="B2207" s="2" t="n">
        <v>43222.68800925926</v>
      </c>
      <c r="C2207" t="n">
        <v>4</v>
      </c>
      <c r="D2207" t="n">
        <v>1</v>
      </c>
      <c r="E2207" t="s">
        <v>2216</v>
      </c>
      <c r="F2207" t="s"/>
      <c r="G2207" t="s"/>
      <c r="H2207" t="s"/>
      <c r="I2207" t="s"/>
      <c r="J2207" t="n">
        <v>0</v>
      </c>
      <c r="K2207" t="n">
        <v>0</v>
      </c>
      <c r="L2207" t="n">
        <v>1</v>
      </c>
      <c r="M2207" t="n">
        <v>0</v>
      </c>
    </row>
    <row r="2208" spans="1:13">
      <c r="A2208" s="1">
        <f>HYPERLINK("http://www.twitter.com/NathanBLawrence/status/991716316376530944", "991716316376530944")</f>
        <v/>
      </c>
      <c r="B2208" s="2" t="n">
        <v>43222.68714120371</v>
      </c>
      <c r="C2208" t="n">
        <v>4</v>
      </c>
      <c r="D2208" t="n">
        <v>3</v>
      </c>
      <c r="E2208" t="s">
        <v>2217</v>
      </c>
      <c r="F2208" t="s"/>
      <c r="G2208" t="s"/>
      <c r="H2208" t="s"/>
      <c r="I2208" t="s"/>
      <c r="J2208" t="n">
        <v>0</v>
      </c>
      <c r="K2208" t="n">
        <v>0</v>
      </c>
      <c r="L2208" t="n">
        <v>1</v>
      </c>
      <c r="M2208" t="n">
        <v>0</v>
      </c>
    </row>
    <row r="2209" spans="1:13">
      <c r="A2209" s="1">
        <f>HYPERLINK("http://www.twitter.com/NathanBLawrence/status/991716137602727936", "991716137602727936")</f>
        <v/>
      </c>
      <c r="B2209" s="2" t="n">
        <v>43222.68665509259</v>
      </c>
      <c r="C2209" t="n">
        <v>0</v>
      </c>
      <c r="D2209" t="n">
        <v>1479</v>
      </c>
      <c r="E2209" t="s">
        <v>2218</v>
      </c>
      <c r="F2209">
        <f>HYPERLINK("http://pbs.twimg.com/media/DcIUIFpV0AEwIw6.jpg", "http://pbs.twimg.com/media/DcIUIFpV0AEwIw6.jpg")</f>
        <v/>
      </c>
      <c r="G2209" t="s"/>
      <c r="H2209" t="s"/>
      <c r="I2209" t="s"/>
      <c r="J2209" t="n">
        <v>0.5256</v>
      </c>
      <c r="K2209" t="n">
        <v>0</v>
      </c>
      <c r="L2209" t="n">
        <v>0.855</v>
      </c>
      <c r="M2209" t="n">
        <v>0.145</v>
      </c>
    </row>
    <row r="2210" spans="1:13">
      <c r="A2210" s="1">
        <f>HYPERLINK("http://www.twitter.com/NathanBLawrence/status/991716087031984128", "991716087031984128")</f>
        <v/>
      </c>
      <c r="B2210" s="2" t="n">
        <v>43222.68650462963</v>
      </c>
      <c r="C2210" t="n">
        <v>0</v>
      </c>
      <c r="D2210" t="n">
        <v>125</v>
      </c>
      <c r="E2210" t="s">
        <v>2219</v>
      </c>
      <c r="F2210" t="s"/>
      <c r="G2210" t="s"/>
      <c r="H2210" t="s"/>
      <c r="I2210" t="s"/>
      <c r="J2210" t="n">
        <v>0</v>
      </c>
      <c r="K2210" t="n">
        <v>0</v>
      </c>
      <c r="L2210" t="n">
        <v>1</v>
      </c>
      <c r="M2210" t="n">
        <v>0</v>
      </c>
    </row>
    <row r="2211" spans="1:13">
      <c r="A2211" s="1">
        <f>HYPERLINK("http://www.twitter.com/NathanBLawrence/status/991716011962388483", "991716011962388483")</f>
        <v/>
      </c>
      <c r="B2211" s="2" t="n">
        <v>43222.68630787037</v>
      </c>
      <c r="C2211" t="n">
        <v>0</v>
      </c>
      <c r="D2211" t="n">
        <v>342</v>
      </c>
      <c r="E2211" t="s">
        <v>2220</v>
      </c>
      <c r="F2211">
        <f>HYPERLINK("http://pbs.twimg.com/media/DcIS1rFW0AA7kKC.jpg", "http://pbs.twimg.com/media/DcIS1rFW0AA7kKC.jpg")</f>
        <v/>
      </c>
      <c r="G2211" t="s"/>
      <c r="H2211" t="s"/>
      <c r="I2211" t="s"/>
      <c r="J2211" t="n">
        <v>-0.0772</v>
      </c>
      <c r="K2211" t="n">
        <v>0.056</v>
      </c>
      <c r="L2211" t="n">
        <v>0.944</v>
      </c>
      <c r="M2211" t="n">
        <v>0</v>
      </c>
    </row>
    <row r="2212" spans="1:13">
      <c r="A2212" s="1">
        <f>HYPERLINK("http://www.twitter.com/NathanBLawrence/status/991715893406126081", "991715893406126081")</f>
        <v/>
      </c>
      <c r="B2212" s="2" t="n">
        <v>43222.68597222222</v>
      </c>
      <c r="C2212" t="n">
        <v>0</v>
      </c>
      <c r="D2212" t="n">
        <v>3255</v>
      </c>
      <c r="E2212" t="s">
        <v>2221</v>
      </c>
      <c r="F2212">
        <f>HYPERLINK("http://pbs.twimg.com/media/DabaKODW4AAmlAx.jpg", "http://pbs.twimg.com/media/DabaKODW4AAmlAx.jpg")</f>
        <v/>
      </c>
      <c r="G2212" t="s"/>
      <c r="H2212" t="s"/>
      <c r="I2212" t="s"/>
      <c r="J2212" t="n">
        <v>0</v>
      </c>
      <c r="K2212" t="n">
        <v>0</v>
      </c>
      <c r="L2212" t="n">
        <v>1</v>
      </c>
      <c r="M2212" t="n">
        <v>0</v>
      </c>
    </row>
    <row r="2213" spans="1:13">
      <c r="A2213" s="1">
        <f>HYPERLINK("http://www.twitter.com/NathanBLawrence/status/991715763315589120", "991715763315589120")</f>
        <v/>
      </c>
      <c r="B2213" s="2" t="n">
        <v>43222.68561342593</v>
      </c>
      <c r="C2213" t="n">
        <v>6</v>
      </c>
      <c r="D2213" t="n">
        <v>4</v>
      </c>
      <c r="E2213" t="s">
        <v>2222</v>
      </c>
      <c r="F2213" t="s"/>
      <c r="G2213" t="s"/>
      <c r="H2213" t="s"/>
      <c r="I2213" t="s"/>
      <c r="J2213" t="n">
        <v>-0.6229</v>
      </c>
      <c r="K2213" t="n">
        <v>0.191</v>
      </c>
      <c r="L2213" t="n">
        <v>0.695</v>
      </c>
      <c r="M2213" t="n">
        <v>0.114</v>
      </c>
    </row>
    <row r="2214" spans="1:13">
      <c r="A2214" s="1">
        <f>HYPERLINK("http://www.twitter.com/NathanBLawrence/status/991715535975993344", "991715535975993344")</f>
        <v/>
      </c>
      <c r="B2214" s="2" t="n">
        <v>43222.68498842593</v>
      </c>
      <c r="C2214" t="n">
        <v>4</v>
      </c>
      <c r="D2214" t="n">
        <v>4</v>
      </c>
      <c r="E2214" t="s">
        <v>2223</v>
      </c>
      <c r="F2214" t="s"/>
      <c r="G2214" t="s"/>
      <c r="H2214" t="s"/>
      <c r="I2214" t="s"/>
      <c r="J2214" t="n">
        <v>-0.836</v>
      </c>
      <c r="K2214" t="n">
        <v>0.441</v>
      </c>
      <c r="L2214" t="n">
        <v>0.5590000000000001</v>
      </c>
      <c r="M2214" t="n">
        <v>0</v>
      </c>
    </row>
    <row r="2215" spans="1:13">
      <c r="A2215" s="1">
        <f>HYPERLINK("http://www.twitter.com/NathanBLawrence/status/991715443755765760", "991715443755765760")</f>
        <v/>
      </c>
      <c r="B2215" s="2" t="n">
        <v>43222.6847337963</v>
      </c>
      <c r="C2215" t="n">
        <v>2</v>
      </c>
      <c r="D2215" t="n">
        <v>2</v>
      </c>
      <c r="E2215" t="s">
        <v>2224</v>
      </c>
      <c r="F2215" t="s"/>
      <c r="G2215" t="s"/>
      <c r="H2215" t="s"/>
      <c r="I2215" t="s"/>
      <c r="J2215" t="n">
        <v>-0.7177</v>
      </c>
      <c r="K2215" t="n">
        <v>0.25</v>
      </c>
      <c r="L2215" t="n">
        <v>0.75</v>
      </c>
      <c r="M2215" t="n">
        <v>0</v>
      </c>
    </row>
    <row r="2216" spans="1:13">
      <c r="A2216" s="1">
        <f>HYPERLINK("http://www.twitter.com/NathanBLawrence/status/991715103044063237", "991715103044063237")</f>
        <v/>
      </c>
      <c r="B2216" s="2" t="n">
        <v>43222.6837962963</v>
      </c>
      <c r="C2216" t="n">
        <v>2</v>
      </c>
      <c r="D2216" t="n">
        <v>2</v>
      </c>
      <c r="E2216" t="s">
        <v>2225</v>
      </c>
      <c r="F2216" t="s"/>
      <c r="G2216" t="s"/>
      <c r="H2216" t="s"/>
      <c r="I2216" t="s"/>
      <c r="J2216" t="n">
        <v>0.5707</v>
      </c>
      <c r="K2216" t="n">
        <v>0</v>
      </c>
      <c r="L2216" t="n">
        <v>0.765</v>
      </c>
      <c r="M2216" t="n">
        <v>0.235</v>
      </c>
    </row>
    <row r="2217" spans="1:13">
      <c r="A2217" s="1">
        <f>HYPERLINK("http://www.twitter.com/NathanBLawrence/status/991714978439704577", "991714978439704577")</f>
        <v/>
      </c>
      <c r="B2217" s="2" t="n">
        <v>43222.68344907407</v>
      </c>
      <c r="C2217" t="n">
        <v>1</v>
      </c>
      <c r="D2217" t="n">
        <v>1</v>
      </c>
      <c r="E2217" t="s">
        <v>2226</v>
      </c>
      <c r="F2217" t="s"/>
      <c r="G2217" t="s"/>
      <c r="H2217" t="s"/>
      <c r="I2217" t="s"/>
      <c r="J2217" t="n">
        <v>-0.3612</v>
      </c>
      <c r="K2217" t="n">
        <v>0.153</v>
      </c>
      <c r="L2217" t="n">
        <v>0.766</v>
      </c>
      <c r="M2217" t="n">
        <v>0.081</v>
      </c>
    </row>
    <row r="2218" spans="1:13">
      <c r="A2218" s="1">
        <f>HYPERLINK("http://www.twitter.com/NathanBLawrence/status/991714258135105537", "991714258135105537")</f>
        <v/>
      </c>
      <c r="B2218" s="2" t="n">
        <v>43222.68145833333</v>
      </c>
      <c r="C2218" t="n">
        <v>7</v>
      </c>
      <c r="D2218" t="n">
        <v>3</v>
      </c>
      <c r="E2218" t="s">
        <v>2227</v>
      </c>
      <c r="F2218" t="s"/>
      <c r="G2218" t="s"/>
      <c r="H2218" t="s"/>
      <c r="I2218" t="s"/>
      <c r="J2218" t="n">
        <v>0.6514</v>
      </c>
      <c r="K2218" t="n">
        <v>0</v>
      </c>
      <c r="L2218" t="n">
        <v>0.857</v>
      </c>
      <c r="M2218" t="n">
        <v>0.143</v>
      </c>
    </row>
    <row r="2219" spans="1:13">
      <c r="A2219" s="1">
        <f>HYPERLINK("http://www.twitter.com/NathanBLawrence/status/991713943927209986", "991713943927209986")</f>
        <v/>
      </c>
      <c r="B2219" s="2" t="n">
        <v>43222.68060185185</v>
      </c>
      <c r="C2219" t="n">
        <v>6</v>
      </c>
      <c r="D2219" t="n">
        <v>1</v>
      </c>
      <c r="E2219" t="s">
        <v>2228</v>
      </c>
      <c r="F2219" t="s"/>
      <c r="G2219" t="s"/>
      <c r="H2219" t="s"/>
      <c r="I2219" t="s"/>
      <c r="J2219" t="n">
        <v>-0.8512999999999999</v>
      </c>
      <c r="K2219" t="n">
        <v>0.243</v>
      </c>
      <c r="L2219" t="n">
        <v>0.757</v>
      </c>
      <c r="M2219" t="n">
        <v>0</v>
      </c>
    </row>
    <row r="2220" spans="1:13">
      <c r="A2220" s="1">
        <f>HYPERLINK("http://www.twitter.com/NathanBLawrence/status/991713111915687936", "991713111915687936")</f>
        <v/>
      </c>
      <c r="B2220" s="2" t="n">
        <v>43222.67829861111</v>
      </c>
      <c r="C2220" t="n">
        <v>5</v>
      </c>
      <c r="D2220" t="n">
        <v>4</v>
      </c>
      <c r="E2220" t="s">
        <v>2229</v>
      </c>
      <c r="F2220" t="s"/>
      <c r="G2220" t="s"/>
      <c r="H2220" t="s"/>
      <c r="I2220" t="s"/>
      <c r="J2220" t="n">
        <v>0</v>
      </c>
      <c r="K2220" t="n">
        <v>0</v>
      </c>
      <c r="L2220" t="n">
        <v>1</v>
      </c>
      <c r="M2220" t="n">
        <v>0</v>
      </c>
    </row>
    <row r="2221" spans="1:13">
      <c r="A2221" s="1">
        <f>HYPERLINK("http://www.twitter.com/NathanBLawrence/status/991713027287171072", "991713027287171072")</f>
        <v/>
      </c>
      <c r="B2221" s="2" t="n">
        <v>43222.67806712963</v>
      </c>
      <c r="C2221" t="n">
        <v>7</v>
      </c>
      <c r="D2221" t="n">
        <v>1</v>
      </c>
      <c r="E2221" t="s">
        <v>2230</v>
      </c>
      <c r="F2221" t="s"/>
      <c r="G2221" t="s"/>
      <c r="H2221" t="s"/>
      <c r="I2221" t="s"/>
      <c r="J2221" t="n">
        <v>0.6399</v>
      </c>
      <c r="K2221" t="n">
        <v>0</v>
      </c>
      <c r="L2221" t="n">
        <v>0.791</v>
      </c>
      <c r="M2221" t="n">
        <v>0.209</v>
      </c>
    </row>
    <row r="2222" spans="1:13">
      <c r="A2222" s="1">
        <f>HYPERLINK("http://www.twitter.com/NathanBLawrence/status/991712862857904130", "991712862857904130")</f>
        <v/>
      </c>
      <c r="B2222" s="2" t="n">
        <v>43222.67761574074</v>
      </c>
      <c r="C2222" t="n">
        <v>3</v>
      </c>
      <c r="D2222" t="n">
        <v>1</v>
      </c>
      <c r="E2222" t="s">
        <v>2231</v>
      </c>
      <c r="F2222" t="s"/>
      <c r="G2222" t="s"/>
      <c r="H2222" t="s"/>
      <c r="I2222" t="s"/>
      <c r="J2222" t="n">
        <v>0</v>
      </c>
      <c r="K2222" t="n">
        <v>0</v>
      </c>
      <c r="L2222" t="n">
        <v>1</v>
      </c>
      <c r="M2222" t="n">
        <v>0</v>
      </c>
    </row>
    <row r="2223" spans="1:13">
      <c r="A2223" s="1">
        <f>HYPERLINK("http://www.twitter.com/NathanBLawrence/status/991712808587816962", "991712808587816962")</f>
        <v/>
      </c>
      <c r="B2223" s="2" t="n">
        <v>43222.67746527777</v>
      </c>
      <c r="C2223" t="n">
        <v>0</v>
      </c>
      <c r="D2223" t="n">
        <v>245</v>
      </c>
      <c r="E2223" t="s">
        <v>2232</v>
      </c>
      <c r="F2223" t="s"/>
      <c r="G2223" t="s"/>
      <c r="H2223" t="s"/>
      <c r="I2223" t="s"/>
      <c r="J2223" t="n">
        <v>0</v>
      </c>
      <c r="K2223" t="n">
        <v>0</v>
      </c>
      <c r="L2223" t="n">
        <v>1</v>
      </c>
      <c r="M2223" t="n">
        <v>0</v>
      </c>
    </row>
    <row r="2224" spans="1:13">
      <c r="A2224" s="1">
        <f>HYPERLINK("http://www.twitter.com/NathanBLawrence/status/991712777134747648", "991712777134747648")</f>
        <v/>
      </c>
      <c r="B2224" s="2" t="n">
        <v>43222.67737268518</v>
      </c>
      <c r="C2224" t="n">
        <v>3</v>
      </c>
      <c r="D2224" t="n">
        <v>2</v>
      </c>
      <c r="E2224" t="s">
        <v>2233</v>
      </c>
      <c r="F2224" t="s"/>
      <c r="G2224" t="s"/>
      <c r="H2224" t="s"/>
      <c r="I2224" t="s"/>
      <c r="J2224" t="n">
        <v>-0.3382</v>
      </c>
      <c r="K2224" t="n">
        <v>0.294</v>
      </c>
      <c r="L2224" t="n">
        <v>0.515</v>
      </c>
      <c r="M2224" t="n">
        <v>0.191</v>
      </c>
    </row>
    <row r="2225" spans="1:13">
      <c r="A2225" s="1">
        <f>HYPERLINK("http://www.twitter.com/NathanBLawrence/status/991712659719446528", "991712659719446528")</f>
        <v/>
      </c>
      <c r="B2225" s="2" t="n">
        <v>43222.67704861111</v>
      </c>
      <c r="C2225" t="n">
        <v>0</v>
      </c>
      <c r="D2225" t="n">
        <v>2869</v>
      </c>
      <c r="E2225" t="s">
        <v>2234</v>
      </c>
      <c r="F2225">
        <f>HYPERLINK("http://pbs.twimg.com/media/DcMXvvnX0AAZ9AS.jpg", "http://pbs.twimg.com/media/DcMXvvnX0AAZ9AS.jpg")</f>
        <v/>
      </c>
      <c r="G2225" t="s"/>
      <c r="H2225" t="s"/>
      <c r="I2225" t="s"/>
      <c r="J2225" t="n">
        <v>-0.4404</v>
      </c>
      <c r="K2225" t="n">
        <v>0.171</v>
      </c>
      <c r="L2225" t="n">
        <v>0.735</v>
      </c>
      <c r="M2225" t="n">
        <v>0.094</v>
      </c>
    </row>
    <row r="2226" spans="1:13">
      <c r="A2226" s="1">
        <f>HYPERLINK("http://www.twitter.com/NathanBLawrence/status/991712334853783553", "991712334853783553")</f>
        <v/>
      </c>
      <c r="B2226" s="2" t="n">
        <v>43222.6761574074</v>
      </c>
      <c r="C2226" t="n">
        <v>0</v>
      </c>
      <c r="D2226" t="n">
        <v>2133</v>
      </c>
      <c r="E2226" t="s">
        <v>2235</v>
      </c>
      <c r="F2226" t="s"/>
      <c r="G2226" t="s"/>
      <c r="H2226" t="s"/>
      <c r="I2226" t="s"/>
      <c r="J2226" t="n">
        <v>0.7644</v>
      </c>
      <c r="K2226" t="n">
        <v>0</v>
      </c>
      <c r="L2226" t="n">
        <v>0.742</v>
      </c>
      <c r="M2226" t="n">
        <v>0.258</v>
      </c>
    </row>
    <row r="2227" spans="1:13">
      <c r="A2227" s="1">
        <f>HYPERLINK("http://www.twitter.com/NathanBLawrence/status/991710290419986432", "991710290419986432")</f>
        <v/>
      </c>
      <c r="B2227" s="2" t="n">
        <v>43222.67050925926</v>
      </c>
      <c r="C2227" t="n">
        <v>2</v>
      </c>
      <c r="D2227" t="n">
        <v>1</v>
      </c>
      <c r="E2227" t="s">
        <v>2236</v>
      </c>
      <c r="F2227" t="s"/>
      <c r="G2227" t="s"/>
      <c r="H2227" t="s"/>
      <c r="I2227" t="s"/>
      <c r="J2227" t="n">
        <v>0</v>
      </c>
      <c r="K2227" t="n">
        <v>0</v>
      </c>
      <c r="L2227" t="n">
        <v>1</v>
      </c>
      <c r="M2227" t="n">
        <v>0</v>
      </c>
    </row>
    <row r="2228" spans="1:13">
      <c r="A2228" s="1">
        <f>HYPERLINK("http://www.twitter.com/NathanBLawrence/status/991710168307023872", "991710168307023872")</f>
        <v/>
      </c>
      <c r="B2228" s="2" t="n">
        <v>43222.67017361111</v>
      </c>
      <c r="C2228" t="n">
        <v>2</v>
      </c>
      <c r="D2228" t="n">
        <v>0</v>
      </c>
      <c r="E2228" t="s">
        <v>2237</v>
      </c>
      <c r="F2228" t="s"/>
      <c r="G2228" t="s"/>
      <c r="H2228" t="s"/>
      <c r="I2228" t="s"/>
      <c r="J2228" t="n">
        <v>-0.3595</v>
      </c>
      <c r="K2228" t="n">
        <v>0.384</v>
      </c>
      <c r="L2228" t="n">
        <v>0.616</v>
      </c>
      <c r="M2228" t="n">
        <v>0</v>
      </c>
    </row>
    <row r="2229" spans="1:13">
      <c r="A2229" s="1">
        <f>HYPERLINK("http://www.twitter.com/NathanBLawrence/status/991709971791278080", "991709971791278080")</f>
        <v/>
      </c>
      <c r="B2229" s="2" t="n">
        <v>43222.66964120371</v>
      </c>
      <c r="C2229" t="n">
        <v>3</v>
      </c>
      <c r="D2229" t="n">
        <v>1</v>
      </c>
      <c r="E2229" t="s">
        <v>2238</v>
      </c>
      <c r="F2229" t="s"/>
      <c r="G2229" t="s"/>
      <c r="H2229" t="s"/>
      <c r="I2229" t="s"/>
      <c r="J2229" t="n">
        <v>0.7371</v>
      </c>
      <c r="K2229" t="n">
        <v>0</v>
      </c>
      <c r="L2229" t="n">
        <v>0.633</v>
      </c>
      <c r="M2229" t="n">
        <v>0.367</v>
      </c>
    </row>
    <row r="2230" spans="1:13">
      <c r="A2230" s="1">
        <f>HYPERLINK("http://www.twitter.com/NathanBLawrence/status/991709752957714432", "991709752957714432")</f>
        <v/>
      </c>
      <c r="B2230" s="2" t="n">
        <v>43222.66902777777</v>
      </c>
      <c r="C2230" t="n">
        <v>24</v>
      </c>
      <c r="D2230" t="n">
        <v>6</v>
      </c>
      <c r="E2230" t="s">
        <v>2239</v>
      </c>
      <c r="F2230" t="s"/>
      <c r="G2230" t="s"/>
      <c r="H2230" t="s"/>
      <c r="I2230" t="s"/>
      <c r="J2230" t="n">
        <v>-0.9229000000000001</v>
      </c>
      <c r="K2230" t="n">
        <v>0.33</v>
      </c>
      <c r="L2230" t="n">
        <v>0.67</v>
      </c>
      <c r="M2230" t="n">
        <v>0</v>
      </c>
    </row>
    <row r="2231" spans="1:13">
      <c r="A2231" s="1">
        <f>HYPERLINK("http://www.twitter.com/NathanBLawrence/status/991709230636806144", "991709230636806144")</f>
        <v/>
      </c>
      <c r="B2231" s="2" t="n">
        <v>43222.6675925926</v>
      </c>
      <c r="C2231" t="n">
        <v>3</v>
      </c>
      <c r="D2231" t="n">
        <v>1</v>
      </c>
      <c r="E2231" t="s">
        <v>2240</v>
      </c>
      <c r="F2231" t="s"/>
      <c r="G2231" t="s"/>
      <c r="H2231" t="s"/>
      <c r="I2231" t="s"/>
      <c r="J2231" t="n">
        <v>0.3182</v>
      </c>
      <c r="K2231" t="n">
        <v>0</v>
      </c>
      <c r="L2231" t="n">
        <v>0.777</v>
      </c>
      <c r="M2231" t="n">
        <v>0.223</v>
      </c>
    </row>
    <row r="2232" spans="1:13">
      <c r="A2232" s="1">
        <f>HYPERLINK("http://www.twitter.com/NathanBLawrence/status/991708933269028865", "991708933269028865")</f>
        <v/>
      </c>
      <c r="B2232" s="2" t="n">
        <v>43222.66677083333</v>
      </c>
      <c r="C2232" t="n">
        <v>5</v>
      </c>
      <c r="D2232" t="n">
        <v>2</v>
      </c>
      <c r="E2232" t="s">
        <v>2241</v>
      </c>
      <c r="F2232" t="s"/>
      <c r="G2232" t="s"/>
      <c r="H2232" t="s"/>
      <c r="I2232" t="s"/>
      <c r="J2232" t="n">
        <v>0.1111</v>
      </c>
      <c r="K2232" t="n">
        <v>0.096</v>
      </c>
      <c r="L2232" t="n">
        <v>0.792</v>
      </c>
      <c r="M2232" t="n">
        <v>0.111</v>
      </c>
    </row>
    <row r="2233" spans="1:13">
      <c r="A2233" s="1">
        <f>HYPERLINK("http://www.twitter.com/NathanBLawrence/status/991708598089564162", "991708598089564162")</f>
        <v/>
      </c>
      <c r="B2233" s="2" t="n">
        <v>43222.66584490741</v>
      </c>
      <c r="C2233" t="n">
        <v>3</v>
      </c>
      <c r="D2233" t="n">
        <v>4</v>
      </c>
      <c r="E2233" t="s">
        <v>2242</v>
      </c>
      <c r="F2233" t="s"/>
      <c r="G2233" t="s"/>
      <c r="H2233" t="s"/>
      <c r="I2233" t="s"/>
      <c r="J2233" t="n">
        <v>-0.6046</v>
      </c>
      <c r="K2233" t="n">
        <v>0.261</v>
      </c>
      <c r="L2233" t="n">
        <v>0.739</v>
      </c>
      <c r="M2233" t="n">
        <v>0</v>
      </c>
    </row>
    <row r="2234" spans="1:13">
      <c r="A2234" s="1">
        <f>HYPERLINK("http://www.twitter.com/NathanBLawrence/status/991708457685446656", "991708457685446656")</f>
        <v/>
      </c>
      <c r="B2234" s="2" t="n">
        <v>43222.66546296296</v>
      </c>
      <c r="C2234" t="n">
        <v>6</v>
      </c>
      <c r="D2234" t="n">
        <v>3</v>
      </c>
      <c r="E2234" t="s">
        <v>2243</v>
      </c>
      <c r="F2234" t="s"/>
      <c r="G2234" t="s"/>
      <c r="H2234" t="s"/>
      <c r="I2234" t="s"/>
      <c r="J2234" t="n">
        <v>-0.5859</v>
      </c>
      <c r="K2234" t="n">
        <v>0.202</v>
      </c>
      <c r="L2234" t="n">
        <v>0.798</v>
      </c>
      <c r="M2234" t="n">
        <v>0</v>
      </c>
    </row>
    <row r="2235" spans="1:13">
      <c r="A2235" s="1">
        <f>HYPERLINK("http://www.twitter.com/NathanBLawrence/status/991708181595279360", "991708181595279360")</f>
        <v/>
      </c>
      <c r="B2235" s="2" t="n">
        <v>43222.66469907408</v>
      </c>
      <c r="C2235" t="n">
        <v>3</v>
      </c>
      <c r="D2235" t="n">
        <v>4</v>
      </c>
      <c r="E2235" t="s">
        <v>2244</v>
      </c>
      <c r="F2235" t="s"/>
      <c r="G2235" t="s"/>
      <c r="H2235" t="s"/>
      <c r="I2235" t="s"/>
      <c r="J2235" t="n">
        <v>0</v>
      </c>
      <c r="K2235" t="n">
        <v>0</v>
      </c>
      <c r="L2235" t="n">
        <v>1</v>
      </c>
      <c r="M2235" t="n">
        <v>0</v>
      </c>
    </row>
    <row r="2236" spans="1:13">
      <c r="A2236" s="1">
        <f>HYPERLINK("http://www.twitter.com/NathanBLawrence/status/991708084627111936", "991708084627111936")</f>
        <v/>
      </c>
      <c r="B2236" s="2" t="n">
        <v>43222.66443287037</v>
      </c>
      <c r="C2236" t="n">
        <v>4</v>
      </c>
      <c r="D2236" t="n">
        <v>2</v>
      </c>
      <c r="E2236" t="s">
        <v>2245</v>
      </c>
      <c r="F2236" t="s"/>
      <c r="G2236" t="s"/>
      <c r="H2236" t="s"/>
      <c r="I2236" t="s"/>
      <c r="J2236" t="n">
        <v>0.5978</v>
      </c>
      <c r="K2236" t="n">
        <v>0.068</v>
      </c>
      <c r="L2236" t="n">
        <v>0.743</v>
      </c>
      <c r="M2236" t="n">
        <v>0.189</v>
      </c>
    </row>
    <row r="2237" spans="1:13">
      <c r="A2237" s="1">
        <f>HYPERLINK("http://www.twitter.com/NathanBLawrence/status/991707877352996865", "991707877352996865")</f>
        <v/>
      </c>
      <c r="B2237" s="2" t="n">
        <v>43222.66385416667</v>
      </c>
      <c r="C2237" t="n">
        <v>1</v>
      </c>
      <c r="D2237" t="n">
        <v>0</v>
      </c>
      <c r="E2237" t="s">
        <v>2246</v>
      </c>
      <c r="F2237" t="s"/>
      <c r="G2237" t="s"/>
      <c r="H2237" t="s"/>
      <c r="I2237" t="s"/>
      <c r="J2237" t="n">
        <v>0</v>
      </c>
      <c r="K2237" t="n">
        <v>0</v>
      </c>
      <c r="L2237" t="n">
        <v>1</v>
      </c>
      <c r="M2237" t="n">
        <v>0</v>
      </c>
    </row>
    <row r="2238" spans="1:13">
      <c r="A2238" s="1">
        <f>HYPERLINK("http://www.twitter.com/NathanBLawrence/status/991707811397582849", "991707811397582849")</f>
        <v/>
      </c>
      <c r="B2238" s="2" t="n">
        <v>43222.66366898148</v>
      </c>
      <c r="C2238" t="n">
        <v>1</v>
      </c>
      <c r="D2238" t="n">
        <v>0</v>
      </c>
      <c r="E2238" t="s">
        <v>2247</v>
      </c>
      <c r="F2238" t="s"/>
      <c r="G2238" t="s"/>
      <c r="H2238" t="s"/>
      <c r="I2238" t="s"/>
      <c r="J2238" t="n">
        <v>-0.1197</v>
      </c>
      <c r="K2238" t="n">
        <v>0.226</v>
      </c>
      <c r="L2238" t="n">
        <v>0.587</v>
      </c>
      <c r="M2238" t="n">
        <v>0.187</v>
      </c>
    </row>
    <row r="2239" spans="1:13">
      <c r="A2239" s="1">
        <f>HYPERLINK("http://www.twitter.com/NathanBLawrence/status/991707622381273089", "991707622381273089")</f>
        <v/>
      </c>
      <c r="B2239" s="2" t="n">
        <v>43222.66314814815</v>
      </c>
      <c r="C2239" t="n">
        <v>1</v>
      </c>
      <c r="D2239" t="n">
        <v>3</v>
      </c>
      <c r="E2239" t="s">
        <v>2248</v>
      </c>
      <c r="F2239" t="s"/>
      <c r="G2239" t="s"/>
      <c r="H2239" t="s"/>
      <c r="I2239" t="s"/>
      <c r="J2239" t="n">
        <v>0</v>
      </c>
      <c r="K2239" t="n">
        <v>0</v>
      </c>
      <c r="L2239" t="n">
        <v>1</v>
      </c>
      <c r="M2239" t="n">
        <v>0</v>
      </c>
    </row>
    <row r="2240" spans="1:13">
      <c r="A2240" s="1">
        <f>HYPERLINK("http://www.twitter.com/NathanBLawrence/status/991707359960481792", "991707359960481792")</f>
        <v/>
      </c>
      <c r="B2240" s="2" t="n">
        <v>43222.66243055555</v>
      </c>
      <c r="C2240" t="n">
        <v>1</v>
      </c>
      <c r="D2240" t="n">
        <v>0</v>
      </c>
      <c r="E2240" t="s">
        <v>2249</v>
      </c>
      <c r="F2240" t="s"/>
      <c r="G2240" t="s"/>
      <c r="H2240" t="s"/>
      <c r="I2240" t="s"/>
      <c r="J2240" t="n">
        <v>-0.5574</v>
      </c>
      <c r="K2240" t="n">
        <v>0.247</v>
      </c>
      <c r="L2240" t="n">
        <v>0.753</v>
      </c>
      <c r="M2240" t="n">
        <v>0</v>
      </c>
    </row>
    <row r="2241" spans="1:13">
      <c r="A2241" s="1">
        <f>HYPERLINK("http://www.twitter.com/NathanBLawrence/status/991707001167101952", "991707001167101952")</f>
        <v/>
      </c>
      <c r="B2241" s="2" t="n">
        <v>43222.66143518518</v>
      </c>
      <c r="C2241" t="n">
        <v>5</v>
      </c>
      <c r="D2241" t="n">
        <v>5</v>
      </c>
      <c r="E2241" t="s">
        <v>2250</v>
      </c>
      <c r="F2241" t="s"/>
      <c r="G2241" t="s"/>
      <c r="H2241" t="s"/>
      <c r="I2241" t="s"/>
      <c r="J2241" t="n">
        <v>-0.743</v>
      </c>
      <c r="K2241" t="n">
        <v>0.278</v>
      </c>
      <c r="L2241" t="n">
        <v>0.722</v>
      </c>
      <c r="M2241" t="n">
        <v>0</v>
      </c>
    </row>
    <row r="2242" spans="1:13">
      <c r="A2242" s="1">
        <f>HYPERLINK("http://www.twitter.com/NathanBLawrence/status/991706639366434816", "991706639366434816")</f>
        <v/>
      </c>
      <c r="B2242" s="2" t="n">
        <v>43222.66043981481</v>
      </c>
      <c r="C2242" t="n">
        <v>4</v>
      </c>
      <c r="D2242" t="n">
        <v>2</v>
      </c>
      <c r="E2242" t="s">
        <v>2251</v>
      </c>
      <c r="F2242" t="s"/>
      <c r="G2242" t="s"/>
      <c r="H2242" t="s"/>
      <c r="I2242" t="s"/>
      <c r="J2242" t="n">
        <v>-0.2244</v>
      </c>
      <c r="K2242" t="n">
        <v>0.165</v>
      </c>
      <c r="L2242" t="n">
        <v>0.719</v>
      </c>
      <c r="M2242" t="n">
        <v>0.116</v>
      </c>
    </row>
    <row r="2243" spans="1:13">
      <c r="A2243" s="1">
        <f>HYPERLINK("http://www.twitter.com/NathanBLawrence/status/991706349279965185", "991706349279965185")</f>
        <v/>
      </c>
      <c r="B2243" s="2" t="n">
        <v>43222.6596412037</v>
      </c>
      <c r="C2243" t="n">
        <v>3</v>
      </c>
      <c r="D2243" t="n">
        <v>0</v>
      </c>
      <c r="E2243" t="s">
        <v>2252</v>
      </c>
      <c r="F2243" t="s"/>
      <c r="G2243" t="s"/>
      <c r="H2243" t="s"/>
      <c r="I2243" t="s"/>
      <c r="J2243" t="n">
        <v>0</v>
      </c>
      <c r="K2243" t="n">
        <v>0</v>
      </c>
      <c r="L2243" t="n">
        <v>1</v>
      </c>
      <c r="M2243" t="n">
        <v>0</v>
      </c>
    </row>
    <row r="2244" spans="1:13">
      <c r="A2244" s="1">
        <f>HYPERLINK("http://www.twitter.com/NathanBLawrence/status/991706139036336128", "991706139036336128")</f>
        <v/>
      </c>
      <c r="B2244" s="2" t="n">
        <v>43222.6590625</v>
      </c>
      <c r="C2244" t="n">
        <v>7</v>
      </c>
      <c r="D2244" t="n">
        <v>3</v>
      </c>
      <c r="E2244" t="s">
        <v>2253</v>
      </c>
      <c r="F2244" t="s"/>
      <c r="G2244" t="s"/>
      <c r="H2244" t="s"/>
      <c r="I2244" t="s"/>
      <c r="J2244" t="n">
        <v>0.1779</v>
      </c>
      <c r="K2244" t="n">
        <v>0.08400000000000001</v>
      </c>
      <c r="L2244" t="n">
        <v>0.8110000000000001</v>
      </c>
      <c r="M2244" t="n">
        <v>0.105</v>
      </c>
    </row>
    <row r="2245" spans="1:13">
      <c r="A2245" s="1">
        <f>HYPERLINK("http://www.twitter.com/NathanBLawrence/status/991565068105007104", "991565068105007104")</f>
        <v/>
      </c>
      <c r="B2245" s="2" t="n">
        <v>43222.2697800926</v>
      </c>
      <c r="C2245" t="n">
        <v>3</v>
      </c>
      <c r="D2245" t="n">
        <v>1</v>
      </c>
      <c r="E2245" t="s">
        <v>2254</v>
      </c>
      <c r="F2245" t="s"/>
      <c r="G2245" t="s"/>
      <c r="H2245" t="s"/>
      <c r="I2245" t="s"/>
      <c r="J2245" t="n">
        <v>-0.7056</v>
      </c>
      <c r="K2245" t="n">
        <v>0.35</v>
      </c>
      <c r="L2245" t="n">
        <v>0.587</v>
      </c>
      <c r="M2245" t="n">
        <v>0.063</v>
      </c>
    </row>
    <row r="2246" spans="1:13">
      <c r="A2246" s="1">
        <f>HYPERLINK("http://www.twitter.com/NathanBLawrence/status/991564854593966080", "991564854593966080")</f>
        <v/>
      </c>
      <c r="B2246" s="2" t="n">
        <v>43222.26918981481</v>
      </c>
      <c r="C2246" t="n">
        <v>6</v>
      </c>
      <c r="D2246" t="n">
        <v>4</v>
      </c>
      <c r="E2246" t="s">
        <v>2255</v>
      </c>
      <c r="F2246" t="s"/>
      <c r="G2246" t="s"/>
      <c r="H2246" t="s"/>
      <c r="I2246" t="s"/>
      <c r="J2246" t="n">
        <v>0</v>
      </c>
      <c r="K2246" t="n">
        <v>0</v>
      </c>
      <c r="L2246" t="n">
        <v>1</v>
      </c>
      <c r="M2246" t="n">
        <v>0</v>
      </c>
    </row>
    <row r="2247" spans="1:13">
      <c r="A2247" s="1">
        <f>HYPERLINK("http://www.twitter.com/NathanBLawrence/status/991564593456603136", "991564593456603136")</f>
        <v/>
      </c>
      <c r="B2247" s="2" t="n">
        <v>43222.26847222223</v>
      </c>
      <c r="C2247" t="n">
        <v>7</v>
      </c>
      <c r="D2247" t="n">
        <v>3</v>
      </c>
      <c r="E2247" t="s">
        <v>2256</v>
      </c>
      <c r="F2247" t="s"/>
      <c r="G2247" t="s"/>
      <c r="H2247" t="s"/>
      <c r="I2247" t="s"/>
      <c r="J2247" t="n">
        <v>0.659</v>
      </c>
      <c r="K2247" t="n">
        <v>0</v>
      </c>
      <c r="L2247" t="n">
        <v>0.834</v>
      </c>
      <c r="M2247" t="n">
        <v>0.166</v>
      </c>
    </row>
    <row r="2248" spans="1:13">
      <c r="A2248" s="1">
        <f>HYPERLINK("http://www.twitter.com/NathanBLawrence/status/991564351768154114", "991564351768154114")</f>
        <v/>
      </c>
      <c r="B2248" s="2" t="n">
        <v>43222.26780092593</v>
      </c>
      <c r="C2248" t="n">
        <v>0</v>
      </c>
      <c r="D2248" t="n">
        <v>843</v>
      </c>
      <c r="E2248" t="s">
        <v>2257</v>
      </c>
      <c r="F2248" t="s"/>
      <c r="G2248" t="s"/>
      <c r="H2248" t="s"/>
      <c r="I2248" t="s"/>
      <c r="J2248" t="n">
        <v>-0.6059</v>
      </c>
      <c r="K2248" t="n">
        <v>0.198</v>
      </c>
      <c r="L2248" t="n">
        <v>0.802</v>
      </c>
      <c r="M2248" t="n">
        <v>0</v>
      </c>
    </row>
    <row r="2249" spans="1:13">
      <c r="A2249" s="1">
        <f>HYPERLINK("http://www.twitter.com/NathanBLawrence/status/991564085354364928", "991564085354364928")</f>
        <v/>
      </c>
      <c r="B2249" s="2" t="n">
        <v>43222.26706018519</v>
      </c>
      <c r="C2249" t="n">
        <v>0</v>
      </c>
      <c r="D2249" t="n">
        <v>1428</v>
      </c>
      <c r="E2249" t="s">
        <v>2258</v>
      </c>
      <c r="F2249">
        <f>HYPERLINK("http://pbs.twimg.com/media/DcDSTboVAAAwQl3.jpg", "http://pbs.twimg.com/media/DcDSTboVAAAwQl3.jpg")</f>
        <v/>
      </c>
      <c r="G2249" t="s"/>
      <c r="H2249" t="s"/>
      <c r="I2249" t="s"/>
      <c r="J2249" t="n">
        <v>0</v>
      </c>
      <c r="K2249" t="n">
        <v>0</v>
      </c>
      <c r="L2249" t="n">
        <v>1</v>
      </c>
      <c r="M2249" t="n">
        <v>0</v>
      </c>
    </row>
    <row r="2250" spans="1:13">
      <c r="A2250" s="1">
        <f>HYPERLINK("http://www.twitter.com/NathanBLawrence/status/991564016945315840", "991564016945315840")</f>
        <v/>
      </c>
      <c r="B2250" s="2" t="n">
        <v>43222.266875</v>
      </c>
      <c r="C2250" t="n">
        <v>0</v>
      </c>
      <c r="D2250" t="n">
        <v>555</v>
      </c>
      <c r="E2250" t="s">
        <v>2259</v>
      </c>
      <c r="F2250" t="s"/>
      <c r="G2250" t="s"/>
      <c r="H2250" t="s"/>
      <c r="I2250" t="s"/>
      <c r="J2250" t="n">
        <v>0.4019</v>
      </c>
      <c r="K2250" t="n">
        <v>0</v>
      </c>
      <c r="L2250" t="n">
        <v>0.886</v>
      </c>
      <c r="M2250" t="n">
        <v>0.114</v>
      </c>
    </row>
    <row r="2251" spans="1:13">
      <c r="A2251" s="1">
        <f>HYPERLINK("http://www.twitter.com/NathanBLawrence/status/991563946665504768", "991563946665504768")</f>
        <v/>
      </c>
      <c r="B2251" s="2" t="n">
        <v>43222.26667824074</v>
      </c>
      <c r="C2251" t="n">
        <v>0</v>
      </c>
      <c r="D2251" t="n">
        <v>270</v>
      </c>
      <c r="E2251" t="s">
        <v>2260</v>
      </c>
      <c r="F2251">
        <f>HYPERLINK("http://pbs.twimg.com/media/DcJwtMTVAAIrVpL.jpg", "http://pbs.twimg.com/media/DcJwtMTVAAIrVpL.jpg")</f>
        <v/>
      </c>
      <c r="G2251" t="s"/>
      <c r="H2251" t="s"/>
      <c r="I2251" t="s"/>
      <c r="J2251" t="n">
        <v>-0.2263</v>
      </c>
      <c r="K2251" t="n">
        <v>0.124</v>
      </c>
      <c r="L2251" t="n">
        <v>0.787</v>
      </c>
      <c r="M2251" t="n">
        <v>0.09</v>
      </c>
    </row>
    <row r="2252" spans="1:13">
      <c r="A2252" s="1">
        <f>HYPERLINK("http://www.twitter.com/NathanBLawrence/status/991563815387987968", "991563815387987968")</f>
        <v/>
      </c>
      <c r="B2252" s="2" t="n">
        <v>43222.26631944445</v>
      </c>
      <c r="C2252" t="n">
        <v>1</v>
      </c>
      <c r="D2252" t="n">
        <v>1</v>
      </c>
      <c r="E2252" t="s">
        <v>2261</v>
      </c>
      <c r="F2252" t="s"/>
      <c r="G2252" t="s"/>
      <c r="H2252" t="s"/>
      <c r="I2252" t="s"/>
      <c r="J2252" t="n">
        <v>0</v>
      </c>
      <c r="K2252" t="n">
        <v>0</v>
      </c>
      <c r="L2252" t="n">
        <v>1</v>
      </c>
      <c r="M2252" t="n">
        <v>0</v>
      </c>
    </row>
    <row r="2253" spans="1:13">
      <c r="A2253" s="1">
        <f>HYPERLINK("http://www.twitter.com/NathanBLawrence/status/991563726582046720", "991563726582046720")</f>
        <v/>
      </c>
      <c r="B2253" s="2" t="n">
        <v>43222.26607638889</v>
      </c>
      <c r="C2253" t="n">
        <v>0</v>
      </c>
      <c r="D2253" t="n">
        <v>25</v>
      </c>
      <c r="E2253" t="s">
        <v>2262</v>
      </c>
      <c r="F2253">
        <f>HYPERLINK("http://pbs.twimg.com/media/DcJ9N0WXUAAFh_O.jpg", "http://pbs.twimg.com/media/DcJ9N0WXUAAFh_O.jpg")</f>
        <v/>
      </c>
      <c r="G2253" t="s"/>
      <c r="H2253" t="s"/>
      <c r="I2253" t="s"/>
      <c r="J2253" t="n">
        <v>0</v>
      </c>
      <c r="K2253" t="n">
        <v>0</v>
      </c>
      <c r="L2253" t="n">
        <v>1</v>
      </c>
      <c r="M2253" t="n">
        <v>0</v>
      </c>
    </row>
    <row r="2254" spans="1:13">
      <c r="A2254" s="1">
        <f>HYPERLINK("http://www.twitter.com/NathanBLawrence/status/991563418120306688", "991563418120306688")</f>
        <v/>
      </c>
      <c r="B2254" s="2" t="n">
        <v>43222.26521990741</v>
      </c>
      <c r="C2254" t="n">
        <v>0</v>
      </c>
      <c r="D2254" t="n">
        <v>7965</v>
      </c>
      <c r="E2254" t="s">
        <v>2263</v>
      </c>
      <c r="F2254" t="s"/>
      <c r="G2254" t="s"/>
      <c r="H2254" t="s"/>
      <c r="I2254" t="s"/>
      <c r="J2254" t="n">
        <v>0.2263</v>
      </c>
      <c r="K2254" t="n">
        <v>0</v>
      </c>
      <c r="L2254" t="n">
        <v>0.927</v>
      </c>
      <c r="M2254" t="n">
        <v>0.073</v>
      </c>
    </row>
    <row r="2255" spans="1:13">
      <c r="A2255" s="1">
        <f>HYPERLINK("http://www.twitter.com/NathanBLawrence/status/991563360696057857", "991563360696057857")</f>
        <v/>
      </c>
      <c r="B2255" s="2" t="n">
        <v>43222.26506944445</v>
      </c>
      <c r="C2255" t="n">
        <v>0</v>
      </c>
      <c r="D2255" t="n">
        <v>9</v>
      </c>
      <c r="E2255" t="s">
        <v>2264</v>
      </c>
      <c r="F2255" t="s"/>
      <c r="G2255" t="s"/>
      <c r="H2255" t="s"/>
      <c r="I2255" t="s"/>
      <c r="J2255" t="n">
        <v>-0.1363</v>
      </c>
      <c r="K2255" t="n">
        <v>0.23</v>
      </c>
      <c r="L2255" t="n">
        <v>0.602</v>
      </c>
      <c r="M2255" t="n">
        <v>0.168</v>
      </c>
    </row>
    <row r="2256" spans="1:13">
      <c r="A2256" s="1">
        <f>HYPERLINK("http://www.twitter.com/NathanBLawrence/status/991563299715076096", "991563299715076096")</f>
        <v/>
      </c>
      <c r="B2256" s="2" t="n">
        <v>43222.26489583333</v>
      </c>
      <c r="C2256" t="n">
        <v>0</v>
      </c>
      <c r="D2256" t="n">
        <v>49</v>
      </c>
      <c r="E2256" t="s">
        <v>2265</v>
      </c>
      <c r="F2256">
        <f>HYPERLINK("http://pbs.twimg.com/media/DcKVspNU8AEYkwB.jpg", "http://pbs.twimg.com/media/DcKVspNU8AEYkwB.jpg")</f>
        <v/>
      </c>
      <c r="G2256" t="s"/>
      <c r="H2256" t="s"/>
      <c r="I2256" t="s"/>
      <c r="J2256" t="n">
        <v>0</v>
      </c>
      <c r="K2256" t="n">
        <v>0</v>
      </c>
      <c r="L2256" t="n">
        <v>1</v>
      </c>
      <c r="M2256" t="n">
        <v>0</v>
      </c>
    </row>
    <row r="2257" spans="1:13">
      <c r="A2257" s="1">
        <f>HYPERLINK("http://www.twitter.com/NathanBLawrence/status/991563258464104451", "991563258464104451")</f>
        <v/>
      </c>
      <c r="B2257" s="2" t="n">
        <v>43222.26478009259</v>
      </c>
      <c r="C2257" t="n">
        <v>0</v>
      </c>
      <c r="D2257" t="n">
        <v>75</v>
      </c>
      <c r="E2257" t="s">
        <v>2266</v>
      </c>
      <c r="F2257">
        <f>HYPERLINK("http://pbs.twimg.com/media/DcKUts6X4AEHopB.jpg", "http://pbs.twimg.com/media/DcKUts6X4AEHopB.jpg")</f>
        <v/>
      </c>
      <c r="G2257" t="s"/>
      <c r="H2257" t="s"/>
      <c r="I2257" t="s"/>
      <c r="J2257" t="n">
        <v>0.8192</v>
      </c>
      <c r="K2257" t="n">
        <v>0</v>
      </c>
      <c r="L2257" t="n">
        <v>0.399</v>
      </c>
      <c r="M2257" t="n">
        <v>0.601</v>
      </c>
    </row>
    <row r="2258" spans="1:13">
      <c r="A2258" s="1">
        <f>HYPERLINK("http://www.twitter.com/NathanBLawrence/status/991563226335797249", "991563226335797249")</f>
        <v/>
      </c>
      <c r="B2258" s="2" t="n">
        <v>43222.26469907408</v>
      </c>
      <c r="C2258" t="n">
        <v>0</v>
      </c>
      <c r="D2258" t="n">
        <v>116</v>
      </c>
      <c r="E2258" t="s">
        <v>2267</v>
      </c>
      <c r="F2258">
        <f>HYPERLINK("http://pbs.twimg.com/media/DcKSohMVMAAqgB3.jpg", "http://pbs.twimg.com/media/DcKSohMVMAAqgB3.jpg")</f>
        <v/>
      </c>
      <c r="G2258">
        <f>HYPERLINK("http://pbs.twimg.com/media/DcKSohLVwAAu7AX.jpg", "http://pbs.twimg.com/media/DcKSohLVwAAu7AX.jpg")</f>
        <v/>
      </c>
      <c r="H2258" t="s"/>
      <c r="I2258" t="s"/>
      <c r="J2258" t="n">
        <v>-0.9157999999999999</v>
      </c>
      <c r="K2258" t="n">
        <v>0.43</v>
      </c>
      <c r="L2258" t="n">
        <v>0.57</v>
      </c>
      <c r="M2258" t="n">
        <v>0</v>
      </c>
    </row>
    <row r="2259" spans="1:13">
      <c r="A2259" s="1">
        <f>HYPERLINK("http://www.twitter.com/NathanBLawrence/status/991563145096278016", "991563145096278016")</f>
        <v/>
      </c>
      <c r="B2259" s="2" t="n">
        <v>43222.26446759259</v>
      </c>
      <c r="C2259" t="n">
        <v>0</v>
      </c>
      <c r="D2259" t="n">
        <v>1796</v>
      </c>
      <c r="E2259" t="s">
        <v>2268</v>
      </c>
      <c r="F2259">
        <f>HYPERLINK("https://video.twimg.com/amplify_video/991393772343775233/vid/1280x720/lHC7SEZ1Oat3_7P6.mp4?tag=2", "https://video.twimg.com/amplify_video/991393772343775233/vid/1280x720/lHC7SEZ1Oat3_7P6.mp4?tag=2")</f>
        <v/>
      </c>
      <c r="G2259" t="s"/>
      <c r="H2259" t="s"/>
      <c r="I2259" t="s"/>
      <c r="J2259" t="n">
        <v>-0.7003</v>
      </c>
      <c r="K2259" t="n">
        <v>0.194</v>
      </c>
      <c r="L2259" t="n">
        <v>0.806</v>
      </c>
      <c r="M2259" t="n">
        <v>0</v>
      </c>
    </row>
    <row r="2260" spans="1:13">
      <c r="A2260" s="1">
        <f>HYPERLINK("http://www.twitter.com/NathanBLawrence/status/991562944629518336", "991562944629518336")</f>
        <v/>
      </c>
      <c r="B2260" s="2" t="n">
        <v>43222.26392361111</v>
      </c>
      <c r="C2260" t="n">
        <v>0</v>
      </c>
      <c r="D2260" t="n">
        <v>481</v>
      </c>
      <c r="E2260" t="s">
        <v>2269</v>
      </c>
      <c r="F2260">
        <f>HYPERLINK("https://video.twimg.com/ext_tw_video/991512555158880256/pu/vid/720x720/MVLZjIobyCwZWbH4.mp4?tag=3", "https://video.twimg.com/ext_tw_video/991512555158880256/pu/vid/720x720/MVLZjIobyCwZWbH4.mp4?tag=3")</f>
        <v/>
      </c>
      <c r="G2260" t="s"/>
      <c r="H2260" t="s"/>
      <c r="I2260" t="s"/>
      <c r="J2260" t="n">
        <v>-0.4497</v>
      </c>
      <c r="K2260" t="n">
        <v>0.109</v>
      </c>
      <c r="L2260" t="n">
        <v>0.891</v>
      </c>
      <c r="M2260" t="n">
        <v>0</v>
      </c>
    </row>
    <row r="2261" spans="1:13">
      <c r="A2261" s="1">
        <f>HYPERLINK("http://www.twitter.com/NathanBLawrence/status/991562887628931072", "991562887628931072")</f>
        <v/>
      </c>
      <c r="B2261" s="2" t="n">
        <v>43222.26376157408</v>
      </c>
      <c r="C2261" t="n">
        <v>0</v>
      </c>
      <c r="D2261" t="n">
        <v>397</v>
      </c>
      <c r="E2261" t="s">
        <v>2270</v>
      </c>
      <c r="F2261" t="s"/>
      <c r="G2261" t="s"/>
      <c r="H2261" t="s"/>
      <c r="I2261" t="s"/>
      <c r="J2261" t="n">
        <v>0.3612</v>
      </c>
      <c r="K2261" t="n">
        <v>0</v>
      </c>
      <c r="L2261" t="n">
        <v>0.762</v>
      </c>
      <c r="M2261" t="n">
        <v>0.238</v>
      </c>
    </row>
    <row r="2262" spans="1:13">
      <c r="A2262" s="1">
        <f>HYPERLINK("http://www.twitter.com/NathanBLawrence/status/991562834243764224", "991562834243764224")</f>
        <v/>
      </c>
      <c r="B2262" s="2" t="n">
        <v>43222.26361111111</v>
      </c>
      <c r="C2262" t="n">
        <v>3</v>
      </c>
      <c r="D2262" t="n">
        <v>1</v>
      </c>
      <c r="E2262" t="s">
        <v>2271</v>
      </c>
      <c r="F2262" t="s"/>
      <c r="G2262" t="s"/>
      <c r="H2262" t="s"/>
      <c r="I2262" t="s"/>
      <c r="J2262" t="n">
        <v>-0.6351</v>
      </c>
      <c r="K2262" t="n">
        <v>0.126</v>
      </c>
      <c r="L2262" t="n">
        <v>0.874</v>
      </c>
      <c r="M2262" t="n">
        <v>0</v>
      </c>
    </row>
    <row r="2263" spans="1:13">
      <c r="A2263" s="1">
        <f>HYPERLINK("http://www.twitter.com/NathanBLawrence/status/991562368936116224", "991562368936116224")</f>
        <v/>
      </c>
      <c r="B2263" s="2" t="n">
        <v>43222.26232638889</v>
      </c>
      <c r="C2263" t="n">
        <v>0</v>
      </c>
      <c r="D2263" t="n">
        <v>30</v>
      </c>
      <c r="E2263" t="s">
        <v>2272</v>
      </c>
      <c r="F2263">
        <f>HYPERLINK("http://pbs.twimg.com/media/DcKdceQVAAAzT9l.jpg", "http://pbs.twimg.com/media/DcKdceQVAAAzT9l.jpg")</f>
        <v/>
      </c>
      <c r="G2263" t="s"/>
      <c r="H2263" t="s"/>
      <c r="I2263" t="s"/>
      <c r="J2263" t="n">
        <v>-0.6486</v>
      </c>
      <c r="K2263" t="n">
        <v>0.283</v>
      </c>
      <c r="L2263" t="n">
        <v>0.595</v>
      </c>
      <c r="M2263" t="n">
        <v>0.123</v>
      </c>
    </row>
    <row r="2264" spans="1:13">
      <c r="A2264" s="1">
        <f>HYPERLINK("http://www.twitter.com/NathanBLawrence/status/991562218880749569", "991562218880749569")</f>
        <v/>
      </c>
      <c r="B2264" s="2" t="n">
        <v>43222.26190972222</v>
      </c>
      <c r="C2264" t="n">
        <v>0</v>
      </c>
      <c r="D2264" t="n">
        <v>1406</v>
      </c>
      <c r="E2264" t="s">
        <v>2273</v>
      </c>
      <c r="F2264">
        <f>HYPERLINK("https://video.twimg.com/amplify_video/991526672360005634/vid/1280x720/tMe-ANX7pAMkUVCy.mp4?tag=2", "https://video.twimg.com/amplify_video/991526672360005634/vid/1280x720/tMe-ANX7pAMkUVCy.mp4?tag=2")</f>
        <v/>
      </c>
      <c r="G2264" t="s"/>
      <c r="H2264" t="s"/>
      <c r="I2264" t="s"/>
      <c r="J2264" t="n">
        <v>0.6996</v>
      </c>
      <c r="K2264" t="n">
        <v>0.078</v>
      </c>
      <c r="L2264" t="n">
        <v>0.63</v>
      </c>
      <c r="M2264" t="n">
        <v>0.292</v>
      </c>
    </row>
    <row r="2265" spans="1:13">
      <c r="A2265" s="1">
        <f>HYPERLINK("http://www.twitter.com/NathanBLawrence/status/991562118804615168", "991562118804615168")</f>
        <v/>
      </c>
      <c r="B2265" s="2" t="n">
        <v>43222.26164351852</v>
      </c>
      <c r="C2265" t="n">
        <v>3</v>
      </c>
      <c r="D2265" t="n">
        <v>3</v>
      </c>
      <c r="E2265" t="s">
        <v>2274</v>
      </c>
      <c r="F2265" t="s"/>
      <c r="G2265" t="s"/>
      <c r="H2265" t="s"/>
      <c r="I2265" t="s"/>
      <c r="J2265" t="n">
        <v>0</v>
      </c>
      <c r="K2265" t="n">
        <v>0</v>
      </c>
      <c r="L2265" t="n">
        <v>1</v>
      </c>
      <c r="M2265" t="n">
        <v>0</v>
      </c>
    </row>
    <row r="2266" spans="1:13">
      <c r="A2266" s="1">
        <f>HYPERLINK("http://www.twitter.com/NathanBLawrence/status/991561967713140736", "991561967713140736")</f>
        <v/>
      </c>
      <c r="B2266" s="2" t="n">
        <v>43222.26122685185</v>
      </c>
      <c r="C2266" t="n">
        <v>0</v>
      </c>
      <c r="D2266" t="n">
        <v>343</v>
      </c>
      <c r="E2266" t="s">
        <v>2275</v>
      </c>
      <c r="F2266">
        <f>HYPERLINK("https://video.twimg.com/ext_tw_video/991423350001033216/pu/vid/1280x720/uJBIRtjlxNgyXBAx.mp4?tag=3", "https://video.twimg.com/ext_tw_video/991423350001033216/pu/vid/1280x720/uJBIRtjlxNgyXBAx.mp4?tag=3")</f>
        <v/>
      </c>
      <c r="G2266" t="s"/>
      <c r="H2266" t="s"/>
      <c r="I2266" t="s"/>
      <c r="J2266" t="n">
        <v>0.8979</v>
      </c>
      <c r="K2266" t="n">
        <v>0</v>
      </c>
      <c r="L2266" t="n">
        <v>0.669</v>
      </c>
      <c r="M2266" t="n">
        <v>0.331</v>
      </c>
    </row>
    <row r="2267" spans="1:13">
      <c r="A2267" s="1">
        <f>HYPERLINK("http://www.twitter.com/NathanBLawrence/status/991561915057954816", "991561915057954816")</f>
        <v/>
      </c>
      <c r="B2267" s="2" t="n">
        <v>43222.26107638889</v>
      </c>
      <c r="C2267" t="n">
        <v>0</v>
      </c>
      <c r="D2267" t="n">
        <v>1601</v>
      </c>
      <c r="E2267" t="s">
        <v>2276</v>
      </c>
      <c r="F2267">
        <f>HYPERLINK("http://pbs.twimg.com/media/DcKniDVVQAAutVM.jpg", "http://pbs.twimg.com/media/DcKniDVVQAAutVM.jpg")</f>
        <v/>
      </c>
      <c r="G2267" t="s"/>
      <c r="H2267" t="s"/>
      <c r="I2267" t="s"/>
      <c r="J2267" t="n">
        <v>-0.4753</v>
      </c>
      <c r="K2267" t="n">
        <v>0.208</v>
      </c>
      <c r="L2267" t="n">
        <v>0.706</v>
      </c>
      <c r="M2267" t="n">
        <v>0.08599999999999999</v>
      </c>
    </row>
    <row r="2268" spans="1:13">
      <c r="A2268" s="1">
        <f>HYPERLINK("http://www.twitter.com/NathanBLawrence/status/991561817150275584", "991561817150275584")</f>
        <v/>
      </c>
      <c r="B2268" s="2" t="n">
        <v>43222.26081018519</v>
      </c>
      <c r="C2268" t="n">
        <v>0</v>
      </c>
      <c r="D2268" t="n">
        <v>19</v>
      </c>
      <c r="E2268" t="s">
        <v>2277</v>
      </c>
      <c r="F2268" t="s"/>
      <c r="G2268" t="s"/>
      <c r="H2268" t="s"/>
      <c r="I2268" t="s"/>
      <c r="J2268" t="n">
        <v>-0.34</v>
      </c>
      <c r="K2268" t="n">
        <v>0.13</v>
      </c>
      <c r="L2268" t="n">
        <v>0.87</v>
      </c>
      <c r="M2268" t="n">
        <v>0</v>
      </c>
    </row>
    <row r="2269" spans="1:13">
      <c r="A2269" s="1">
        <f>HYPERLINK("http://www.twitter.com/NathanBLawrence/status/991561604620668928", "991561604620668928")</f>
        <v/>
      </c>
      <c r="B2269" s="2" t="n">
        <v>43222.26021990741</v>
      </c>
      <c r="C2269" t="n">
        <v>3</v>
      </c>
      <c r="D2269" t="n">
        <v>1</v>
      </c>
      <c r="E2269" t="s">
        <v>2278</v>
      </c>
      <c r="F2269" t="s"/>
      <c r="G2269" t="s"/>
      <c r="H2269" t="s"/>
      <c r="I2269" t="s"/>
      <c r="J2269" t="n">
        <v>0</v>
      </c>
      <c r="K2269" t="n">
        <v>0</v>
      </c>
      <c r="L2269" t="n">
        <v>1</v>
      </c>
      <c r="M2269" t="n">
        <v>0</v>
      </c>
    </row>
    <row r="2270" spans="1:13">
      <c r="A2270" s="1">
        <f>HYPERLINK("http://www.twitter.com/NathanBLawrence/status/991561550967201792", "991561550967201792")</f>
        <v/>
      </c>
      <c r="B2270" s="2" t="n">
        <v>43222.26006944444</v>
      </c>
      <c r="C2270" t="n">
        <v>0</v>
      </c>
      <c r="D2270" t="n">
        <v>887</v>
      </c>
      <c r="E2270" t="s">
        <v>2279</v>
      </c>
      <c r="F2270" t="s"/>
      <c r="G2270" t="s"/>
      <c r="H2270" t="s"/>
      <c r="I2270" t="s"/>
      <c r="J2270" t="n">
        <v>0.2263</v>
      </c>
      <c r="K2270" t="n">
        <v>0</v>
      </c>
      <c r="L2270" t="n">
        <v>0.921</v>
      </c>
      <c r="M2270" t="n">
        <v>0.079</v>
      </c>
    </row>
    <row r="2271" spans="1:13">
      <c r="A2271" s="1">
        <f>HYPERLINK("http://www.twitter.com/NathanBLawrence/status/991561481144516608", "991561481144516608")</f>
        <v/>
      </c>
      <c r="B2271" s="2" t="n">
        <v>43222.25988425926</v>
      </c>
      <c r="C2271" t="n">
        <v>0</v>
      </c>
      <c r="D2271" t="n">
        <v>338</v>
      </c>
      <c r="E2271" t="s">
        <v>2280</v>
      </c>
      <c r="F2271">
        <f>HYPERLINK("http://pbs.twimg.com/media/DcK0wW_VMAAKwNZ.jpg", "http://pbs.twimg.com/media/DcK0wW_VMAAKwNZ.jpg")</f>
        <v/>
      </c>
      <c r="G2271" t="s"/>
      <c r="H2271" t="s"/>
      <c r="I2271" t="s"/>
      <c r="J2271" t="n">
        <v>-0.822</v>
      </c>
      <c r="K2271" t="n">
        <v>0.257</v>
      </c>
      <c r="L2271" t="n">
        <v>0.743</v>
      </c>
      <c r="M2271" t="n">
        <v>0</v>
      </c>
    </row>
    <row r="2272" spans="1:13">
      <c r="A2272" s="1">
        <f>HYPERLINK("http://www.twitter.com/NathanBLawrence/status/991561430154424321", "991561430154424321")</f>
        <v/>
      </c>
      <c r="B2272" s="2" t="n">
        <v>43222.25973379629</v>
      </c>
      <c r="C2272" t="n">
        <v>1</v>
      </c>
      <c r="D2272" t="n">
        <v>1</v>
      </c>
      <c r="E2272" t="s">
        <v>2281</v>
      </c>
      <c r="F2272" t="s"/>
      <c r="G2272" t="s"/>
      <c r="H2272" t="s"/>
      <c r="I2272" t="s"/>
      <c r="J2272" t="n">
        <v>0</v>
      </c>
      <c r="K2272" t="n">
        <v>0</v>
      </c>
      <c r="L2272" t="n">
        <v>1</v>
      </c>
      <c r="M2272" t="n">
        <v>0</v>
      </c>
    </row>
    <row r="2273" spans="1:13">
      <c r="A2273" s="1">
        <f>HYPERLINK("http://www.twitter.com/NathanBLawrence/status/991561229163417600", "991561229163417600")</f>
        <v/>
      </c>
      <c r="B2273" s="2" t="n">
        <v>43222.25918981482</v>
      </c>
      <c r="C2273" t="n">
        <v>2</v>
      </c>
      <c r="D2273" t="n">
        <v>1</v>
      </c>
      <c r="E2273" t="s">
        <v>2282</v>
      </c>
      <c r="F2273" t="s"/>
      <c r="G2273" t="s"/>
      <c r="H2273" t="s"/>
      <c r="I2273" t="s"/>
      <c r="J2273" t="n">
        <v>0</v>
      </c>
      <c r="K2273" t="n">
        <v>0</v>
      </c>
      <c r="L2273" t="n">
        <v>1</v>
      </c>
      <c r="M2273" t="n">
        <v>0</v>
      </c>
    </row>
    <row r="2274" spans="1:13">
      <c r="A2274" s="1">
        <f>HYPERLINK("http://www.twitter.com/NathanBLawrence/status/991561106933010433", "991561106933010433")</f>
        <v/>
      </c>
      <c r="B2274" s="2" t="n">
        <v>43222.25884259259</v>
      </c>
      <c r="C2274" t="n">
        <v>0</v>
      </c>
      <c r="D2274" t="n">
        <v>1165</v>
      </c>
      <c r="E2274" t="s">
        <v>2283</v>
      </c>
      <c r="F2274" t="s"/>
      <c r="G2274" t="s"/>
      <c r="H2274" t="s"/>
      <c r="I2274" t="s"/>
      <c r="J2274" t="n">
        <v>0.1045</v>
      </c>
      <c r="K2274" t="n">
        <v>0.171</v>
      </c>
      <c r="L2274" t="n">
        <v>0.643</v>
      </c>
      <c r="M2274" t="n">
        <v>0.186</v>
      </c>
    </row>
    <row r="2275" spans="1:13">
      <c r="A2275" s="1">
        <f>HYPERLINK("http://www.twitter.com/NathanBLawrence/status/991561020928704512", "991561020928704512")</f>
        <v/>
      </c>
      <c r="B2275" s="2" t="n">
        <v>43222.25861111111</v>
      </c>
      <c r="C2275" t="n">
        <v>0</v>
      </c>
      <c r="D2275" t="n">
        <v>8325</v>
      </c>
      <c r="E2275" t="s">
        <v>2284</v>
      </c>
      <c r="F2275" t="s"/>
      <c r="G2275" t="s"/>
      <c r="H2275" t="s"/>
      <c r="I2275" t="s"/>
      <c r="J2275" t="n">
        <v>-0.9707</v>
      </c>
      <c r="K2275" t="n">
        <v>0.638</v>
      </c>
      <c r="L2275" t="n">
        <v>0.362</v>
      </c>
      <c r="M2275" t="n">
        <v>0</v>
      </c>
    </row>
    <row r="2276" spans="1:13">
      <c r="A2276" s="1">
        <f>HYPERLINK("http://www.twitter.com/NathanBLawrence/status/991560940158992384", "991560940158992384")</f>
        <v/>
      </c>
      <c r="B2276" s="2" t="n">
        <v>43222.2583912037</v>
      </c>
      <c r="C2276" t="n">
        <v>0</v>
      </c>
      <c r="D2276" t="n">
        <v>2536</v>
      </c>
      <c r="E2276" t="s">
        <v>2285</v>
      </c>
      <c r="F2276" t="s"/>
      <c r="G2276" t="s"/>
      <c r="H2276" t="s"/>
      <c r="I2276" t="s"/>
      <c r="J2276" t="n">
        <v>0.5423</v>
      </c>
      <c r="K2276" t="n">
        <v>0</v>
      </c>
      <c r="L2276" t="n">
        <v>0.8159999999999999</v>
      </c>
      <c r="M2276" t="n">
        <v>0.184</v>
      </c>
    </row>
    <row r="2277" spans="1:13">
      <c r="A2277" s="1">
        <f>HYPERLINK("http://www.twitter.com/NathanBLawrence/status/991560758600253440", "991560758600253440")</f>
        <v/>
      </c>
      <c r="B2277" s="2" t="n">
        <v>43222.25788194445</v>
      </c>
      <c r="C2277" t="n">
        <v>4</v>
      </c>
      <c r="D2277" t="n">
        <v>4</v>
      </c>
      <c r="E2277" t="s">
        <v>2286</v>
      </c>
      <c r="F2277" t="s"/>
      <c r="G2277" t="s"/>
      <c r="H2277" t="s"/>
      <c r="I2277" t="s"/>
      <c r="J2277" t="n">
        <v>-0.2422</v>
      </c>
      <c r="K2277" t="n">
        <v>0.13</v>
      </c>
      <c r="L2277" t="n">
        <v>0.739</v>
      </c>
      <c r="M2277" t="n">
        <v>0.131</v>
      </c>
    </row>
    <row r="2278" spans="1:13">
      <c r="A2278" s="1">
        <f>HYPERLINK("http://www.twitter.com/NathanBLawrence/status/991560383201624064", "991560383201624064")</f>
        <v/>
      </c>
      <c r="B2278" s="2" t="n">
        <v>43222.25685185185</v>
      </c>
      <c r="C2278" t="n">
        <v>2</v>
      </c>
      <c r="D2278" t="n">
        <v>3</v>
      </c>
      <c r="E2278" t="s">
        <v>2287</v>
      </c>
      <c r="F2278" t="s"/>
      <c r="G2278" t="s"/>
      <c r="H2278" t="s"/>
      <c r="I2278" t="s"/>
      <c r="J2278" t="n">
        <v>0</v>
      </c>
      <c r="K2278" t="n">
        <v>0</v>
      </c>
      <c r="L2278" t="n">
        <v>1</v>
      </c>
      <c r="M2278" t="n">
        <v>0</v>
      </c>
    </row>
    <row r="2279" spans="1:13">
      <c r="A2279" s="1">
        <f>HYPERLINK("http://www.twitter.com/NathanBLawrence/status/991559699421003778", "991559699421003778")</f>
        <v/>
      </c>
      <c r="B2279" s="2" t="n">
        <v>43222.25496527777</v>
      </c>
      <c r="C2279" t="n">
        <v>0</v>
      </c>
      <c r="D2279" t="n">
        <v>938</v>
      </c>
      <c r="E2279" t="s">
        <v>2288</v>
      </c>
      <c r="F2279">
        <f>HYPERLINK("http://pbs.twimg.com/media/DcJ69lnUQAAmKVn.jpg", "http://pbs.twimg.com/media/DcJ69lnUQAAmKVn.jpg")</f>
        <v/>
      </c>
      <c r="G2279">
        <f>HYPERLINK("http://pbs.twimg.com/media/DcJ69lnVMAARokW.jpg", "http://pbs.twimg.com/media/DcJ69lnVMAARokW.jpg")</f>
        <v/>
      </c>
      <c r="H2279" t="s"/>
      <c r="I2279" t="s"/>
      <c r="J2279" t="n">
        <v>-0.2755</v>
      </c>
      <c r="K2279" t="n">
        <v>0.1</v>
      </c>
      <c r="L2279" t="n">
        <v>0.9</v>
      </c>
      <c r="M2279" t="n">
        <v>0</v>
      </c>
    </row>
    <row r="2280" spans="1:13">
      <c r="A2280" s="1">
        <f>HYPERLINK("http://www.twitter.com/NathanBLawrence/status/991559637919920128", "991559637919920128")</f>
        <v/>
      </c>
      <c r="B2280" s="2" t="n">
        <v>43222.25479166667</v>
      </c>
      <c r="C2280" t="n">
        <v>0</v>
      </c>
      <c r="D2280" t="n">
        <v>43</v>
      </c>
      <c r="E2280" t="s">
        <v>2289</v>
      </c>
      <c r="F2280">
        <f>HYPERLINK("http://pbs.twimg.com/media/DcCTLnOXcAATLIS.jpg", "http://pbs.twimg.com/media/DcCTLnOXcAATLIS.jpg")</f>
        <v/>
      </c>
      <c r="G2280" t="s"/>
      <c r="H2280" t="s"/>
      <c r="I2280" t="s"/>
      <c r="J2280" t="n">
        <v>-0.9402</v>
      </c>
      <c r="K2280" t="n">
        <v>0.512</v>
      </c>
      <c r="L2280" t="n">
        <v>0.488</v>
      </c>
      <c r="M2280" t="n">
        <v>0</v>
      </c>
    </row>
    <row r="2281" spans="1:13">
      <c r="A2281" s="1">
        <f>HYPERLINK("http://www.twitter.com/NathanBLawrence/status/991559522559770624", "991559522559770624")</f>
        <v/>
      </c>
      <c r="B2281" s="2" t="n">
        <v>43222.25447916667</v>
      </c>
      <c r="C2281" t="n">
        <v>3</v>
      </c>
      <c r="D2281" t="n">
        <v>0</v>
      </c>
      <c r="E2281" t="s">
        <v>2290</v>
      </c>
      <c r="F2281" t="s"/>
      <c r="G2281" t="s"/>
      <c r="H2281" t="s"/>
      <c r="I2281" t="s"/>
      <c r="J2281" t="n">
        <v>0.4329</v>
      </c>
      <c r="K2281" t="n">
        <v>0</v>
      </c>
      <c r="L2281" t="n">
        <v>0.904</v>
      </c>
      <c r="M2281" t="n">
        <v>0.096</v>
      </c>
    </row>
    <row r="2282" spans="1:13">
      <c r="A2282" s="1">
        <f>HYPERLINK("http://www.twitter.com/NathanBLawrence/status/991559103683022848", "991559103683022848")</f>
        <v/>
      </c>
      <c r="B2282" s="2" t="n">
        <v>43222.25332175926</v>
      </c>
      <c r="C2282" t="n">
        <v>0</v>
      </c>
      <c r="D2282" t="n">
        <v>30</v>
      </c>
      <c r="E2282" t="s">
        <v>2291</v>
      </c>
      <c r="F2282" t="s"/>
      <c r="G2282" t="s"/>
      <c r="H2282" t="s"/>
      <c r="I2282" t="s"/>
      <c r="J2282" t="n">
        <v>0</v>
      </c>
      <c r="K2282" t="n">
        <v>0</v>
      </c>
      <c r="L2282" t="n">
        <v>1</v>
      </c>
      <c r="M2282" t="n">
        <v>0</v>
      </c>
    </row>
    <row r="2283" spans="1:13">
      <c r="A2283" s="1">
        <f>HYPERLINK("http://www.twitter.com/NathanBLawrence/status/991558853165629442", "991558853165629442")</f>
        <v/>
      </c>
      <c r="B2283" s="2" t="n">
        <v>43222.25262731482</v>
      </c>
      <c r="C2283" t="n">
        <v>0</v>
      </c>
      <c r="D2283" t="n">
        <v>287</v>
      </c>
      <c r="E2283" t="s">
        <v>2292</v>
      </c>
      <c r="F2283" t="s"/>
      <c r="G2283" t="s"/>
      <c r="H2283" t="s"/>
      <c r="I2283" t="s"/>
      <c r="J2283" t="n">
        <v>0.296</v>
      </c>
      <c r="K2283" t="n">
        <v>0</v>
      </c>
      <c r="L2283" t="n">
        <v>0.896</v>
      </c>
      <c r="M2283" t="n">
        <v>0.104</v>
      </c>
    </row>
    <row r="2284" spans="1:13">
      <c r="A2284" s="1">
        <f>HYPERLINK("http://www.twitter.com/NathanBLawrence/status/991558607333277696", "991558607333277696")</f>
        <v/>
      </c>
      <c r="B2284" s="2" t="n">
        <v>43222.25194444445</v>
      </c>
      <c r="C2284" t="n">
        <v>0</v>
      </c>
      <c r="D2284" t="n">
        <v>5</v>
      </c>
      <c r="E2284" t="s">
        <v>2293</v>
      </c>
      <c r="F2284" t="s"/>
      <c r="G2284" t="s"/>
      <c r="H2284" t="s"/>
      <c r="I2284" t="s"/>
      <c r="J2284" t="n">
        <v>0.4574</v>
      </c>
      <c r="K2284" t="n">
        <v>0</v>
      </c>
      <c r="L2284" t="n">
        <v>0.667</v>
      </c>
      <c r="M2284" t="n">
        <v>0.333</v>
      </c>
    </row>
    <row r="2285" spans="1:13">
      <c r="A2285" s="1">
        <f>HYPERLINK("http://www.twitter.com/NathanBLawrence/status/991558550248939520", "991558550248939520")</f>
        <v/>
      </c>
      <c r="B2285" s="2" t="n">
        <v>43222.25179398148</v>
      </c>
      <c r="C2285" t="n">
        <v>0</v>
      </c>
      <c r="D2285" t="n">
        <v>2856</v>
      </c>
      <c r="E2285" t="s">
        <v>2294</v>
      </c>
      <c r="F2285" t="s"/>
      <c r="G2285" t="s"/>
      <c r="H2285" t="s"/>
      <c r="I2285" t="s"/>
      <c r="J2285" t="n">
        <v>0.128</v>
      </c>
      <c r="K2285" t="n">
        <v>0</v>
      </c>
      <c r="L2285" t="n">
        <v>0.919</v>
      </c>
      <c r="M2285" t="n">
        <v>0.081</v>
      </c>
    </row>
    <row r="2286" spans="1:13">
      <c r="A2286" s="1">
        <f>HYPERLINK("http://www.twitter.com/NathanBLawrence/status/991558278793510913", "991558278793510913")</f>
        <v/>
      </c>
      <c r="B2286" s="2" t="n">
        <v>43222.25104166667</v>
      </c>
      <c r="C2286" t="n">
        <v>2</v>
      </c>
      <c r="D2286" t="n">
        <v>0</v>
      </c>
      <c r="E2286" t="s">
        <v>2295</v>
      </c>
      <c r="F2286" t="s"/>
      <c r="G2286" t="s"/>
      <c r="H2286" t="s"/>
      <c r="I2286" t="s"/>
      <c r="J2286" t="n">
        <v>0</v>
      </c>
      <c r="K2286" t="n">
        <v>0</v>
      </c>
      <c r="L2286" t="n">
        <v>1</v>
      </c>
      <c r="M2286" t="n">
        <v>0</v>
      </c>
    </row>
    <row r="2287" spans="1:13">
      <c r="A2287" s="1">
        <f>HYPERLINK("http://www.twitter.com/NathanBLawrence/status/991556219566346240", "991556219566346240")</f>
        <v/>
      </c>
      <c r="B2287" s="2" t="n">
        <v>43222.2453587963</v>
      </c>
      <c r="C2287" t="n">
        <v>0</v>
      </c>
      <c r="D2287" t="n">
        <v>3437</v>
      </c>
      <c r="E2287" t="s">
        <v>2296</v>
      </c>
      <c r="F2287" t="s"/>
      <c r="G2287" t="s"/>
      <c r="H2287" t="s"/>
      <c r="I2287" t="s"/>
      <c r="J2287" t="n">
        <v>0.8074</v>
      </c>
      <c r="K2287" t="n">
        <v>0</v>
      </c>
      <c r="L2287" t="n">
        <v>0.707</v>
      </c>
      <c r="M2287" t="n">
        <v>0.293</v>
      </c>
    </row>
    <row r="2288" spans="1:13">
      <c r="A2288" s="1">
        <f>HYPERLINK("http://www.twitter.com/NathanBLawrence/status/991556093057744896", "991556093057744896")</f>
        <v/>
      </c>
      <c r="B2288" s="2" t="n">
        <v>43222.24501157407</v>
      </c>
      <c r="C2288" t="n">
        <v>0</v>
      </c>
      <c r="D2288" t="n">
        <v>14129</v>
      </c>
      <c r="E2288" t="s">
        <v>2297</v>
      </c>
      <c r="F2288" t="s"/>
      <c r="G2288" t="s"/>
      <c r="H2288" t="s"/>
      <c r="I2288" t="s"/>
      <c r="J2288" t="n">
        <v>-0.188</v>
      </c>
      <c r="K2288" t="n">
        <v>0.126</v>
      </c>
      <c r="L2288" t="n">
        <v>0.777</v>
      </c>
      <c r="M2288" t="n">
        <v>0.097</v>
      </c>
    </row>
    <row r="2289" spans="1:13">
      <c r="A2289" s="1">
        <f>HYPERLINK("http://www.twitter.com/NathanBLawrence/status/991555976581996544", "991555976581996544")</f>
        <v/>
      </c>
      <c r="B2289" s="2" t="n">
        <v>43222.2446875</v>
      </c>
      <c r="C2289" t="n">
        <v>0</v>
      </c>
      <c r="D2289" t="n">
        <v>18877</v>
      </c>
      <c r="E2289" t="s">
        <v>2298</v>
      </c>
      <c r="F2289">
        <f>HYPERLINK("https://video.twimg.com/ext_tw_video/991010703287840768/pu/vid/1280x720/V7ZYOBTogrK75MII.mp4?tag=3", "https://video.twimg.com/ext_tw_video/991010703287840768/pu/vid/1280x720/V7ZYOBTogrK75MII.mp4?tag=3")</f>
        <v/>
      </c>
      <c r="G2289" t="s"/>
      <c r="H2289" t="s"/>
      <c r="I2289" t="s"/>
      <c r="J2289" t="n">
        <v>-0.5106000000000001</v>
      </c>
      <c r="K2289" t="n">
        <v>0.136</v>
      </c>
      <c r="L2289" t="n">
        <v>0.864</v>
      </c>
      <c r="M2289" t="n">
        <v>0</v>
      </c>
    </row>
    <row r="2290" spans="1:13">
      <c r="A2290" s="1">
        <f>HYPERLINK("http://www.twitter.com/NathanBLawrence/status/991555882923114496", "991555882923114496")</f>
        <v/>
      </c>
      <c r="B2290" s="2" t="n">
        <v>43222.24443287037</v>
      </c>
      <c r="C2290" t="n">
        <v>0</v>
      </c>
      <c r="D2290" t="n">
        <v>3004</v>
      </c>
      <c r="E2290" t="s">
        <v>2299</v>
      </c>
      <c r="F2290" t="s"/>
      <c r="G2290" t="s"/>
      <c r="H2290" t="s"/>
      <c r="I2290" t="s"/>
      <c r="J2290" t="n">
        <v>-0.1779</v>
      </c>
      <c r="K2290" t="n">
        <v>0.162</v>
      </c>
      <c r="L2290" t="n">
        <v>0.711</v>
      </c>
      <c r="M2290" t="n">
        <v>0.127</v>
      </c>
    </row>
    <row r="2291" spans="1:13">
      <c r="A2291" s="1">
        <f>HYPERLINK("http://www.twitter.com/NathanBLawrence/status/991555819018727425", "991555819018727425")</f>
        <v/>
      </c>
      <c r="B2291" s="2" t="n">
        <v>43222.24425925926</v>
      </c>
      <c r="C2291" t="n">
        <v>0</v>
      </c>
      <c r="D2291" t="n">
        <v>2173</v>
      </c>
      <c r="E2291" t="s">
        <v>2300</v>
      </c>
      <c r="F2291" t="s"/>
      <c r="G2291" t="s"/>
      <c r="H2291" t="s"/>
      <c r="I2291" t="s"/>
      <c r="J2291" t="n">
        <v>-0.34</v>
      </c>
      <c r="K2291" t="n">
        <v>0.091</v>
      </c>
      <c r="L2291" t="n">
        <v>0.909</v>
      </c>
      <c r="M2291" t="n">
        <v>0</v>
      </c>
    </row>
    <row r="2292" spans="1:13">
      <c r="A2292" s="1">
        <f>HYPERLINK("http://www.twitter.com/NathanBLawrence/status/991555478722301952", "991555478722301952")</f>
        <v/>
      </c>
      <c r="B2292" s="2" t="n">
        <v>43222.24331018519</v>
      </c>
      <c r="C2292" t="n">
        <v>6</v>
      </c>
      <c r="D2292" t="n">
        <v>2</v>
      </c>
      <c r="E2292" t="s">
        <v>2301</v>
      </c>
      <c r="F2292" t="s"/>
      <c r="G2292" t="s"/>
      <c r="H2292" t="s"/>
      <c r="I2292" t="s"/>
      <c r="J2292" t="n">
        <v>-0.8341</v>
      </c>
      <c r="K2292" t="n">
        <v>0.466</v>
      </c>
      <c r="L2292" t="n">
        <v>0.534</v>
      </c>
      <c r="M2292" t="n">
        <v>0</v>
      </c>
    </row>
    <row r="2293" spans="1:13">
      <c r="A2293" s="1">
        <f>HYPERLINK("http://www.twitter.com/NathanBLawrence/status/991555174534598656", "991555174534598656")</f>
        <v/>
      </c>
      <c r="B2293" s="2" t="n">
        <v>43222.24247685185</v>
      </c>
      <c r="C2293" t="n">
        <v>0</v>
      </c>
      <c r="D2293" t="n">
        <v>6653</v>
      </c>
      <c r="E2293" t="s">
        <v>2302</v>
      </c>
      <c r="F2293" t="s"/>
      <c r="G2293" t="s"/>
      <c r="H2293" t="s"/>
      <c r="I2293" t="s"/>
      <c r="J2293" t="n">
        <v>0</v>
      </c>
      <c r="K2293" t="n">
        <v>0</v>
      </c>
      <c r="L2293" t="n">
        <v>1</v>
      </c>
      <c r="M2293" t="n">
        <v>0</v>
      </c>
    </row>
    <row r="2294" spans="1:13">
      <c r="A2294" s="1">
        <f>HYPERLINK("http://www.twitter.com/NathanBLawrence/status/991554877309382656", "991554877309382656")</f>
        <v/>
      </c>
      <c r="B2294" s="2" t="n">
        <v>43222.24165509259</v>
      </c>
      <c r="C2294" t="n">
        <v>0</v>
      </c>
      <c r="D2294" t="n">
        <v>10777</v>
      </c>
      <c r="E2294" t="s">
        <v>2303</v>
      </c>
      <c r="F2294" t="s"/>
      <c r="G2294" t="s"/>
      <c r="H2294" t="s"/>
      <c r="I2294" t="s"/>
      <c r="J2294" t="n">
        <v>0.7269</v>
      </c>
      <c r="K2294" t="n">
        <v>0.147</v>
      </c>
      <c r="L2294" t="n">
        <v>0.479</v>
      </c>
      <c r="M2294" t="n">
        <v>0.374</v>
      </c>
    </row>
    <row r="2295" spans="1:13">
      <c r="A2295" s="1">
        <f>HYPERLINK("http://www.twitter.com/NathanBLawrence/status/991554651580284929", "991554651580284929")</f>
        <v/>
      </c>
      <c r="B2295" s="2" t="n">
        <v>43222.24103009259</v>
      </c>
      <c r="C2295" t="n">
        <v>6</v>
      </c>
      <c r="D2295" t="n">
        <v>4</v>
      </c>
      <c r="E2295" t="s">
        <v>2304</v>
      </c>
      <c r="F2295" t="s"/>
      <c r="G2295" t="s"/>
      <c r="H2295" t="s"/>
      <c r="I2295" t="s"/>
      <c r="J2295" t="n">
        <v>0</v>
      </c>
      <c r="K2295" t="n">
        <v>0</v>
      </c>
      <c r="L2295" t="n">
        <v>1</v>
      </c>
      <c r="M2295" t="n">
        <v>0</v>
      </c>
    </row>
    <row r="2296" spans="1:13">
      <c r="A2296" s="1">
        <f>HYPERLINK("http://www.twitter.com/NathanBLawrence/status/991554513793204224", "991554513793204224")</f>
        <v/>
      </c>
      <c r="B2296" s="2" t="n">
        <v>43222.24064814814</v>
      </c>
      <c r="C2296" t="n">
        <v>12</v>
      </c>
      <c r="D2296" t="n">
        <v>8</v>
      </c>
      <c r="E2296" t="s">
        <v>2305</v>
      </c>
      <c r="F2296" t="s"/>
      <c r="G2296" t="s"/>
      <c r="H2296" t="s"/>
      <c r="I2296" t="s"/>
      <c r="J2296" t="n">
        <v>0</v>
      </c>
      <c r="K2296" t="n">
        <v>0</v>
      </c>
      <c r="L2296" t="n">
        <v>1</v>
      </c>
      <c r="M2296" t="n">
        <v>0</v>
      </c>
    </row>
    <row r="2297" spans="1:13">
      <c r="A2297" s="1">
        <f>HYPERLINK("http://www.twitter.com/NathanBLawrence/status/991554237753581569", "991554237753581569")</f>
        <v/>
      </c>
      <c r="B2297" s="2" t="n">
        <v>43222.23989583334</v>
      </c>
      <c r="C2297" t="n">
        <v>3</v>
      </c>
      <c r="D2297" t="n">
        <v>1</v>
      </c>
      <c r="E2297" t="s">
        <v>2306</v>
      </c>
      <c r="F2297" t="s"/>
      <c r="G2297" t="s"/>
      <c r="H2297" t="s"/>
      <c r="I2297" t="s"/>
      <c r="J2297" t="n">
        <v>-0.9183</v>
      </c>
      <c r="K2297" t="n">
        <v>0.545</v>
      </c>
      <c r="L2297" t="n">
        <v>0.455</v>
      </c>
      <c r="M2297" t="n">
        <v>0</v>
      </c>
    </row>
    <row r="2298" spans="1:13">
      <c r="A2298" s="1">
        <f>HYPERLINK("http://www.twitter.com/NathanBLawrence/status/991553910857875456", "991553910857875456")</f>
        <v/>
      </c>
      <c r="B2298" s="2" t="n">
        <v>43222.23899305556</v>
      </c>
      <c r="C2298" t="n">
        <v>7</v>
      </c>
      <c r="D2298" t="n">
        <v>2</v>
      </c>
      <c r="E2298" t="s">
        <v>2307</v>
      </c>
      <c r="F2298" t="s"/>
      <c r="G2298" t="s"/>
      <c r="H2298" t="s"/>
      <c r="I2298" t="s"/>
      <c r="J2298" t="n">
        <v>0</v>
      </c>
      <c r="K2298" t="n">
        <v>0</v>
      </c>
      <c r="L2298" t="n">
        <v>1</v>
      </c>
      <c r="M2298" t="n">
        <v>0</v>
      </c>
    </row>
    <row r="2299" spans="1:13">
      <c r="A2299" s="1">
        <f>HYPERLINK("http://www.twitter.com/NathanBLawrence/status/991553837994459136", "991553837994459136")</f>
        <v/>
      </c>
      <c r="B2299" s="2" t="n">
        <v>43222.23878472222</v>
      </c>
      <c r="C2299" t="n">
        <v>5</v>
      </c>
      <c r="D2299" t="n">
        <v>4</v>
      </c>
      <c r="E2299" t="s">
        <v>2308</v>
      </c>
      <c r="F2299" t="s"/>
      <c r="G2299" t="s"/>
      <c r="H2299" t="s"/>
      <c r="I2299" t="s"/>
      <c r="J2299" t="n">
        <v>0</v>
      </c>
      <c r="K2299" t="n">
        <v>0</v>
      </c>
      <c r="L2299" t="n">
        <v>1</v>
      </c>
      <c r="M2299" t="n">
        <v>0</v>
      </c>
    </row>
    <row r="2300" spans="1:13">
      <c r="A2300" s="1">
        <f>HYPERLINK("http://www.twitter.com/NathanBLawrence/status/991553640325201920", "991553640325201920")</f>
        <v/>
      </c>
      <c r="B2300" s="2" t="n">
        <v>43222.23824074074</v>
      </c>
      <c r="C2300" t="n">
        <v>0</v>
      </c>
      <c r="D2300" t="n">
        <v>282</v>
      </c>
      <c r="E2300" t="s">
        <v>2309</v>
      </c>
      <c r="F2300" t="s"/>
      <c r="G2300" t="s"/>
      <c r="H2300" t="s"/>
      <c r="I2300" t="s"/>
      <c r="J2300" t="n">
        <v>0</v>
      </c>
      <c r="K2300" t="n">
        <v>0</v>
      </c>
      <c r="L2300" t="n">
        <v>1</v>
      </c>
      <c r="M2300" t="n">
        <v>0</v>
      </c>
    </row>
    <row r="2301" spans="1:13">
      <c r="A2301" s="1">
        <f>HYPERLINK("http://www.twitter.com/NathanBLawrence/status/991553548830691328", "991553548830691328")</f>
        <v/>
      </c>
      <c r="B2301" s="2" t="n">
        <v>43222.23798611111</v>
      </c>
      <c r="C2301" t="n">
        <v>13</v>
      </c>
      <c r="D2301" t="n">
        <v>5</v>
      </c>
      <c r="E2301" t="s">
        <v>2310</v>
      </c>
      <c r="F2301" t="s"/>
      <c r="G2301" t="s"/>
      <c r="H2301" t="s"/>
      <c r="I2301" t="s"/>
      <c r="J2301" t="n">
        <v>-0.9564</v>
      </c>
      <c r="K2301" t="n">
        <v>0.312</v>
      </c>
      <c r="L2301" t="n">
        <v>0.6879999999999999</v>
      </c>
      <c r="M2301" t="n">
        <v>0</v>
      </c>
    </row>
    <row r="2302" spans="1:13">
      <c r="A2302" s="1">
        <f>HYPERLINK("http://www.twitter.com/NathanBLawrence/status/991552895542685697", "991552895542685697")</f>
        <v/>
      </c>
      <c r="B2302" s="2" t="n">
        <v>43222.23619212963</v>
      </c>
      <c r="C2302" t="n">
        <v>4</v>
      </c>
      <c r="D2302" t="n">
        <v>2</v>
      </c>
      <c r="E2302" t="s">
        <v>2311</v>
      </c>
      <c r="F2302" t="s"/>
      <c r="G2302" t="s"/>
      <c r="H2302" t="s"/>
      <c r="I2302" t="s"/>
      <c r="J2302" t="n">
        <v>-0.5767</v>
      </c>
      <c r="K2302" t="n">
        <v>0.157</v>
      </c>
      <c r="L2302" t="n">
        <v>0.784</v>
      </c>
      <c r="M2302" t="n">
        <v>0.059</v>
      </c>
    </row>
    <row r="2303" spans="1:13">
      <c r="A2303" s="1">
        <f>HYPERLINK("http://www.twitter.com/NathanBLawrence/status/991547999510708224", "991547999510708224")</f>
        <v/>
      </c>
      <c r="B2303" s="2" t="n">
        <v>43222.22267361111</v>
      </c>
      <c r="C2303" t="n">
        <v>0</v>
      </c>
      <c r="D2303" t="n">
        <v>8</v>
      </c>
      <c r="E2303" t="s">
        <v>2312</v>
      </c>
      <c r="F2303">
        <f>HYPERLINK("http://pbs.twimg.com/media/DcKYHI7X0AAPlB5.jpg", "http://pbs.twimg.com/media/DcKYHI7X0AAPlB5.jpg")</f>
        <v/>
      </c>
      <c r="G2303" t="s"/>
      <c r="H2303" t="s"/>
      <c r="I2303" t="s"/>
      <c r="J2303" t="n">
        <v>0</v>
      </c>
      <c r="K2303" t="n">
        <v>0</v>
      </c>
      <c r="L2303" t="n">
        <v>1</v>
      </c>
      <c r="M2303" t="n">
        <v>0</v>
      </c>
    </row>
    <row r="2304" spans="1:13">
      <c r="A2304" s="1">
        <f>HYPERLINK("http://www.twitter.com/NathanBLawrence/status/991547927037267969", "991547927037267969")</f>
        <v/>
      </c>
      <c r="B2304" s="2" t="n">
        <v>43222.22247685185</v>
      </c>
      <c r="C2304" t="n">
        <v>0</v>
      </c>
      <c r="D2304" t="n">
        <v>73</v>
      </c>
      <c r="E2304" t="s">
        <v>2313</v>
      </c>
      <c r="F2304" t="s"/>
      <c r="G2304" t="s"/>
      <c r="H2304" t="s"/>
      <c r="I2304" t="s"/>
      <c r="J2304" t="n">
        <v>0</v>
      </c>
      <c r="K2304" t="n">
        <v>0</v>
      </c>
      <c r="L2304" t="n">
        <v>1</v>
      </c>
      <c r="M2304" t="n">
        <v>0</v>
      </c>
    </row>
    <row r="2305" spans="1:13">
      <c r="A2305" s="1">
        <f>HYPERLINK("http://www.twitter.com/NathanBLawrence/status/991547879226408961", "991547879226408961")</f>
        <v/>
      </c>
      <c r="B2305" s="2" t="n">
        <v>43222.22234953703</v>
      </c>
      <c r="C2305" t="n">
        <v>0</v>
      </c>
      <c r="D2305" t="n">
        <v>323</v>
      </c>
      <c r="E2305" t="s">
        <v>2314</v>
      </c>
      <c r="F2305" t="s"/>
      <c r="G2305" t="s"/>
      <c r="H2305" t="s"/>
      <c r="I2305" t="s"/>
      <c r="J2305" t="n">
        <v>-0.128</v>
      </c>
      <c r="K2305" t="n">
        <v>0.127</v>
      </c>
      <c r="L2305" t="n">
        <v>0.773</v>
      </c>
      <c r="M2305" t="n">
        <v>0.099</v>
      </c>
    </row>
    <row r="2306" spans="1:13">
      <c r="A2306" s="1">
        <f>HYPERLINK("http://www.twitter.com/NathanBLawrence/status/991547811647770625", "991547811647770625")</f>
        <v/>
      </c>
      <c r="B2306" s="2" t="n">
        <v>43222.22216435185</v>
      </c>
      <c r="C2306" t="n">
        <v>0</v>
      </c>
      <c r="D2306" t="n">
        <v>25</v>
      </c>
      <c r="E2306" t="s">
        <v>2315</v>
      </c>
      <c r="F2306" t="s"/>
      <c r="G2306" t="s"/>
      <c r="H2306" t="s"/>
      <c r="I2306" t="s"/>
      <c r="J2306" t="n">
        <v>0.4728</v>
      </c>
      <c r="K2306" t="n">
        <v>0</v>
      </c>
      <c r="L2306" t="n">
        <v>0.877</v>
      </c>
      <c r="M2306" t="n">
        <v>0.123</v>
      </c>
    </row>
    <row r="2307" spans="1:13">
      <c r="A2307" s="1">
        <f>HYPERLINK("http://www.twitter.com/NathanBLawrence/status/991547696656801792", "991547696656801792")</f>
        <v/>
      </c>
      <c r="B2307" s="2" t="n">
        <v>43222.22184027778</v>
      </c>
      <c r="C2307" t="n">
        <v>0</v>
      </c>
      <c r="D2307" t="n">
        <v>272</v>
      </c>
      <c r="E2307" t="s">
        <v>2316</v>
      </c>
      <c r="F2307" t="s"/>
      <c r="G2307" t="s"/>
      <c r="H2307" t="s"/>
      <c r="I2307" t="s"/>
      <c r="J2307" t="n">
        <v>0.4019</v>
      </c>
      <c r="K2307" t="n">
        <v>0</v>
      </c>
      <c r="L2307" t="n">
        <v>0.886</v>
      </c>
      <c r="M2307" t="n">
        <v>0.114</v>
      </c>
    </row>
    <row r="2308" spans="1:13">
      <c r="A2308" s="1">
        <f>HYPERLINK("http://www.twitter.com/NathanBLawrence/status/991546125973835778", "991546125973835778")</f>
        <v/>
      </c>
      <c r="B2308" s="2" t="n">
        <v>43222.21751157408</v>
      </c>
      <c r="C2308" t="n">
        <v>6</v>
      </c>
      <c r="D2308" t="n">
        <v>5</v>
      </c>
      <c r="E2308" t="s">
        <v>2317</v>
      </c>
      <c r="F2308" t="s"/>
      <c r="G2308" t="s"/>
      <c r="H2308" t="s"/>
      <c r="I2308" t="s"/>
      <c r="J2308" t="n">
        <v>0.4968</v>
      </c>
      <c r="K2308" t="n">
        <v>0.111</v>
      </c>
      <c r="L2308" t="n">
        <v>0.6919999999999999</v>
      </c>
      <c r="M2308" t="n">
        <v>0.197</v>
      </c>
    </row>
    <row r="2309" spans="1:13">
      <c r="A2309" s="1">
        <f>HYPERLINK("http://www.twitter.com/NathanBLawrence/status/991545801926066176", "991545801926066176")</f>
        <v/>
      </c>
      <c r="B2309" s="2" t="n">
        <v>43222.2166087963</v>
      </c>
      <c r="C2309" t="n">
        <v>3</v>
      </c>
      <c r="D2309" t="n">
        <v>0</v>
      </c>
      <c r="E2309" t="s">
        <v>2318</v>
      </c>
      <c r="F2309" t="s"/>
      <c r="G2309" t="s"/>
      <c r="H2309" t="s"/>
      <c r="I2309" t="s"/>
      <c r="J2309" t="n">
        <v>-0.1759</v>
      </c>
      <c r="K2309" t="n">
        <v>0.114</v>
      </c>
      <c r="L2309" t="n">
        <v>0.794</v>
      </c>
      <c r="M2309" t="n">
        <v>0.092</v>
      </c>
    </row>
    <row r="2310" spans="1:13">
      <c r="A2310" s="1">
        <f>HYPERLINK("http://www.twitter.com/NathanBLawrence/status/991545300782268416", "991545300782268416")</f>
        <v/>
      </c>
      <c r="B2310" s="2" t="n">
        <v>43222.21523148148</v>
      </c>
      <c r="C2310" t="n">
        <v>9</v>
      </c>
      <c r="D2310" t="n">
        <v>2</v>
      </c>
      <c r="E2310" t="s">
        <v>2319</v>
      </c>
      <c r="F2310" t="s"/>
      <c r="G2310" t="s"/>
      <c r="H2310" t="s"/>
      <c r="I2310" t="s"/>
      <c r="J2310" t="n">
        <v>0</v>
      </c>
      <c r="K2310" t="n">
        <v>0</v>
      </c>
      <c r="L2310" t="n">
        <v>1</v>
      </c>
      <c r="M2310" t="n">
        <v>0</v>
      </c>
    </row>
    <row r="2311" spans="1:13">
      <c r="A2311" s="1">
        <f>HYPERLINK("http://www.twitter.com/NathanBLawrence/status/991544864973074433", "991544864973074433")</f>
        <v/>
      </c>
      <c r="B2311" s="2" t="n">
        <v>43222.21402777778</v>
      </c>
      <c r="C2311" t="n">
        <v>0</v>
      </c>
      <c r="D2311" t="n">
        <v>4886</v>
      </c>
      <c r="E2311" t="s">
        <v>2320</v>
      </c>
      <c r="F2311">
        <f>HYPERLINK("http://pbs.twimg.com/media/DcIFXD8U8AAonLm.jpg", "http://pbs.twimg.com/media/DcIFXD8U8AAonLm.jpg")</f>
        <v/>
      </c>
      <c r="G2311" t="s"/>
      <c r="H2311" t="s"/>
      <c r="I2311" t="s"/>
      <c r="J2311" t="n">
        <v>0.5106000000000001</v>
      </c>
      <c r="K2311" t="n">
        <v>0</v>
      </c>
      <c r="L2311" t="n">
        <v>0.769</v>
      </c>
      <c r="M2311" t="n">
        <v>0.231</v>
      </c>
    </row>
    <row r="2312" spans="1:13">
      <c r="A2312" s="1">
        <f>HYPERLINK("http://www.twitter.com/NathanBLawrence/status/991544737487175680", "991544737487175680")</f>
        <v/>
      </c>
      <c r="B2312" s="2" t="n">
        <v>43222.21368055556</v>
      </c>
      <c r="C2312" t="n">
        <v>0</v>
      </c>
      <c r="D2312" t="n">
        <v>1401</v>
      </c>
      <c r="E2312" t="s">
        <v>2321</v>
      </c>
      <c r="F2312">
        <f>HYPERLINK("https://video.twimg.com/amplify_video/991502925959716869/vid/1280x720/3YjTHjXpqXi26Gbo.mp4?tag=2", "https://video.twimg.com/amplify_video/991502925959716869/vid/1280x720/3YjTHjXpqXi26Gbo.mp4?tag=2")</f>
        <v/>
      </c>
      <c r="G2312" t="s"/>
      <c r="H2312" t="s"/>
      <c r="I2312" t="s"/>
      <c r="J2312" t="n">
        <v>0</v>
      </c>
      <c r="K2312" t="n">
        <v>0</v>
      </c>
      <c r="L2312" t="n">
        <v>1</v>
      </c>
      <c r="M2312" t="n">
        <v>0</v>
      </c>
    </row>
    <row r="2313" spans="1:13">
      <c r="A2313" s="1">
        <f>HYPERLINK("http://www.twitter.com/NathanBLawrence/status/991542388475674624", "991542388475674624")</f>
        <v/>
      </c>
      <c r="B2313" s="2" t="n">
        <v>43222.20719907407</v>
      </c>
      <c r="C2313" t="n">
        <v>0</v>
      </c>
      <c r="D2313" t="n">
        <v>895</v>
      </c>
      <c r="E2313" t="s">
        <v>2322</v>
      </c>
      <c r="F2313">
        <f>HYPERLINK("http://pbs.twimg.com/media/DcKR3nUV4AAFOk4.jpg", "http://pbs.twimg.com/media/DcKR3nUV4AAFOk4.jpg")</f>
        <v/>
      </c>
      <c r="G2313" t="s"/>
      <c r="H2313" t="s"/>
      <c r="I2313" t="s"/>
      <c r="J2313" t="n">
        <v>-0.3382</v>
      </c>
      <c r="K2313" t="n">
        <v>0.097</v>
      </c>
      <c r="L2313" t="n">
        <v>0.86</v>
      </c>
      <c r="M2313" t="n">
        <v>0.043</v>
      </c>
    </row>
    <row r="2314" spans="1:13">
      <c r="A2314" s="1">
        <f>HYPERLINK("http://www.twitter.com/NathanBLawrence/status/991542321513574400", "991542321513574400")</f>
        <v/>
      </c>
      <c r="B2314" s="2" t="n">
        <v>43222.20701388889</v>
      </c>
      <c r="C2314" t="n">
        <v>0</v>
      </c>
      <c r="D2314" t="n">
        <v>3507</v>
      </c>
      <c r="E2314" t="s">
        <v>2323</v>
      </c>
      <c r="F2314" t="s"/>
      <c r="G2314" t="s"/>
      <c r="H2314" t="s"/>
      <c r="I2314" t="s"/>
      <c r="J2314" t="n">
        <v>0</v>
      </c>
      <c r="K2314" t="n">
        <v>0</v>
      </c>
      <c r="L2314" t="n">
        <v>1</v>
      </c>
      <c r="M2314" t="n">
        <v>0</v>
      </c>
    </row>
    <row r="2315" spans="1:13">
      <c r="A2315" s="1">
        <f>HYPERLINK("http://www.twitter.com/NathanBLawrence/status/991542149450682368", "991542149450682368")</f>
        <v/>
      </c>
      <c r="B2315" s="2" t="n">
        <v>43222.20653935185</v>
      </c>
      <c r="C2315" t="n">
        <v>4</v>
      </c>
      <c r="D2315" t="n">
        <v>4</v>
      </c>
      <c r="E2315" t="s">
        <v>2324</v>
      </c>
      <c r="F2315" t="s"/>
      <c r="G2315" t="s"/>
      <c r="H2315" t="s"/>
      <c r="I2315" t="s"/>
      <c r="J2315" t="n">
        <v>-0.3257</v>
      </c>
      <c r="K2315" t="n">
        <v>0.058</v>
      </c>
      <c r="L2315" t="n">
        <v>0.911</v>
      </c>
      <c r="M2315" t="n">
        <v>0.031</v>
      </c>
    </row>
    <row r="2316" spans="1:13">
      <c r="A2316" s="1">
        <f>HYPERLINK("http://www.twitter.com/NathanBLawrence/status/991541768943370240", "991541768943370240")</f>
        <v/>
      </c>
      <c r="B2316" s="2" t="n">
        <v>43222.20548611111</v>
      </c>
      <c r="C2316" t="n">
        <v>0</v>
      </c>
      <c r="D2316" t="n">
        <v>980</v>
      </c>
      <c r="E2316" t="s">
        <v>2325</v>
      </c>
      <c r="F2316" t="s"/>
      <c r="G2316" t="s"/>
      <c r="H2316" t="s"/>
      <c r="I2316" t="s"/>
      <c r="J2316" t="n">
        <v>0</v>
      </c>
      <c r="K2316" t="n">
        <v>0</v>
      </c>
      <c r="L2316" t="n">
        <v>1</v>
      </c>
      <c r="M2316" t="n">
        <v>0</v>
      </c>
    </row>
    <row r="2317" spans="1:13">
      <c r="A2317" s="1">
        <f>HYPERLINK("http://www.twitter.com/NathanBLawrence/status/991541395050582016", "991541395050582016")</f>
        <v/>
      </c>
      <c r="B2317" s="2" t="n">
        <v>43222.20445601852</v>
      </c>
      <c r="C2317" t="n">
        <v>3</v>
      </c>
      <c r="D2317" t="n">
        <v>1</v>
      </c>
      <c r="E2317" t="s">
        <v>2326</v>
      </c>
      <c r="F2317" t="s"/>
      <c r="G2317" t="s"/>
      <c r="H2317" t="s"/>
      <c r="I2317" t="s"/>
      <c r="J2317" t="n">
        <v>0.6369</v>
      </c>
      <c r="K2317" t="n">
        <v>0</v>
      </c>
      <c r="L2317" t="n">
        <v>0.89</v>
      </c>
      <c r="M2317" t="n">
        <v>0.11</v>
      </c>
    </row>
    <row r="2318" spans="1:13">
      <c r="A2318" s="1">
        <f>HYPERLINK("http://www.twitter.com/NathanBLawrence/status/991537373623214081", "991537373623214081")</f>
        <v/>
      </c>
      <c r="B2318" s="2" t="n">
        <v>43222.19335648148</v>
      </c>
      <c r="C2318" t="n">
        <v>0</v>
      </c>
      <c r="D2318" t="n">
        <v>292</v>
      </c>
      <c r="E2318" t="s">
        <v>2327</v>
      </c>
      <c r="F2318">
        <f>HYPERLINK("https://video.twimg.com/ext_tw_video/991426249749745664/pu/vid/720x720/GIBHV9iDgST8-ZF_.mp4?tag=3", "https://video.twimg.com/ext_tw_video/991426249749745664/pu/vid/720x720/GIBHV9iDgST8-ZF_.mp4?tag=3")</f>
        <v/>
      </c>
      <c r="G2318" t="s"/>
      <c r="H2318" t="s"/>
      <c r="I2318" t="s"/>
      <c r="J2318" t="n">
        <v>-0.3818</v>
      </c>
      <c r="K2318" t="n">
        <v>0.12</v>
      </c>
      <c r="L2318" t="n">
        <v>0.88</v>
      </c>
      <c r="M2318" t="n">
        <v>0</v>
      </c>
    </row>
    <row r="2319" spans="1:13">
      <c r="A2319" s="1">
        <f>HYPERLINK("http://www.twitter.com/NathanBLawrence/status/991537119398051841", "991537119398051841")</f>
        <v/>
      </c>
      <c r="B2319" s="2" t="n">
        <v>43222.19265046297</v>
      </c>
      <c r="C2319" t="n">
        <v>0</v>
      </c>
      <c r="D2319" t="n">
        <v>94</v>
      </c>
      <c r="E2319" t="s">
        <v>2328</v>
      </c>
      <c r="F2319" t="s"/>
      <c r="G2319" t="s"/>
      <c r="H2319" t="s"/>
      <c r="I2319" t="s"/>
      <c r="J2319" t="n">
        <v>0</v>
      </c>
      <c r="K2319" t="n">
        <v>0</v>
      </c>
      <c r="L2319" t="n">
        <v>1</v>
      </c>
      <c r="M2319" t="n">
        <v>0</v>
      </c>
    </row>
    <row r="2320" spans="1:13">
      <c r="A2320" s="1">
        <f>HYPERLINK("http://www.twitter.com/NathanBLawrence/status/991537025986711552", "991537025986711552")</f>
        <v/>
      </c>
      <c r="B2320" s="2" t="n">
        <v>43222.19239583334</v>
      </c>
      <c r="C2320" t="n">
        <v>0</v>
      </c>
      <c r="D2320" t="n">
        <v>3</v>
      </c>
      <c r="E2320" t="s">
        <v>2329</v>
      </c>
      <c r="F2320" t="s"/>
      <c r="G2320" t="s"/>
      <c r="H2320" t="s"/>
      <c r="I2320" t="s"/>
      <c r="J2320" t="n">
        <v>-0.9022</v>
      </c>
      <c r="K2320" t="n">
        <v>0.369</v>
      </c>
      <c r="L2320" t="n">
        <v>0.631</v>
      </c>
      <c r="M2320" t="n">
        <v>0</v>
      </c>
    </row>
    <row r="2321" spans="1:13">
      <c r="A2321" s="1">
        <f>HYPERLINK("http://www.twitter.com/NathanBLawrence/status/991536407540715520", "991536407540715520")</f>
        <v/>
      </c>
      <c r="B2321" s="2" t="n">
        <v>43222.19069444444</v>
      </c>
      <c r="C2321" t="n">
        <v>0</v>
      </c>
      <c r="D2321" t="n">
        <v>8</v>
      </c>
      <c r="E2321" t="s">
        <v>2330</v>
      </c>
      <c r="F2321" t="s"/>
      <c r="G2321" t="s"/>
      <c r="H2321" t="s"/>
      <c r="I2321" t="s"/>
      <c r="J2321" t="n">
        <v>0.5106000000000001</v>
      </c>
      <c r="K2321" t="n">
        <v>0</v>
      </c>
      <c r="L2321" t="n">
        <v>0.784</v>
      </c>
      <c r="M2321" t="n">
        <v>0.216</v>
      </c>
    </row>
    <row r="2322" spans="1:13">
      <c r="A2322" s="1">
        <f>HYPERLINK("http://www.twitter.com/NathanBLawrence/status/991534579700776962", "991534579700776962")</f>
        <v/>
      </c>
      <c r="B2322" s="2" t="n">
        <v>43222.18564814814</v>
      </c>
      <c r="C2322" t="n">
        <v>0</v>
      </c>
      <c r="D2322" t="n">
        <v>1608</v>
      </c>
      <c r="E2322" t="s">
        <v>2331</v>
      </c>
      <c r="F2322">
        <f>HYPERLINK("http://pbs.twimg.com/media/DcI5kytVAAAhgss.jpg", "http://pbs.twimg.com/media/DcI5kytVAAAhgss.jpg")</f>
        <v/>
      </c>
      <c r="G2322" t="s"/>
      <c r="H2322" t="s"/>
      <c r="I2322" t="s"/>
      <c r="J2322" t="n">
        <v>-0.2732</v>
      </c>
      <c r="K2322" t="n">
        <v>0.08</v>
      </c>
      <c r="L2322" t="n">
        <v>0.92</v>
      </c>
      <c r="M2322" t="n">
        <v>0</v>
      </c>
    </row>
    <row r="2323" spans="1:13">
      <c r="A2323" s="1">
        <f>HYPERLINK("http://www.twitter.com/NathanBLawrence/status/991534513095299072", "991534513095299072")</f>
        <v/>
      </c>
      <c r="B2323" s="2" t="n">
        <v>43222.18546296296</v>
      </c>
      <c r="C2323" t="n">
        <v>10</v>
      </c>
      <c r="D2323" t="n">
        <v>12</v>
      </c>
      <c r="E2323" t="s">
        <v>2332</v>
      </c>
      <c r="F2323" t="s"/>
      <c r="G2323" t="s"/>
      <c r="H2323" t="s"/>
      <c r="I2323" t="s"/>
      <c r="J2323" t="n">
        <v>-0.6351</v>
      </c>
      <c r="K2323" t="n">
        <v>0.18</v>
      </c>
      <c r="L2323" t="n">
        <v>0.82</v>
      </c>
      <c r="M2323" t="n">
        <v>0</v>
      </c>
    </row>
    <row r="2324" spans="1:13">
      <c r="A2324" s="1">
        <f>HYPERLINK("http://www.twitter.com/NathanBLawrence/status/991534154176053248", "991534154176053248")</f>
        <v/>
      </c>
      <c r="B2324" s="2" t="n">
        <v>43222.18446759259</v>
      </c>
      <c r="C2324" t="n">
        <v>0</v>
      </c>
      <c r="D2324" t="n">
        <v>4</v>
      </c>
      <c r="E2324" t="s">
        <v>2333</v>
      </c>
      <c r="F2324" t="s"/>
      <c r="G2324" t="s"/>
      <c r="H2324" t="s"/>
      <c r="I2324" t="s"/>
      <c r="J2324" t="n">
        <v>0</v>
      </c>
      <c r="K2324" t="n">
        <v>0</v>
      </c>
      <c r="L2324" t="n">
        <v>1</v>
      </c>
      <c r="M2324" t="n">
        <v>0</v>
      </c>
    </row>
    <row r="2325" spans="1:13">
      <c r="A2325" s="1">
        <f>HYPERLINK("http://www.twitter.com/NathanBLawrence/status/991533582798606336", "991533582798606336")</f>
        <v/>
      </c>
      <c r="B2325" s="2" t="n">
        <v>43222.18289351852</v>
      </c>
      <c r="C2325" t="n">
        <v>3</v>
      </c>
      <c r="D2325" t="n">
        <v>2</v>
      </c>
      <c r="E2325" t="s">
        <v>2334</v>
      </c>
      <c r="F2325" t="s"/>
      <c r="G2325" t="s"/>
      <c r="H2325" t="s"/>
      <c r="I2325" t="s"/>
      <c r="J2325" t="n">
        <v>0.4215</v>
      </c>
      <c r="K2325" t="n">
        <v>0</v>
      </c>
      <c r="L2325" t="n">
        <v>0.881</v>
      </c>
      <c r="M2325" t="n">
        <v>0.119</v>
      </c>
    </row>
    <row r="2326" spans="1:13">
      <c r="A2326" s="1">
        <f>HYPERLINK("http://www.twitter.com/NathanBLawrence/status/991532757309308928", "991532757309308928")</f>
        <v/>
      </c>
      <c r="B2326" s="2" t="n">
        <v>43222.18061342592</v>
      </c>
      <c r="C2326" t="n">
        <v>0</v>
      </c>
      <c r="D2326" t="n">
        <v>848</v>
      </c>
      <c r="E2326" t="s">
        <v>2335</v>
      </c>
      <c r="F2326" t="s"/>
      <c r="G2326" t="s"/>
      <c r="H2326" t="s"/>
      <c r="I2326" t="s"/>
      <c r="J2326" t="n">
        <v>-0.6523</v>
      </c>
      <c r="K2326" t="n">
        <v>0.171</v>
      </c>
      <c r="L2326" t="n">
        <v>0.829</v>
      </c>
      <c r="M2326" t="n">
        <v>0</v>
      </c>
    </row>
    <row r="2327" spans="1:13">
      <c r="A2327" s="1">
        <f>HYPERLINK("http://www.twitter.com/NathanBLawrence/status/991532140725649408", "991532140725649408")</f>
        <v/>
      </c>
      <c r="B2327" s="2" t="n">
        <v>43222.17891203704</v>
      </c>
      <c r="C2327" t="n">
        <v>7</v>
      </c>
      <c r="D2327" t="n">
        <v>3</v>
      </c>
      <c r="E2327" t="s">
        <v>2336</v>
      </c>
      <c r="F2327" t="s"/>
      <c r="G2327" t="s"/>
      <c r="H2327" t="s"/>
      <c r="I2327" t="s"/>
      <c r="J2327" t="n">
        <v>0.34</v>
      </c>
      <c r="K2327" t="n">
        <v>0</v>
      </c>
      <c r="L2327" t="n">
        <v>0.906</v>
      </c>
      <c r="M2327" t="n">
        <v>0.094</v>
      </c>
    </row>
    <row r="2328" spans="1:13">
      <c r="A2328" s="1">
        <f>HYPERLINK("http://www.twitter.com/NathanBLawrence/status/991531554546462721", "991531554546462721")</f>
        <v/>
      </c>
      <c r="B2328" s="2" t="n">
        <v>43222.17730324074</v>
      </c>
      <c r="C2328" t="n">
        <v>0</v>
      </c>
      <c r="D2328" t="n">
        <v>721</v>
      </c>
      <c r="E2328" t="s">
        <v>2337</v>
      </c>
      <c r="F2328">
        <f>HYPERLINK("http://pbs.twimg.com/media/DcEaDjhVQAAyxGn.jpg", "http://pbs.twimg.com/media/DcEaDjhVQAAyxGn.jpg")</f>
        <v/>
      </c>
      <c r="G2328" t="s"/>
      <c r="H2328" t="s"/>
      <c r="I2328" t="s"/>
      <c r="J2328" t="n">
        <v>-0.6908</v>
      </c>
      <c r="K2328" t="n">
        <v>0.19</v>
      </c>
      <c r="L2328" t="n">
        <v>0.8100000000000001</v>
      </c>
      <c r="M2328" t="n">
        <v>0</v>
      </c>
    </row>
    <row r="2329" spans="1:13">
      <c r="A2329" s="1">
        <f>HYPERLINK("http://www.twitter.com/NathanBLawrence/status/991531455820939264", "991531455820939264")</f>
        <v/>
      </c>
      <c r="B2329" s="2" t="n">
        <v>43222.17702546297</v>
      </c>
      <c r="C2329" t="n">
        <v>0</v>
      </c>
      <c r="D2329" t="n">
        <v>114</v>
      </c>
      <c r="E2329" t="s">
        <v>2338</v>
      </c>
      <c r="F2329" t="s"/>
      <c r="G2329" t="s"/>
      <c r="H2329" t="s"/>
      <c r="I2329" t="s"/>
      <c r="J2329" t="n">
        <v>-0.8225</v>
      </c>
      <c r="K2329" t="n">
        <v>0.323</v>
      </c>
      <c r="L2329" t="n">
        <v>0.677</v>
      </c>
      <c r="M2329" t="n">
        <v>0</v>
      </c>
    </row>
    <row r="2330" spans="1:13">
      <c r="A2330" s="1">
        <f>HYPERLINK("http://www.twitter.com/NathanBLawrence/status/991531383989268480", "991531383989268480")</f>
        <v/>
      </c>
      <c r="B2330" s="2" t="n">
        <v>43222.1768287037</v>
      </c>
      <c r="C2330" t="n">
        <v>8</v>
      </c>
      <c r="D2330" t="n">
        <v>1</v>
      </c>
      <c r="E2330" t="s">
        <v>2339</v>
      </c>
      <c r="F2330" t="s"/>
      <c r="G2330" t="s"/>
      <c r="H2330" t="s"/>
      <c r="I2330" t="s"/>
      <c r="J2330" t="n">
        <v>-0.4215</v>
      </c>
      <c r="K2330" t="n">
        <v>0.189</v>
      </c>
      <c r="L2330" t="n">
        <v>0.8110000000000001</v>
      </c>
      <c r="M2330" t="n">
        <v>0</v>
      </c>
    </row>
    <row r="2331" spans="1:13">
      <c r="A2331" s="1">
        <f>HYPERLINK("http://www.twitter.com/NathanBLawrence/status/991529841009700864", "991529841009700864")</f>
        <v/>
      </c>
      <c r="B2331" s="2" t="n">
        <v>43222.17256944445</v>
      </c>
      <c r="C2331" t="n">
        <v>0</v>
      </c>
      <c r="D2331" t="n">
        <v>12</v>
      </c>
      <c r="E2331" t="s">
        <v>2340</v>
      </c>
      <c r="F2331" t="s"/>
      <c r="G2331" t="s"/>
      <c r="H2331" t="s"/>
      <c r="I2331" t="s"/>
      <c r="J2331" t="n">
        <v>-0.5994</v>
      </c>
      <c r="K2331" t="n">
        <v>0.176</v>
      </c>
      <c r="L2331" t="n">
        <v>0.824</v>
      </c>
      <c r="M2331" t="n">
        <v>0</v>
      </c>
    </row>
    <row r="2332" spans="1:13">
      <c r="A2332" s="1">
        <f>HYPERLINK("http://www.twitter.com/NathanBLawrence/status/991529593780584448", "991529593780584448")</f>
        <v/>
      </c>
      <c r="B2332" s="2" t="n">
        <v>43222.17188657408</v>
      </c>
      <c r="C2332" t="n">
        <v>0</v>
      </c>
      <c r="D2332" t="n">
        <v>6705</v>
      </c>
      <c r="E2332" t="s">
        <v>2341</v>
      </c>
      <c r="F2332" t="s"/>
      <c r="G2332" t="s"/>
      <c r="H2332" t="s"/>
      <c r="I2332" t="s"/>
      <c r="J2332" t="n">
        <v>0</v>
      </c>
      <c r="K2332" t="n">
        <v>0</v>
      </c>
      <c r="L2332" t="n">
        <v>1</v>
      </c>
      <c r="M2332" t="n">
        <v>0</v>
      </c>
    </row>
    <row r="2333" spans="1:13">
      <c r="A2333" s="1">
        <f>HYPERLINK("http://www.twitter.com/NathanBLawrence/status/991529187251961856", "991529187251961856")</f>
        <v/>
      </c>
      <c r="B2333" s="2" t="n">
        <v>43222.17076388889</v>
      </c>
      <c r="C2333" t="n">
        <v>37</v>
      </c>
      <c r="D2333" t="n">
        <v>30</v>
      </c>
      <c r="E2333" t="s">
        <v>2342</v>
      </c>
      <c r="F2333" t="s"/>
      <c r="G2333" t="s"/>
      <c r="H2333" t="s"/>
      <c r="I2333" t="s"/>
      <c r="J2333" t="n">
        <v>-0.3237</v>
      </c>
      <c r="K2333" t="n">
        <v>0.185</v>
      </c>
      <c r="L2333" t="n">
        <v>0.6899999999999999</v>
      </c>
      <c r="M2333" t="n">
        <v>0.124</v>
      </c>
    </row>
    <row r="2334" spans="1:13">
      <c r="A2334" s="1">
        <f>HYPERLINK("http://www.twitter.com/NathanBLawrence/status/991529005101727744", "991529005101727744")</f>
        <v/>
      </c>
      <c r="B2334" s="2" t="n">
        <v>43222.17026620371</v>
      </c>
      <c r="C2334" t="n">
        <v>0</v>
      </c>
      <c r="D2334" t="n">
        <v>819</v>
      </c>
      <c r="E2334" t="s">
        <v>2343</v>
      </c>
      <c r="F2334" t="s"/>
      <c r="G2334" t="s"/>
      <c r="H2334" t="s"/>
      <c r="I2334" t="s"/>
      <c r="J2334" t="n">
        <v>0</v>
      </c>
      <c r="K2334" t="n">
        <v>0</v>
      </c>
      <c r="L2334" t="n">
        <v>1</v>
      </c>
      <c r="M2334" t="n">
        <v>0</v>
      </c>
    </row>
    <row r="2335" spans="1:13">
      <c r="A2335" s="1">
        <f>HYPERLINK("http://www.twitter.com/NathanBLawrence/status/991526714390921216", "991526714390921216")</f>
        <v/>
      </c>
      <c r="B2335" s="2" t="n">
        <v>43222.16394675926</v>
      </c>
      <c r="C2335" t="n">
        <v>23</v>
      </c>
      <c r="D2335" t="n">
        <v>10</v>
      </c>
      <c r="E2335" t="s">
        <v>2344</v>
      </c>
      <c r="F2335" t="s"/>
      <c r="G2335" t="s"/>
      <c r="H2335" t="s"/>
      <c r="I2335" t="s"/>
      <c r="J2335" t="n">
        <v>-0.9165</v>
      </c>
      <c r="K2335" t="n">
        <v>0.284</v>
      </c>
      <c r="L2335" t="n">
        <v>0.716</v>
      </c>
      <c r="M2335" t="n">
        <v>0</v>
      </c>
    </row>
    <row r="2336" spans="1:13">
      <c r="A2336" s="1">
        <f>HYPERLINK("http://www.twitter.com/NathanBLawrence/status/991518686874820608", "991518686874820608")</f>
        <v/>
      </c>
      <c r="B2336" s="2" t="n">
        <v>43222.14179398148</v>
      </c>
      <c r="C2336" t="n">
        <v>9</v>
      </c>
      <c r="D2336" t="n">
        <v>3</v>
      </c>
      <c r="E2336" t="s">
        <v>2345</v>
      </c>
      <c r="F2336" t="s"/>
      <c r="G2336" t="s"/>
      <c r="H2336" t="s"/>
      <c r="I2336" t="s"/>
      <c r="J2336" t="n">
        <v>0.6997</v>
      </c>
      <c r="K2336" t="n">
        <v>0</v>
      </c>
      <c r="L2336" t="n">
        <v>0.851</v>
      </c>
      <c r="M2336" t="n">
        <v>0.149</v>
      </c>
    </row>
    <row r="2337" spans="1:13">
      <c r="A2337" s="1">
        <f>HYPERLINK("http://www.twitter.com/NathanBLawrence/status/991518221265092608", "991518221265092608")</f>
        <v/>
      </c>
      <c r="B2337" s="2" t="n">
        <v>43222.14050925926</v>
      </c>
      <c r="C2337" t="n">
        <v>3</v>
      </c>
      <c r="D2337" t="n">
        <v>2</v>
      </c>
      <c r="E2337" t="s">
        <v>2346</v>
      </c>
      <c r="F2337" t="s"/>
      <c r="G2337" t="s"/>
      <c r="H2337" t="s"/>
      <c r="I2337" t="s"/>
      <c r="J2337" t="n">
        <v>0.5719</v>
      </c>
      <c r="K2337" t="n">
        <v>0</v>
      </c>
      <c r="L2337" t="n">
        <v>0.619</v>
      </c>
      <c r="M2337" t="n">
        <v>0.381</v>
      </c>
    </row>
    <row r="2338" spans="1:13">
      <c r="A2338" s="1">
        <f>HYPERLINK("http://www.twitter.com/NathanBLawrence/status/991517464323244032", "991517464323244032")</f>
        <v/>
      </c>
      <c r="B2338" s="2" t="n">
        <v>43222.13841435185</v>
      </c>
      <c r="C2338" t="n">
        <v>7</v>
      </c>
      <c r="D2338" t="n">
        <v>4</v>
      </c>
      <c r="E2338" t="s">
        <v>2347</v>
      </c>
      <c r="F2338" t="s"/>
      <c r="G2338" t="s"/>
      <c r="H2338" t="s"/>
      <c r="I2338" t="s"/>
      <c r="J2338" t="n">
        <v>0</v>
      </c>
      <c r="K2338" t="n">
        <v>0</v>
      </c>
      <c r="L2338" t="n">
        <v>1</v>
      </c>
      <c r="M2338" t="n">
        <v>0</v>
      </c>
    </row>
    <row r="2339" spans="1:13">
      <c r="A2339" s="1">
        <f>HYPERLINK("http://www.twitter.com/NathanBLawrence/status/991516664695947265", "991516664695947265")</f>
        <v/>
      </c>
      <c r="B2339" s="2" t="n">
        <v>43222.13621527778</v>
      </c>
      <c r="C2339" t="n">
        <v>31</v>
      </c>
      <c r="D2339" t="n">
        <v>15</v>
      </c>
      <c r="E2339" t="s">
        <v>2348</v>
      </c>
      <c r="F2339" t="s"/>
      <c r="G2339" t="s"/>
      <c r="H2339" t="s"/>
      <c r="I2339" t="s"/>
      <c r="J2339" t="n">
        <v>-0.5849</v>
      </c>
      <c r="K2339" t="n">
        <v>0.112</v>
      </c>
      <c r="L2339" t="n">
        <v>0.888</v>
      </c>
      <c r="M2339" t="n">
        <v>0</v>
      </c>
    </row>
    <row r="2340" spans="1:13">
      <c r="A2340" s="1">
        <f>HYPERLINK("http://www.twitter.com/NathanBLawrence/status/991513397081460736", "991513397081460736")</f>
        <v/>
      </c>
      <c r="B2340" s="2" t="n">
        <v>43222.1271875</v>
      </c>
      <c r="C2340" t="n">
        <v>0</v>
      </c>
      <c r="D2340" t="n">
        <v>3615</v>
      </c>
      <c r="E2340" t="s">
        <v>2349</v>
      </c>
      <c r="F2340">
        <f>HYPERLINK("http://pbs.twimg.com/media/DcH2Hy0V4AAfU7n.jpg", "http://pbs.twimg.com/media/DcH2Hy0V4AAfU7n.jpg")</f>
        <v/>
      </c>
      <c r="G2340" t="s"/>
      <c r="H2340" t="s"/>
      <c r="I2340" t="s"/>
      <c r="J2340" t="n">
        <v>-0.6705</v>
      </c>
      <c r="K2340" t="n">
        <v>0.176</v>
      </c>
      <c r="L2340" t="n">
        <v>0.824</v>
      </c>
      <c r="M2340" t="n">
        <v>0</v>
      </c>
    </row>
    <row r="2341" spans="1:13">
      <c r="A2341" s="1">
        <f>HYPERLINK("http://www.twitter.com/NathanBLawrence/status/991513271894134785", "991513271894134785")</f>
        <v/>
      </c>
      <c r="B2341" s="2" t="n">
        <v>43222.12685185186</v>
      </c>
      <c r="C2341" t="n">
        <v>0</v>
      </c>
      <c r="D2341" t="n">
        <v>2100</v>
      </c>
      <c r="E2341" t="s">
        <v>2350</v>
      </c>
      <c r="F2341" t="s"/>
      <c r="G2341" t="s"/>
      <c r="H2341" t="s"/>
      <c r="I2341" t="s"/>
      <c r="J2341" t="n">
        <v>0</v>
      </c>
      <c r="K2341" t="n">
        <v>0</v>
      </c>
      <c r="L2341" t="n">
        <v>1</v>
      </c>
      <c r="M2341" t="n">
        <v>0</v>
      </c>
    </row>
    <row r="2342" spans="1:13">
      <c r="A2342" s="1">
        <f>HYPERLINK("http://www.twitter.com/NathanBLawrence/status/991513074329767937", "991513074329767937")</f>
        <v/>
      </c>
      <c r="B2342" s="2" t="n">
        <v>43222.12629629629</v>
      </c>
      <c r="C2342" t="n">
        <v>0</v>
      </c>
      <c r="D2342" t="n">
        <v>178</v>
      </c>
      <c r="E2342" t="s">
        <v>2351</v>
      </c>
      <c r="F2342">
        <f>HYPERLINK("http://pbs.twimg.com/media/DcI4uE7WsAAopqP.jpg", "http://pbs.twimg.com/media/DcI4uE7WsAAopqP.jpg")</f>
        <v/>
      </c>
      <c r="G2342" t="s"/>
      <c r="H2342" t="s"/>
      <c r="I2342" t="s"/>
      <c r="J2342" t="n">
        <v>0.0772</v>
      </c>
      <c r="K2342" t="n">
        <v>0</v>
      </c>
      <c r="L2342" t="n">
        <v>0.949</v>
      </c>
      <c r="M2342" t="n">
        <v>0.051</v>
      </c>
    </row>
    <row r="2343" spans="1:13">
      <c r="A2343" s="1">
        <f>HYPERLINK("http://www.twitter.com/NathanBLawrence/status/991513010047860736", "991513010047860736")</f>
        <v/>
      </c>
      <c r="B2343" s="2" t="n">
        <v>43222.12612268519</v>
      </c>
      <c r="C2343" t="n">
        <v>0</v>
      </c>
      <c r="D2343" t="n">
        <v>3381</v>
      </c>
      <c r="E2343" t="s">
        <v>2352</v>
      </c>
      <c r="F2343">
        <f>HYPERLINK("http://pbs.twimg.com/media/DZVfpyaWsAMMLth.jpg", "http://pbs.twimg.com/media/DZVfpyaWsAMMLth.jpg")</f>
        <v/>
      </c>
      <c r="G2343" t="s"/>
      <c r="H2343" t="s"/>
      <c r="I2343" t="s"/>
      <c r="J2343" t="n">
        <v>0.9156</v>
      </c>
      <c r="K2343" t="n">
        <v>0</v>
      </c>
      <c r="L2343" t="n">
        <v>0.5590000000000001</v>
      </c>
      <c r="M2343" t="n">
        <v>0.441</v>
      </c>
    </row>
    <row r="2344" spans="1:13">
      <c r="A2344" s="1">
        <f>HYPERLINK("http://www.twitter.com/NathanBLawrence/status/991512894184439810", "991512894184439810")</f>
        <v/>
      </c>
      <c r="B2344" s="2" t="n">
        <v>43222.12581018519</v>
      </c>
      <c r="C2344" t="n">
        <v>8</v>
      </c>
      <c r="D2344" t="n">
        <v>8</v>
      </c>
      <c r="E2344" t="s">
        <v>2353</v>
      </c>
      <c r="F2344" t="s"/>
      <c r="G2344" t="s"/>
      <c r="H2344" t="s"/>
      <c r="I2344" t="s"/>
      <c r="J2344" t="n">
        <v>0</v>
      </c>
      <c r="K2344" t="n">
        <v>0</v>
      </c>
      <c r="L2344" t="n">
        <v>1</v>
      </c>
      <c r="M2344" t="n">
        <v>0</v>
      </c>
    </row>
    <row r="2345" spans="1:13">
      <c r="A2345" s="1">
        <f>HYPERLINK("http://www.twitter.com/NathanBLawrence/status/991512678832074753", "991512678832074753")</f>
        <v/>
      </c>
      <c r="B2345" s="2" t="n">
        <v>43222.12520833333</v>
      </c>
      <c r="C2345" t="n">
        <v>0</v>
      </c>
      <c r="D2345" t="n">
        <v>41</v>
      </c>
      <c r="E2345" t="s">
        <v>2354</v>
      </c>
      <c r="F2345" t="s"/>
      <c r="G2345" t="s"/>
      <c r="H2345" t="s"/>
      <c r="I2345" t="s"/>
      <c r="J2345" t="n">
        <v>0.5574</v>
      </c>
      <c r="K2345" t="n">
        <v>0</v>
      </c>
      <c r="L2345" t="n">
        <v>0.781</v>
      </c>
      <c r="M2345" t="n">
        <v>0.219</v>
      </c>
    </row>
    <row r="2346" spans="1:13">
      <c r="A2346" s="1">
        <f>HYPERLINK("http://www.twitter.com/NathanBLawrence/status/991512563836903424", "991512563836903424")</f>
        <v/>
      </c>
      <c r="B2346" s="2" t="n">
        <v>43222.12489583333</v>
      </c>
      <c r="C2346" t="n">
        <v>21</v>
      </c>
      <c r="D2346" t="n">
        <v>8</v>
      </c>
      <c r="E2346" t="s">
        <v>2355</v>
      </c>
      <c r="F2346" t="s"/>
      <c r="G2346" t="s"/>
      <c r="H2346" t="s"/>
      <c r="I2346" t="s"/>
      <c r="J2346" t="n">
        <v>0.7603</v>
      </c>
      <c r="K2346" t="n">
        <v>0.067</v>
      </c>
      <c r="L2346" t="n">
        <v>0.668</v>
      </c>
      <c r="M2346" t="n">
        <v>0.265</v>
      </c>
    </row>
    <row r="2347" spans="1:13">
      <c r="A2347" s="1">
        <f>HYPERLINK("http://www.twitter.com/NathanBLawrence/status/991508504555831296", "991508504555831296")</f>
        <v/>
      </c>
      <c r="B2347" s="2" t="n">
        <v>43222.11369212963</v>
      </c>
      <c r="C2347" t="n">
        <v>0</v>
      </c>
      <c r="D2347" t="n">
        <v>15460</v>
      </c>
      <c r="E2347" t="s">
        <v>2356</v>
      </c>
      <c r="F2347">
        <f>HYPERLINK("https://video.twimg.com/ext_tw_video/991401973114163201/pu/vid/1280x720/dXV0XjBY1lWTianC.mp4?tag=3", "https://video.twimg.com/ext_tw_video/991401973114163201/pu/vid/1280x720/dXV0XjBY1lWTianC.mp4?tag=3")</f>
        <v/>
      </c>
      <c r="G2347" t="s"/>
      <c r="H2347" t="s"/>
      <c r="I2347" t="s"/>
      <c r="J2347" t="n">
        <v>0.9468</v>
      </c>
      <c r="K2347" t="n">
        <v>0</v>
      </c>
      <c r="L2347" t="n">
        <v>0.509</v>
      </c>
      <c r="M2347" t="n">
        <v>0.491</v>
      </c>
    </row>
    <row r="2348" spans="1:13">
      <c r="A2348" s="1">
        <f>HYPERLINK("http://www.twitter.com/NathanBLawrence/status/991507629221429250", "991507629221429250")</f>
        <v/>
      </c>
      <c r="B2348" s="2" t="n">
        <v>43222.11127314815</v>
      </c>
      <c r="C2348" t="n">
        <v>0</v>
      </c>
      <c r="D2348" t="n">
        <v>9</v>
      </c>
      <c r="E2348" t="s">
        <v>2357</v>
      </c>
      <c r="F2348" t="s"/>
      <c r="G2348" t="s"/>
      <c r="H2348" t="s"/>
      <c r="I2348" t="s"/>
      <c r="J2348" t="n">
        <v>0</v>
      </c>
      <c r="K2348" t="n">
        <v>0</v>
      </c>
      <c r="L2348" t="n">
        <v>1</v>
      </c>
      <c r="M2348" t="n">
        <v>0</v>
      </c>
    </row>
    <row r="2349" spans="1:13">
      <c r="A2349" s="1">
        <f>HYPERLINK("http://www.twitter.com/NathanBLawrence/status/991507006476308481", "991507006476308481")</f>
        <v/>
      </c>
      <c r="B2349" s="2" t="n">
        <v>43222.10956018518</v>
      </c>
      <c r="C2349" t="n">
        <v>0</v>
      </c>
      <c r="D2349" t="n">
        <v>72</v>
      </c>
      <c r="E2349" t="s">
        <v>2358</v>
      </c>
      <c r="F2349" t="s"/>
      <c r="G2349" t="s"/>
      <c r="H2349" t="s"/>
      <c r="I2349" t="s"/>
      <c r="J2349" t="n">
        <v>0.5859</v>
      </c>
      <c r="K2349" t="n">
        <v>0</v>
      </c>
      <c r="L2349" t="n">
        <v>0.863</v>
      </c>
      <c r="M2349" t="n">
        <v>0.137</v>
      </c>
    </row>
    <row r="2350" spans="1:13">
      <c r="A2350" s="1">
        <f>HYPERLINK("http://www.twitter.com/NathanBLawrence/status/991506732198211589", "991506732198211589")</f>
        <v/>
      </c>
      <c r="B2350" s="2" t="n">
        <v>43222.1087962963</v>
      </c>
      <c r="C2350" t="n">
        <v>4</v>
      </c>
      <c r="D2350" t="n">
        <v>1</v>
      </c>
      <c r="E2350" t="s">
        <v>2359</v>
      </c>
      <c r="F2350" t="s"/>
      <c r="G2350" t="s"/>
      <c r="H2350" t="s"/>
      <c r="I2350" t="s"/>
      <c r="J2350" t="n">
        <v>0.3395</v>
      </c>
      <c r="K2350" t="n">
        <v>0.056</v>
      </c>
      <c r="L2350" t="n">
        <v>0.824</v>
      </c>
      <c r="M2350" t="n">
        <v>0.12</v>
      </c>
    </row>
    <row r="2351" spans="1:13">
      <c r="A2351" s="1">
        <f>HYPERLINK("http://www.twitter.com/NathanBLawrence/status/991506126389657601", "991506126389657601")</f>
        <v/>
      </c>
      <c r="B2351" s="2" t="n">
        <v>43222.10712962963</v>
      </c>
      <c r="C2351" t="n">
        <v>0</v>
      </c>
      <c r="D2351" t="n">
        <v>144</v>
      </c>
      <c r="E2351" t="s">
        <v>2360</v>
      </c>
      <c r="F2351">
        <f>HYPERLINK("https://video.twimg.com/amplify_video/991497036204736513/vid/1280x720/ReNItCqNc-9pDAay.mp4?tag=2", "https://video.twimg.com/amplify_video/991497036204736513/vid/1280x720/ReNItCqNc-9pDAay.mp4?tag=2")</f>
        <v/>
      </c>
      <c r="G2351" t="s"/>
      <c r="H2351" t="s"/>
      <c r="I2351" t="s"/>
      <c r="J2351" t="n">
        <v>-0.4019</v>
      </c>
      <c r="K2351" t="n">
        <v>0.114</v>
      </c>
      <c r="L2351" t="n">
        <v>0.886</v>
      </c>
      <c r="M2351" t="n">
        <v>0</v>
      </c>
    </row>
    <row r="2352" spans="1:13">
      <c r="A2352" s="1">
        <f>HYPERLINK("http://www.twitter.com/NathanBLawrence/status/991506048253968384", "991506048253968384")</f>
        <v/>
      </c>
      <c r="B2352" s="2" t="n">
        <v>43222.10690972222</v>
      </c>
      <c r="C2352" t="n">
        <v>0</v>
      </c>
      <c r="D2352" t="n">
        <v>78</v>
      </c>
      <c r="E2352" t="s">
        <v>2361</v>
      </c>
      <c r="F2352">
        <f>HYPERLINK("http://pbs.twimg.com/media/DcKIbSzV0AAPylK.jpg", "http://pbs.twimg.com/media/DcKIbSzV0AAPylK.jpg")</f>
        <v/>
      </c>
      <c r="G2352" t="s"/>
      <c r="H2352" t="s"/>
      <c r="I2352" t="s"/>
      <c r="J2352" t="n">
        <v>-0.3612</v>
      </c>
      <c r="K2352" t="n">
        <v>0.281</v>
      </c>
      <c r="L2352" t="n">
        <v>0.526</v>
      </c>
      <c r="M2352" t="n">
        <v>0.193</v>
      </c>
    </row>
    <row r="2353" spans="1:13">
      <c r="A2353" s="1">
        <f>HYPERLINK("http://www.twitter.com/NathanBLawrence/status/991505952745537536", "991505952745537536")</f>
        <v/>
      </c>
      <c r="B2353" s="2" t="n">
        <v>43222.10665509259</v>
      </c>
      <c r="C2353" t="n">
        <v>0</v>
      </c>
      <c r="D2353" t="n">
        <v>420</v>
      </c>
      <c r="E2353" t="s">
        <v>2362</v>
      </c>
      <c r="F2353" t="s"/>
      <c r="G2353" t="s"/>
      <c r="H2353" t="s"/>
      <c r="I2353" t="s"/>
      <c r="J2353" t="n">
        <v>0</v>
      </c>
      <c r="K2353" t="n">
        <v>0</v>
      </c>
      <c r="L2353" t="n">
        <v>1</v>
      </c>
      <c r="M2353" t="n">
        <v>0</v>
      </c>
    </row>
    <row r="2354" spans="1:13">
      <c r="A2354" s="1">
        <f>HYPERLINK("http://www.twitter.com/NathanBLawrence/status/991505717067636736", "991505717067636736")</f>
        <v/>
      </c>
      <c r="B2354" s="2" t="n">
        <v>43222.10599537037</v>
      </c>
      <c r="C2354" t="n">
        <v>22</v>
      </c>
      <c r="D2354" t="n">
        <v>12</v>
      </c>
      <c r="E2354" t="s">
        <v>2363</v>
      </c>
      <c r="F2354" t="s"/>
      <c r="G2354" t="s"/>
      <c r="H2354" t="s"/>
      <c r="I2354" t="s"/>
      <c r="J2354" t="n">
        <v>-0.2392</v>
      </c>
      <c r="K2354" t="n">
        <v>0.115</v>
      </c>
      <c r="L2354" t="n">
        <v>0.792</v>
      </c>
      <c r="M2354" t="n">
        <v>0.093</v>
      </c>
    </row>
    <row r="2355" spans="1:13">
      <c r="A2355" s="1">
        <f>HYPERLINK("http://www.twitter.com/NathanBLawrence/status/991505133929295872", "991505133929295872")</f>
        <v/>
      </c>
      <c r="B2355" s="2" t="n">
        <v>43222.10438657407</v>
      </c>
      <c r="C2355" t="n">
        <v>11</v>
      </c>
      <c r="D2355" t="n">
        <v>6</v>
      </c>
      <c r="E2355" t="s">
        <v>2364</v>
      </c>
      <c r="F2355" t="s"/>
      <c r="G2355" t="s"/>
      <c r="H2355" t="s"/>
      <c r="I2355" t="s"/>
      <c r="J2355" t="n">
        <v>-0.4019</v>
      </c>
      <c r="K2355" t="n">
        <v>0.139</v>
      </c>
      <c r="L2355" t="n">
        <v>0.861</v>
      </c>
      <c r="M2355" t="n">
        <v>0</v>
      </c>
    </row>
    <row r="2356" spans="1:13">
      <c r="A2356" s="1">
        <f>HYPERLINK("http://www.twitter.com/NathanBLawrence/status/991502632098217984", "991502632098217984")</f>
        <v/>
      </c>
      <c r="B2356" s="2" t="n">
        <v>43222.09748842593</v>
      </c>
      <c r="C2356" t="n">
        <v>10</v>
      </c>
      <c r="D2356" t="n">
        <v>18</v>
      </c>
      <c r="E2356" t="s">
        <v>2365</v>
      </c>
      <c r="F2356" t="s"/>
      <c r="G2356" t="s"/>
      <c r="H2356" t="s"/>
      <c r="I2356" t="s"/>
      <c r="J2356" t="n">
        <v>-0.6249</v>
      </c>
      <c r="K2356" t="n">
        <v>0.186</v>
      </c>
      <c r="L2356" t="n">
        <v>0.8139999999999999</v>
      </c>
      <c r="M2356" t="n">
        <v>0</v>
      </c>
    </row>
    <row r="2357" spans="1:13">
      <c r="A2357" s="1">
        <f>HYPERLINK("http://www.twitter.com/NathanBLawrence/status/991501794877489152", "991501794877489152")</f>
        <v/>
      </c>
      <c r="B2357" s="2" t="n">
        <v>43222.09517361111</v>
      </c>
      <c r="C2357" t="n">
        <v>2</v>
      </c>
      <c r="D2357" t="n">
        <v>2</v>
      </c>
      <c r="E2357" t="s">
        <v>2366</v>
      </c>
      <c r="F2357" t="s"/>
      <c r="G2357" t="s"/>
      <c r="H2357" t="s"/>
      <c r="I2357" t="s"/>
      <c r="J2357" t="n">
        <v>-0.4939</v>
      </c>
      <c r="K2357" t="n">
        <v>0.211</v>
      </c>
      <c r="L2357" t="n">
        <v>0.789</v>
      </c>
      <c r="M2357" t="n">
        <v>0</v>
      </c>
    </row>
    <row r="2358" spans="1:13">
      <c r="A2358" s="1">
        <f>HYPERLINK("http://www.twitter.com/NathanBLawrence/status/991501288926994432", "991501288926994432")</f>
        <v/>
      </c>
      <c r="B2358" s="2" t="n">
        <v>43222.09378472222</v>
      </c>
      <c r="C2358" t="n">
        <v>16</v>
      </c>
      <c r="D2358" t="n">
        <v>5</v>
      </c>
      <c r="E2358" t="s">
        <v>2367</v>
      </c>
      <c r="F2358" t="s"/>
      <c r="G2358" t="s"/>
      <c r="H2358" t="s"/>
      <c r="I2358" t="s"/>
      <c r="J2358" t="n">
        <v>0.8146</v>
      </c>
      <c r="K2358" t="n">
        <v>0</v>
      </c>
      <c r="L2358" t="n">
        <v>0.786</v>
      </c>
      <c r="M2358" t="n">
        <v>0.214</v>
      </c>
    </row>
    <row r="2359" spans="1:13">
      <c r="A2359" s="1">
        <f>HYPERLINK("http://www.twitter.com/NathanBLawrence/status/991500053943496704", "991500053943496704")</f>
        <v/>
      </c>
      <c r="B2359" s="2" t="n">
        <v>43222.09037037037</v>
      </c>
      <c r="C2359" t="n">
        <v>12</v>
      </c>
      <c r="D2359" t="n">
        <v>16</v>
      </c>
      <c r="E2359" t="s">
        <v>2368</v>
      </c>
      <c r="F2359" t="s"/>
      <c r="G2359" t="s"/>
      <c r="H2359" t="s"/>
      <c r="I2359" t="s"/>
      <c r="J2359" t="n">
        <v>0</v>
      </c>
      <c r="K2359" t="n">
        <v>0</v>
      </c>
      <c r="L2359" t="n">
        <v>1</v>
      </c>
      <c r="M2359" t="n">
        <v>0</v>
      </c>
    </row>
    <row r="2360" spans="1:13">
      <c r="A2360" s="1">
        <f>HYPERLINK("http://www.twitter.com/NathanBLawrence/status/991499466497642496", "991499466497642496")</f>
        <v/>
      </c>
      <c r="B2360" s="2" t="n">
        <v>43222.08875</v>
      </c>
      <c r="C2360" t="n">
        <v>37</v>
      </c>
      <c r="D2360" t="n">
        <v>31</v>
      </c>
      <c r="E2360" t="s">
        <v>2369</v>
      </c>
      <c r="F2360" t="s"/>
      <c r="G2360" t="s"/>
      <c r="H2360" t="s"/>
      <c r="I2360" t="s"/>
      <c r="J2360" t="n">
        <v>0.4003</v>
      </c>
      <c r="K2360" t="n">
        <v>0</v>
      </c>
      <c r="L2360" t="n">
        <v>0.895</v>
      </c>
      <c r="M2360" t="n">
        <v>0.105</v>
      </c>
    </row>
    <row r="2361" spans="1:13">
      <c r="A2361" s="1">
        <f>HYPERLINK("http://www.twitter.com/NathanBLawrence/status/991487818231775232", "991487818231775232")</f>
        <v/>
      </c>
      <c r="B2361" s="2" t="n">
        <v>43222.05660879629</v>
      </c>
      <c r="C2361" t="n">
        <v>23</v>
      </c>
      <c r="D2361" t="n">
        <v>15</v>
      </c>
      <c r="E2361" t="s">
        <v>2370</v>
      </c>
      <c r="F2361" t="s"/>
      <c r="G2361" t="s"/>
      <c r="H2361" t="s"/>
      <c r="I2361" t="s"/>
      <c r="J2361" t="n">
        <v>0.5972</v>
      </c>
      <c r="K2361" t="n">
        <v>0.058</v>
      </c>
      <c r="L2361" t="n">
        <v>0.772</v>
      </c>
      <c r="M2361" t="n">
        <v>0.169</v>
      </c>
    </row>
    <row r="2362" spans="1:13">
      <c r="A2362" s="1">
        <f>HYPERLINK("http://www.twitter.com/NathanBLawrence/status/991486954851061760", "991486954851061760")</f>
        <v/>
      </c>
      <c r="B2362" s="2" t="n">
        <v>43222.05422453704</v>
      </c>
      <c r="C2362" t="n">
        <v>15</v>
      </c>
      <c r="D2362" t="n">
        <v>8</v>
      </c>
      <c r="E2362" t="s">
        <v>2371</v>
      </c>
      <c r="F2362" t="s"/>
      <c r="G2362" t="s"/>
      <c r="H2362" t="s"/>
      <c r="I2362" t="s"/>
      <c r="J2362" t="n">
        <v>0</v>
      </c>
      <c r="K2362" t="n">
        <v>0</v>
      </c>
      <c r="L2362" t="n">
        <v>1</v>
      </c>
      <c r="M2362" t="n">
        <v>0</v>
      </c>
    </row>
    <row r="2363" spans="1:13">
      <c r="A2363" s="1">
        <f>HYPERLINK("http://www.twitter.com/NathanBLawrence/status/991486593801175040", "991486593801175040")</f>
        <v/>
      </c>
      <c r="B2363" s="2" t="n">
        <v>43222.05322916667</v>
      </c>
      <c r="C2363" t="n">
        <v>18</v>
      </c>
      <c r="D2363" t="n">
        <v>10</v>
      </c>
      <c r="E2363" t="s">
        <v>2372</v>
      </c>
      <c r="F2363" t="s"/>
      <c r="G2363" t="s"/>
      <c r="H2363" t="s"/>
      <c r="I2363" t="s"/>
      <c r="J2363" t="n">
        <v>-0.5574</v>
      </c>
      <c r="K2363" t="n">
        <v>0.126</v>
      </c>
      <c r="L2363" t="n">
        <v>0.874</v>
      </c>
      <c r="M2363" t="n">
        <v>0</v>
      </c>
    </row>
    <row r="2364" spans="1:13">
      <c r="A2364" s="1">
        <f>HYPERLINK("http://www.twitter.com/NathanBLawrence/status/991485858099286016", "991485858099286016")</f>
        <v/>
      </c>
      <c r="B2364" s="2" t="n">
        <v>43222.0512037037</v>
      </c>
      <c r="C2364" t="n">
        <v>0</v>
      </c>
      <c r="D2364" t="n">
        <v>4</v>
      </c>
      <c r="E2364" t="s">
        <v>2373</v>
      </c>
      <c r="F2364" t="s"/>
      <c r="G2364" t="s"/>
      <c r="H2364" t="s"/>
      <c r="I2364" t="s"/>
      <c r="J2364" t="n">
        <v>0</v>
      </c>
      <c r="K2364" t="n">
        <v>0</v>
      </c>
      <c r="L2364" t="n">
        <v>1</v>
      </c>
      <c r="M2364" t="n">
        <v>0</v>
      </c>
    </row>
    <row r="2365" spans="1:13">
      <c r="A2365" s="1">
        <f>HYPERLINK("http://www.twitter.com/NathanBLawrence/status/991485772837486592", "991485772837486592")</f>
        <v/>
      </c>
      <c r="B2365" s="2" t="n">
        <v>43222.05096064815</v>
      </c>
      <c r="C2365" t="n">
        <v>1</v>
      </c>
      <c r="D2365" t="n">
        <v>4</v>
      </c>
      <c r="E2365" t="s">
        <v>2374</v>
      </c>
      <c r="F2365" t="s"/>
      <c r="G2365" t="s"/>
      <c r="H2365" t="s"/>
      <c r="I2365" t="s"/>
      <c r="J2365" t="n">
        <v>0.2714</v>
      </c>
      <c r="K2365" t="n">
        <v>0</v>
      </c>
      <c r="L2365" t="n">
        <v>0.323</v>
      </c>
      <c r="M2365" t="n">
        <v>0.677</v>
      </c>
    </row>
    <row r="2366" spans="1:13">
      <c r="A2366" s="1">
        <f>HYPERLINK("http://www.twitter.com/NathanBLawrence/status/991485399263395840", "991485399263395840")</f>
        <v/>
      </c>
      <c r="B2366" s="2" t="n">
        <v>43222.04993055556</v>
      </c>
      <c r="C2366" t="n">
        <v>0</v>
      </c>
      <c r="D2366" t="n">
        <v>1084</v>
      </c>
      <c r="E2366" t="s">
        <v>2375</v>
      </c>
      <c r="F2366">
        <f>HYPERLINK("http://pbs.twimg.com/media/DcI9fQKWsAAxOuf.jpg", "http://pbs.twimg.com/media/DcI9fQKWsAAxOuf.jpg")</f>
        <v/>
      </c>
      <c r="G2366" t="s"/>
      <c r="H2366" t="s"/>
      <c r="I2366" t="s"/>
      <c r="J2366" t="n">
        <v>-0.5266999999999999</v>
      </c>
      <c r="K2366" t="n">
        <v>0.124</v>
      </c>
      <c r="L2366" t="n">
        <v>0.876</v>
      </c>
      <c r="M2366" t="n">
        <v>0</v>
      </c>
    </row>
    <row r="2367" spans="1:13">
      <c r="A2367" s="1">
        <f>HYPERLINK("http://www.twitter.com/NathanBLawrence/status/991484742217297920", "991484742217297920")</f>
        <v/>
      </c>
      <c r="B2367" s="2" t="n">
        <v>43222.048125</v>
      </c>
      <c r="C2367" t="n">
        <v>8</v>
      </c>
      <c r="D2367" t="n">
        <v>7</v>
      </c>
      <c r="E2367" t="s">
        <v>2376</v>
      </c>
      <c r="F2367" t="s"/>
      <c r="G2367" t="s"/>
      <c r="H2367" t="s"/>
      <c r="I2367" t="s"/>
      <c r="J2367" t="n">
        <v>-0.2225</v>
      </c>
      <c r="K2367" t="n">
        <v>0.191</v>
      </c>
      <c r="L2367" t="n">
        <v>0.587</v>
      </c>
      <c r="M2367" t="n">
        <v>0.222</v>
      </c>
    </row>
    <row r="2368" spans="1:13">
      <c r="A2368" s="1">
        <f>HYPERLINK("http://www.twitter.com/NathanBLawrence/status/991484427623587840", "991484427623587840")</f>
        <v/>
      </c>
      <c r="B2368" s="2" t="n">
        <v>43222.04725694445</v>
      </c>
      <c r="C2368" t="n">
        <v>7</v>
      </c>
      <c r="D2368" t="n">
        <v>7</v>
      </c>
      <c r="E2368" t="s">
        <v>2377</v>
      </c>
      <c r="F2368" t="s"/>
      <c r="G2368" t="s"/>
      <c r="H2368" t="s"/>
      <c r="I2368" t="s"/>
      <c r="J2368" t="n">
        <v>-0.6422</v>
      </c>
      <c r="K2368" t="n">
        <v>0.197</v>
      </c>
      <c r="L2368" t="n">
        <v>0.73</v>
      </c>
      <c r="M2368" t="n">
        <v>0.073</v>
      </c>
    </row>
    <row r="2369" spans="1:13">
      <c r="A2369" s="1">
        <f>HYPERLINK("http://www.twitter.com/NathanBLawrence/status/991483979197902849", "991483979197902849")</f>
        <v/>
      </c>
      <c r="B2369" s="2" t="n">
        <v>43222.04601851852</v>
      </c>
      <c r="C2369" t="n">
        <v>3</v>
      </c>
      <c r="D2369" t="n">
        <v>2</v>
      </c>
      <c r="E2369" t="s">
        <v>2378</v>
      </c>
      <c r="F2369" t="s"/>
      <c r="G2369" t="s"/>
      <c r="H2369" t="s"/>
      <c r="I2369" t="s"/>
      <c r="J2369" t="n">
        <v>0.2942</v>
      </c>
      <c r="K2369" t="n">
        <v>0.068</v>
      </c>
      <c r="L2369" t="n">
        <v>0.8120000000000001</v>
      </c>
      <c r="M2369" t="n">
        <v>0.119</v>
      </c>
    </row>
    <row r="2370" spans="1:13">
      <c r="A2370" s="1">
        <f>HYPERLINK("http://www.twitter.com/NathanBLawrence/status/991483730081402881", "991483730081402881")</f>
        <v/>
      </c>
      <c r="B2370" s="2" t="n">
        <v>43222.04532407408</v>
      </c>
      <c r="C2370" t="n">
        <v>6</v>
      </c>
      <c r="D2370" t="n">
        <v>3</v>
      </c>
      <c r="E2370" t="s">
        <v>2379</v>
      </c>
      <c r="F2370" t="s"/>
      <c r="G2370" t="s"/>
      <c r="H2370" t="s"/>
      <c r="I2370" t="s"/>
      <c r="J2370" t="n">
        <v>-0.5696</v>
      </c>
      <c r="K2370" t="n">
        <v>0.178</v>
      </c>
      <c r="L2370" t="n">
        <v>0.822</v>
      </c>
      <c r="M2370" t="n">
        <v>0</v>
      </c>
    </row>
    <row r="2371" spans="1:13">
      <c r="A2371" s="1">
        <f>HYPERLINK("http://www.twitter.com/NathanBLawrence/status/991447173404418049", "991447173404418049")</f>
        <v/>
      </c>
      <c r="B2371" s="2" t="n">
        <v>43221.94444444445</v>
      </c>
      <c r="C2371" t="n">
        <v>8</v>
      </c>
      <c r="D2371" t="n">
        <v>4</v>
      </c>
      <c r="E2371" t="s">
        <v>2380</v>
      </c>
      <c r="F2371" t="s"/>
      <c r="G2371" t="s"/>
      <c r="H2371" t="s"/>
      <c r="I2371" t="s"/>
      <c r="J2371" t="n">
        <v>0</v>
      </c>
      <c r="K2371" t="n">
        <v>0</v>
      </c>
      <c r="L2371" t="n">
        <v>1</v>
      </c>
      <c r="M2371" t="n">
        <v>0</v>
      </c>
    </row>
    <row r="2372" spans="1:13">
      <c r="A2372" s="1">
        <f>HYPERLINK("http://www.twitter.com/NathanBLawrence/status/991446811255558144", "991446811255558144")</f>
        <v/>
      </c>
      <c r="B2372" s="2" t="n">
        <v>43221.94344907408</v>
      </c>
      <c r="C2372" t="n">
        <v>5</v>
      </c>
      <c r="D2372" t="n">
        <v>5</v>
      </c>
      <c r="E2372" t="s">
        <v>2381</v>
      </c>
      <c r="F2372" t="s"/>
      <c r="G2372" t="s"/>
      <c r="H2372" t="s"/>
      <c r="I2372" t="s"/>
      <c r="J2372" t="n">
        <v>0.6249</v>
      </c>
      <c r="K2372" t="n">
        <v>0.152</v>
      </c>
      <c r="L2372" t="n">
        <v>0.507</v>
      </c>
      <c r="M2372" t="n">
        <v>0.341</v>
      </c>
    </row>
    <row r="2373" spans="1:13">
      <c r="A2373" s="1">
        <f>HYPERLINK("http://www.twitter.com/NathanBLawrence/status/991446649464545280", "991446649464545280")</f>
        <v/>
      </c>
      <c r="B2373" s="2" t="n">
        <v>43221.94300925926</v>
      </c>
      <c r="C2373" t="n">
        <v>7</v>
      </c>
      <c r="D2373" t="n">
        <v>1</v>
      </c>
      <c r="E2373" t="s">
        <v>2382</v>
      </c>
      <c r="F2373" t="s"/>
      <c r="G2373" t="s"/>
      <c r="H2373" t="s"/>
      <c r="I2373" t="s"/>
      <c r="J2373" t="n">
        <v>0.25</v>
      </c>
      <c r="K2373" t="n">
        <v>0</v>
      </c>
      <c r="L2373" t="n">
        <v>0.8</v>
      </c>
      <c r="M2373" t="n">
        <v>0.2</v>
      </c>
    </row>
    <row r="2374" spans="1:13">
      <c r="A2374" s="1">
        <f>HYPERLINK("http://www.twitter.com/NathanBLawrence/status/991446490752073728", "991446490752073728")</f>
        <v/>
      </c>
      <c r="B2374" s="2" t="n">
        <v>43221.94256944444</v>
      </c>
      <c r="C2374" t="n">
        <v>4</v>
      </c>
      <c r="D2374" t="n">
        <v>3</v>
      </c>
      <c r="E2374" t="s">
        <v>2383</v>
      </c>
      <c r="F2374" t="s"/>
      <c r="G2374" t="s"/>
      <c r="H2374" t="s"/>
      <c r="I2374" t="s"/>
      <c r="J2374" t="n">
        <v>0.296</v>
      </c>
      <c r="K2374" t="n">
        <v>0.133</v>
      </c>
      <c r="L2374" t="n">
        <v>0.663</v>
      </c>
      <c r="M2374" t="n">
        <v>0.205</v>
      </c>
    </row>
    <row r="2375" spans="1:13">
      <c r="A2375" s="1">
        <f>HYPERLINK("http://www.twitter.com/NathanBLawrence/status/991445258880794624", "991445258880794624")</f>
        <v/>
      </c>
      <c r="B2375" s="2" t="n">
        <v>43221.93916666666</v>
      </c>
      <c r="C2375" t="n">
        <v>8</v>
      </c>
      <c r="D2375" t="n">
        <v>8</v>
      </c>
      <c r="E2375" t="s">
        <v>2384</v>
      </c>
      <c r="F2375" t="s"/>
      <c r="G2375" t="s"/>
      <c r="H2375" t="s"/>
      <c r="I2375" t="s"/>
      <c r="J2375" t="n">
        <v>-0.6597</v>
      </c>
      <c r="K2375" t="n">
        <v>0.293</v>
      </c>
      <c r="L2375" t="n">
        <v>0.707</v>
      </c>
      <c r="M2375" t="n">
        <v>0</v>
      </c>
    </row>
    <row r="2376" spans="1:13">
      <c r="A2376" s="1">
        <f>HYPERLINK("http://www.twitter.com/NathanBLawrence/status/991445037824131073", "991445037824131073")</f>
        <v/>
      </c>
      <c r="B2376" s="2" t="n">
        <v>43221.93855324074</v>
      </c>
      <c r="C2376" t="n">
        <v>6</v>
      </c>
      <c r="D2376" t="n">
        <v>4</v>
      </c>
      <c r="E2376" t="s">
        <v>2385</v>
      </c>
      <c r="F2376" t="s"/>
      <c r="G2376" t="s"/>
      <c r="H2376" t="s"/>
      <c r="I2376" t="s"/>
      <c r="J2376" t="n">
        <v>0</v>
      </c>
      <c r="K2376" t="n">
        <v>0</v>
      </c>
      <c r="L2376" t="n">
        <v>1</v>
      </c>
      <c r="M2376" t="n">
        <v>0</v>
      </c>
    </row>
    <row r="2377" spans="1:13">
      <c r="A2377" s="1">
        <f>HYPERLINK("http://www.twitter.com/NathanBLawrence/status/991444935332085760", "991444935332085760")</f>
        <v/>
      </c>
      <c r="B2377" s="2" t="n">
        <v>43221.93827546296</v>
      </c>
      <c r="C2377" t="n">
        <v>5</v>
      </c>
      <c r="D2377" t="n">
        <v>1</v>
      </c>
      <c r="E2377" t="s">
        <v>2386</v>
      </c>
      <c r="F2377" t="s"/>
      <c r="G2377" t="s"/>
      <c r="H2377" t="s"/>
      <c r="I2377" t="s"/>
      <c r="J2377" t="n">
        <v>-0.5562</v>
      </c>
      <c r="K2377" t="n">
        <v>0.174</v>
      </c>
      <c r="L2377" t="n">
        <v>0.826</v>
      </c>
      <c r="M2377" t="n">
        <v>0</v>
      </c>
    </row>
    <row r="2378" spans="1:13">
      <c r="A2378" s="1">
        <f>HYPERLINK("http://www.twitter.com/NathanBLawrence/status/991444746408153088", "991444746408153088")</f>
        <v/>
      </c>
      <c r="B2378" s="2" t="n">
        <v>43221.93775462963</v>
      </c>
      <c r="C2378" t="n">
        <v>4</v>
      </c>
      <c r="D2378" t="n">
        <v>1</v>
      </c>
      <c r="E2378" t="s">
        <v>2387</v>
      </c>
      <c r="F2378" t="s"/>
      <c r="G2378" t="s"/>
      <c r="H2378" t="s"/>
      <c r="I2378" t="s"/>
      <c r="J2378" t="n">
        <v>0.2023</v>
      </c>
      <c r="K2378" t="n">
        <v>0</v>
      </c>
      <c r="L2378" t="n">
        <v>0.886</v>
      </c>
      <c r="M2378" t="n">
        <v>0.114</v>
      </c>
    </row>
    <row r="2379" spans="1:13">
      <c r="A2379" s="1">
        <f>HYPERLINK("http://www.twitter.com/NathanBLawrence/status/991444620381863936", "991444620381863936")</f>
        <v/>
      </c>
      <c r="B2379" s="2" t="n">
        <v>43221.93740740741</v>
      </c>
      <c r="C2379" t="n">
        <v>19</v>
      </c>
      <c r="D2379" t="n">
        <v>6</v>
      </c>
      <c r="E2379" t="s">
        <v>2388</v>
      </c>
      <c r="F2379" t="s"/>
      <c r="G2379" t="s"/>
      <c r="H2379" t="s"/>
      <c r="I2379" t="s"/>
      <c r="J2379" t="n">
        <v>-0.7262999999999999</v>
      </c>
      <c r="K2379" t="n">
        <v>0.157</v>
      </c>
      <c r="L2379" t="n">
        <v>0.788</v>
      </c>
      <c r="M2379" t="n">
        <v>0.055</v>
      </c>
    </row>
    <row r="2380" spans="1:13">
      <c r="A2380" s="1">
        <f>HYPERLINK("http://www.twitter.com/NathanBLawrence/status/991443739276029952", "991443739276029952")</f>
        <v/>
      </c>
      <c r="B2380" s="2" t="n">
        <v>43221.93497685185</v>
      </c>
      <c r="C2380" t="n">
        <v>11</v>
      </c>
      <c r="D2380" t="n">
        <v>11</v>
      </c>
      <c r="E2380" t="s">
        <v>2389</v>
      </c>
      <c r="F2380" t="s"/>
      <c r="G2380" t="s"/>
      <c r="H2380" t="s"/>
      <c r="I2380" t="s"/>
      <c r="J2380" t="n">
        <v>-0.8481</v>
      </c>
      <c r="K2380" t="n">
        <v>0.353</v>
      </c>
      <c r="L2380" t="n">
        <v>0.647</v>
      </c>
      <c r="M2380" t="n">
        <v>0</v>
      </c>
    </row>
    <row r="2381" spans="1:13">
      <c r="A2381" s="1">
        <f>HYPERLINK("http://www.twitter.com/NathanBLawrence/status/991443370005315585", "991443370005315585")</f>
        <v/>
      </c>
      <c r="B2381" s="2" t="n">
        <v>43221.93395833333</v>
      </c>
      <c r="C2381" t="n">
        <v>3</v>
      </c>
      <c r="D2381" t="n">
        <v>3</v>
      </c>
      <c r="E2381" t="s">
        <v>2390</v>
      </c>
      <c r="F2381" t="s"/>
      <c r="G2381" t="s"/>
      <c r="H2381" t="s"/>
      <c r="I2381" t="s"/>
      <c r="J2381" t="n">
        <v>-0.6597</v>
      </c>
      <c r="K2381" t="n">
        <v>0.306</v>
      </c>
      <c r="L2381" t="n">
        <v>0.694</v>
      </c>
      <c r="M2381" t="n">
        <v>0</v>
      </c>
    </row>
    <row r="2382" spans="1:13">
      <c r="A2382" s="1">
        <f>HYPERLINK("http://www.twitter.com/NathanBLawrence/status/991443159182790656", "991443159182790656")</f>
        <v/>
      </c>
      <c r="B2382" s="2" t="n">
        <v>43221.93336805556</v>
      </c>
      <c r="C2382" t="n">
        <v>2</v>
      </c>
      <c r="D2382" t="n">
        <v>1</v>
      </c>
      <c r="E2382" t="s">
        <v>2391</v>
      </c>
      <c r="F2382" t="s"/>
      <c r="G2382" t="s"/>
      <c r="H2382" t="s"/>
      <c r="I2382" t="s"/>
      <c r="J2382" t="n">
        <v>0.9426</v>
      </c>
      <c r="K2382" t="n">
        <v>0</v>
      </c>
      <c r="L2382" t="n">
        <v>0.501</v>
      </c>
      <c r="M2382" t="n">
        <v>0.499</v>
      </c>
    </row>
    <row r="2383" spans="1:13">
      <c r="A2383" s="1">
        <f>HYPERLINK("http://www.twitter.com/NathanBLawrence/status/991442930702237697", "991442930702237697")</f>
        <v/>
      </c>
      <c r="B2383" s="2" t="n">
        <v>43221.93274305556</v>
      </c>
      <c r="C2383" t="n">
        <v>5</v>
      </c>
      <c r="D2383" t="n">
        <v>4</v>
      </c>
      <c r="E2383" t="s">
        <v>2392</v>
      </c>
      <c r="F2383" t="s"/>
      <c r="G2383" t="s"/>
      <c r="H2383" t="s"/>
      <c r="I2383" t="s"/>
      <c r="J2383" t="n">
        <v>0.8074</v>
      </c>
      <c r="K2383" t="n">
        <v>0</v>
      </c>
      <c r="L2383" t="n">
        <v>0.578</v>
      </c>
      <c r="M2383" t="n">
        <v>0.422</v>
      </c>
    </row>
    <row r="2384" spans="1:13">
      <c r="A2384" s="1">
        <f>HYPERLINK("http://www.twitter.com/NathanBLawrence/status/991442833729929216", "991442833729929216")</f>
        <v/>
      </c>
      <c r="B2384" s="2" t="n">
        <v>43221.93247685185</v>
      </c>
      <c r="C2384" t="n">
        <v>2</v>
      </c>
      <c r="D2384" t="n">
        <v>1</v>
      </c>
      <c r="E2384" t="s">
        <v>2393</v>
      </c>
      <c r="F2384" t="s"/>
      <c r="G2384" t="s"/>
      <c r="H2384" t="s"/>
      <c r="I2384" t="s"/>
      <c r="J2384" t="n">
        <v>-0.4215</v>
      </c>
      <c r="K2384" t="n">
        <v>0.241</v>
      </c>
      <c r="L2384" t="n">
        <v>0.759</v>
      </c>
      <c r="M2384" t="n">
        <v>0</v>
      </c>
    </row>
    <row r="2385" spans="1:13">
      <c r="A2385" s="1">
        <f>HYPERLINK("http://www.twitter.com/NathanBLawrence/status/991442619329798144", "991442619329798144")</f>
        <v/>
      </c>
      <c r="B2385" s="2" t="n">
        <v>43221.93188657407</v>
      </c>
      <c r="C2385" t="n">
        <v>7</v>
      </c>
      <c r="D2385" t="n">
        <v>3</v>
      </c>
      <c r="E2385" t="s">
        <v>2394</v>
      </c>
      <c r="F2385" t="s"/>
      <c r="G2385" t="s"/>
      <c r="H2385" t="s"/>
      <c r="I2385" t="s"/>
      <c r="J2385" t="n">
        <v>-0.5106000000000001</v>
      </c>
      <c r="K2385" t="n">
        <v>0.323</v>
      </c>
      <c r="L2385" t="n">
        <v>0.677</v>
      </c>
      <c r="M2385" t="n">
        <v>0</v>
      </c>
    </row>
    <row r="2386" spans="1:13">
      <c r="A2386" s="1">
        <f>HYPERLINK("http://www.twitter.com/NathanBLawrence/status/991442524890791936", "991442524890791936")</f>
        <v/>
      </c>
      <c r="B2386" s="2" t="n">
        <v>43221.93162037037</v>
      </c>
      <c r="C2386" t="n">
        <v>4</v>
      </c>
      <c r="D2386" t="n">
        <v>8</v>
      </c>
      <c r="E2386" t="s">
        <v>2395</v>
      </c>
      <c r="F2386" t="s"/>
      <c r="G2386" t="s"/>
      <c r="H2386" t="s"/>
      <c r="I2386" t="s"/>
      <c r="J2386" t="n">
        <v>0</v>
      </c>
      <c r="K2386" t="n">
        <v>0</v>
      </c>
      <c r="L2386" t="n">
        <v>1</v>
      </c>
      <c r="M2386" t="n">
        <v>0</v>
      </c>
    </row>
    <row r="2387" spans="1:13">
      <c r="A2387" s="1">
        <f>HYPERLINK("http://www.twitter.com/NathanBLawrence/status/991442440635670528", "991442440635670528")</f>
        <v/>
      </c>
      <c r="B2387" s="2" t="n">
        <v>43221.93138888889</v>
      </c>
      <c r="C2387" t="n">
        <v>4</v>
      </c>
      <c r="D2387" t="n">
        <v>6</v>
      </c>
      <c r="E2387" t="s">
        <v>2396</v>
      </c>
      <c r="F2387" t="s"/>
      <c r="G2387" t="s"/>
      <c r="H2387" t="s"/>
      <c r="I2387" t="s"/>
      <c r="J2387" t="n">
        <v>-0.0772</v>
      </c>
      <c r="K2387" t="n">
        <v>0.181</v>
      </c>
      <c r="L2387" t="n">
        <v>0.667</v>
      </c>
      <c r="M2387" t="n">
        <v>0.152</v>
      </c>
    </row>
    <row r="2388" spans="1:13">
      <c r="A2388" s="1">
        <f>HYPERLINK("http://www.twitter.com/NathanBLawrence/status/991442352987258881", "991442352987258881")</f>
        <v/>
      </c>
      <c r="B2388" s="2" t="n">
        <v>43221.93114583333</v>
      </c>
      <c r="C2388" t="n">
        <v>4</v>
      </c>
      <c r="D2388" t="n">
        <v>3</v>
      </c>
      <c r="E2388" t="s">
        <v>2397</v>
      </c>
      <c r="F2388" t="s"/>
      <c r="G2388" t="s"/>
      <c r="H2388" t="s"/>
      <c r="I2388" t="s"/>
      <c r="J2388" t="n">
        <v>-0.4199</v>
      </c>
      <c r="K2388" t="n">
        <v>0.164</v>
      </c>
      <c r="L2388" t="n">
        <v>0.726</v>
      </c>
      <c r="M2388" t="n">
        <v>0.11</v>
      </c>
    </row>
    <row r="2389" spans="1:13">
      <c r="A2389" s="1">
        <f>HYPERLINK("http://www.twitter.com/NathanBLawrence/status/991442003870105601", "991442003870105601")</f>
        <v/>
      </c>
      <c r="B2389" s="2" t="n">
        <v>43221.93018518519</v>
      </c>
      <c r="C2389" t="n">
        <v>6</v>
      </c>
      <c r="D2389" t="n">
        <v>3</v>
      </c>
      <c r="E2389" t="s">
        <v>2398</v>
      </c>
      <c r="F2389" t="s"/>
      <c r="G2389" t="s"/>
      <c r="H2389" t="s"/>
      <c r="I2389" t="s"/>
      <c r="J2389" t="n">
        <v>0.4588</v>
      </c>
      <c r="K2389" t="n">
        <v>0.165</v>
      </c>
      <c r="L2389" t="n">
        <v>0.536</v>
      </c>
      <c r="M2389" t="n">
        <v>0.299</v>
      </c>
    </row>
    <row r="2390" spans="1:13">
      <c r="A2390" s="1">
        <f>HYPERLINK("http://www.twitter.com/NathanBLawrence/status/991441828443389952", "991441828443389952")</f>
        <v/>
      </c>
      <c r="B2390" s="2" t="n">
        <v>43221.92969907408</v>
      </c>
      <c r="C2390" t="n">
        <v>6</v>
      </c>
      <c r="D2390" t="n">
        <v>1</v>
      </c>
      <c r="E2390" t="s">
        <v>2399</v>
      </c>
      <c r="F2390" t="s"/>
      <c r="G2390" t="s"/>
      <c r="H2390" t="s"/>
      <c r="I2390" t="s"/>
      <c r="J2390" t="n">
        <v>-0.6908</v>
      </c>
      <c r="K2390" t="n">
        <v>0.222</v>
      </c>
      <c r="L2390" t="n">
        <v>0.778</v>
      </c>
      <c r="M2390" t="n">
        <v>0</v>
      </c>
    </row>
    <row r="2391" spans="1:13">
      <c r="A2391" s="1">
        <f>HYPERLINK("http://www.twitter.com/NathanBLawrence/status/991441643340423169", "991441643340423169")</f>
        <v/>
      </c>
      <c r="B2391" s="2" t="n">
        <v>43221.92918981481</v>
      </c>
      <c r="C2391" t="n">
        <v>20</v>
      </c>
      <c r="D2391" t="n">
        <v>8</v>
      </c>
      <c r="E2391" t="s">
        <v>2400</v>
      </c>
      <c r="F2391" t="s"/>
      <c r="G2391" t="s"/>
      <c r="H2391" t="s"/>
      <c r="I2391" t="s"/>
      <c r="J2391" t="n">
        <v>0</v>
      </c>
      <c r="K2391" t="n">
        <v>0</v>
      </c>
      <c r="L2391" t="n">
        <v>1</v>
      </c>
      <c r="M2391" t="n">
        <v>0</v>
      </c>
    </row>
    <row r="2392" spans="1:13">
      <c r="A2392" s="1">
        <f>HYPERLINK("http://www.twitter.com/NathanBLawrence/status/991441481230573568", "991441481230573568")</f>
        <v/>
      </c>
      <c r="B2392" s="2" t="n">
        <v>43221.92873842592</v>
      </c>
      <c r="C2392" t="n">
        <v>7</v>
      </c>
      <c r="D2392" t="n">
        <v>4</v>
      </c>
      <c r="E2392" t="s">
        <v>2401</v>
      </c>
      <c r="F2392" t="s"/>
      <c r="G2392" t="s"/>
      <c r="H2392" t="s"/>
      <c r="I2392" t="s"/>
      <c r="J2392" t="n">
        <v>-0.7551</v>
      </c>
      <c r="K2392" t="n">
        <v>0.284</v>
      </c>
      <c r="L2392" t="n">
        <v>0.637</v>
      </c>
      <c r="M2392" t="n">
        <v>0.078</v>
      </c>
    </row>
    <row r="2393" spans="1:13">
      <c r="A2393" s="1">
        <f>HYPERLINK("http://www.twitter.com/NathanBLawrence/status/991441324581601280", "991441324581601280")</f>
        <v/>
      </c>
      <c r="B2393" s="2" t="n">
        <v>43221.92831018518</v>
      </c>
      <c r="C2393" t="n">
        <v>8</v>
      </c>
      <c r="D2393" t="n">
        <v>3</v>
      </c>
      <c r="E2393" t="s">
        <v>2402</v>
      </c>
      <c r="F2393" t="s"/>
      <c r="G2393" t="s"/>
      <c r="H2393" t="s"/>
      <c r="I2393" t="s"/>
      <c r="J2393" t="n">
        <v>0</v>
      </c>
      <c r="K2393" t="n">
        <v>0</v>
      </c>
      <c r="L2393" t="n">
        <v>1</v>
      </c>
      <c r="M2393" t="n">
        <v>0</v>
      </c>
    </row>
    <row r="2394" spans="1:13">
      <c r="A2394" s="1">
        <f>HYPERLINK("http://www.twitter.com/NathanBLawrence/status/991441251542040576", "991441251542040576")</f>
        <v/>
      </c>
      <c r="B2394" s="2" t="n">
        <v>43221.92811342593</v>
      </c>
      <c r="C2394" t="n">
        <v>1</v>
      </c>
      <c r="D2394" t="n">
        <v>4</v>
      </c>
      <c r="E2394" t="s">
        <v>2403</v>
      </c>
      <c r="F2394" t="s"/>
      <c r="G2394" t="s"/>
      <c r="H2394" t="s"/>
      <c r="I2394" t="s"/>
      <c r="J2394" t="n">
        <v>-0.5574</v>
      </c>
      <c r="K2394" t="n">
        <v>0.231</v>
      </c>
      <c r="L2394" t="n">
        <v>0.769</v>
      </c>
      <c r="M2394" t="n">
        <v>0</v>
      </c>
    </row>
    <row r="2395" spans="1:13">
      <c r="A2395" s="1">
        <f>HYPERLINK("http://www.twitter.com/NathanBLawrence/status/991440951900958720", "991440951900958720")</f>
        <v/>
      </c>
      <c r="B2395" s="2" t="n">
        <v>43221.92728009259</v>
      </c>
      <c r="C2395" t="n">
        <v>5</v>
      </c>
      <c r="D2395" t="n">
        <v>4</v>
      </c>
      <c r="E2395" t="s">
        <v>2404</v>
      </c>
      <c r="F2395" t="s"/>
      <c r="G2395" t="s"/>
      <c r="H2395" t="s"/>
      <c r="I2395" t="s"/>
      <c r="J2395" t="n">
        <v>-0.6531</v>
      </c>
      <c r="K2395" t="n">
        <v>0.211</v>
      </c>
      <c r="L2395" t="n">
        <v>0.789</v>
      </c>
      <c r="M2395" t="n">
        <v>0</v>
      </c>
    </row>
    <row r="2396" spans="1:13">
      <c r="A2396" s="1">
        <f>HYPERLINK("http://www.twitter.com/NathanBLawrence/status/991440689719197696", "991440689719197696")</f>
        <v/>
      </c>
      <c r="B2396" s="2" t="n">
        <v>43221.9265625</v>
      </c>
      <c r="C2396" t="n">
        <v>1</v>
      </c>
      <c r="D2396" t="n">
        <v>3</v>
      </c>
      <c r="E2396" t="s">
        <v>2405</v>
      </c>
      <c r="F2396" t="s"/>
      <c r="G2396" t="s"/>
      <c r="H2396" t="s"/>
      <c r="I2396" t="s"/>
      <c r="J2396" t="n">
        <v>-0.7345</v>
      </c>
      <c r="K2396" t="n">
        <v>0.236</v>
      </c>
      <c r="L2396" t="n">
        <v>0.764</v>
      </c>
      <c r="M2396" t="n">
        <v>0</v>
      </c>
    </row>
    <row r="2397" spans="1:13">
      <c r="A2397" s="1">
        <f>HYPERLINK("http://www.twitter.com/NathanBLawrence/status/991440380561272832", "991440380561272832")</f>
        <v/>
      </c>
      <c r="B2397" s="2" t="n">
        <v>43221.92570601852</v>
      </c>
      <c r="C2397" t="n">
        <v>3</v>
      </c>
      <c r="D2397" t="n">
        <v>2</v>
      </c>
      <c r="E2397" t="s">
        <v>2406</v>
      </c>
      <c r="F2397" t="s"/>
      <c r="G2397" t="s"/>
      <c r="H2397" t="s"/>
      <c r="I2397" t="s"/>
      <c r="J2397" t="n">
        <v>-0.5696</v>
      </c>
      <c r="K2397" t="n">
        <v>0.286</v>
      </c>
      <c r="L2397" t="n">
        <v>0.585</v>
      </c>
      <c r="M2397" t="n">
        <v>0.129</v>
      </c>
    </row>
    <row r="2398" spans="1:13">
      <c r="A2398" s="1">
        <f>HYPERLINK("http://www.twitter.com/NathanBLawrence/status/991440246309990400", "991440246309990400")</f>
        <v/>
      </c>
      <c r="B2398" s="2" t="n">
        <v>43221.92533564815</v>
      </c>
      <c r="C2398" t="n">
        <v>0</v>
      </c>
      <c r="D2398" t="n">
        <v>41</v>
      </c>
      <c r="E2398" t="s">
        <v>2407</v>
      </c>
      <c r="F2398" t="s"/>
      <c r="G2398" t="s"/>
      <c r="H2398" t="s"/>
      <c r="I2398" t="s"/>
      <c r="J2398" t="n">
        <v>0</v>
      </c>
      <c r="K2398" t="n">
        <v>0</v>
      </c>
      <c r="L2398" t="n">
        <v>1</v>
      </c>
      <c r="M2398" t="n">
        <v>0</v>
      </c>
    </row>
    <row r="2399" spans="1:13">
      <c r="A2399" s="1">
        <f>HYPERLINK("http://www.twitter.com/NathanBLawrence/status/991440074209353728", "991440074209353728")</f>
        <v/>
      </c>
      <c r="B2399" s="2" t="n">
        <v>43221.92486111111</v>
      </c>
      <c r="C2399" t="n">
        <v>4</v>
      </c>
      <c r="D2399" t="n">
        <v>1</v>
      </c>
      <c r="E2399" t="s">
        <v>2408</v>
      </c>
      <c r="F2399" t="s"/>
      <c r="G2399" t="s"/>
      <c r="H2399" t="s"/>
      <c r="I2399" t="s"/>
      <c r="J2399" t="n">
        <v>-0.1531</v>
      </c>
      <c r="K2399" t="n">
        <v>0.11</v>
      </c>
      <c r="L2399" t="n">
        <v>0.89</v>
      </c>
      <c r="M2399" t="n">
        <v>0</v>
      </c>
    </row>
    <row r="2400" spans="1:13">
      <c r="A2400" s="1">
        <f>HYPERLINK("http://www.twitter.com/NathanBLawrence/status/991439916490878976", "991439916490878976")</f>
        <v/>
      </c>
      <c r="B2400" s="2" t="n">
        <v>43221.92442129629</v>
      </c>
      <c r="C2400" t="n">
        <v>5</v>
      </c>
      <c r="D2400" t="n">
        <v>5</v>
      </c>
      <c r="E2400" t="s">
        <v>2409</v>
      </c>
      <c r="F2400" t="s"/>
      <c r="G2400" t="s"/>
      <c r="H2400" t="s"/>
      <c r="I2400" t="s"/>
      <c r="J2400" t="n">
        <v>-0.5848</v>
      </c>
      <c r="K2400" t="n">
        <v>0.241</v>
      </c>
      <c r="L2400" t="n">
        <v>0.594</v>
      </c>
      <c r="M2400" t="n">
        <v>0.165</v>
      </c>
    </row>
    <row r="2401" spans="1:13">
      <c r="A2401" s="1">
        <f>HYPERLINK("http://www.twitter.com/NathanBLawrence/status/991439622554071040", "991439622554071040")</f>
        <v/>
      </c>
      <c r="B2401" s="2" t="n">
        <v>43221.92361111111</v>
      </c>
      <c r="C2401" t="n">
        <v>0</v>
      </c>
      <c r="D2401" t="n">
        <v>3044</v>
      </c>
      <c r="E2401" t="s">
        <v>2410</v>
      </c>
      <c r="F2401" t="s"/>
      <c r="G2401" t="s"/>
      <c r="H2401" t="s"/>
      <c r="I2401" t="s"/>
      <c r="J2401" t="n">
        <v>0.25</v>
      </c>
      <c r="K2401" t="n">
        <v>0.098</v>
      </c>
      <c r="L2401" t="n">
        <v>0.759</v>
      </c>
      <c r="M2401" t="n">
        <v>0.143</v>
      </c>
    </row>
    <row r="2402" spans="1:13">
      <c r="A2402" s="1">
        <f>HYPERLINK("http://www.twitter.com/NathanBLawrence/status/991439559815610368", "991439559815610368")</f>
        <v/>
      </c>
      <c r="B2402" s="2" t="n">
        <v>43221.9234375</v>
      </c>
      <c r="C2402" t="n">
        <v>0</v>
      </c>
      <c r="D2402" t="n">
        <v>2</v>
      </c>
      <c r="E2402" t="s">
        <v>2411</v>
      </c>
      <c r="F2402">
        <f>HYPERLINK("http://pbs.twimg.com/media/DcJMM0SWsAAPmKb.jpg", "http://pbs.twimg.com/media/DcJMM0SWsAAPmKb.jpg")</f>
        <v/>
      </c>
      <c r="G2402" t="s"/>
      <c r="H2402" t="s"/>
      <c r="I2402" t="s"/>
      <c r="J2402" t="n">
        <v>-0.4215</v>
      </c>
      <c r="K2402" t="n">
        <v>0.157</v>
      </c>
      <c r="L2402" t="n">
        <v>0.843</v>
      </c>
      <c r="M2402" t="n">
        <v>0</v>
      </c>
    </row>
    <row r="2403" spans="1:13">
      <c r="A2403" s="1">
        <f>HYPERLINK("http://www.twitter.com/NathanBLawrence/status/991439494451638272", "991439494451638272")</f>
        <v/>
      </c>
      <c r="B2403" s="2" t="n">
        <v>43221.92326388889</v>
      </c>
      <c r="C2403" t="n">
        <v>0</v>
      </c>
      <c r="D2403" t="n">
        <v>827</v>
      </c>
      <c r="E2403" t="s">
        <v>2412</v>
      </c>
      <c r="F2403" t="s"/>
      <c r="G2403" t="s"/>
      <c r="H2403" t="s"/>
      <c r="I2403" t="s"/>
      <c r="J2403" t="n">
        <v>-0.2714</v>
      </c>
      <c r="K2403" t="n">
        <v>0.172</v>
      </c>
      <c r="L2403" t="n">
        <v>0.705</v>
      </c>
      <c r="M2403" t="n">
        <v>0.123</v>
      </c>
    </row>
    <row r="2404" spans="1:13">
      <c r="A2404" s="1">
        <f>HYPERLINK("http://www.twitter.com/NathanBLawrence/status/991439430689804288", "991439430689804288")</f>
        <v/>
      </c>
      <c r="B2404" s="2" t="n">
        <v>43221.9230787037</v>
      </c>
      <c r="C2404" t="n">
        <v>0</v>
      </c>
      <c r="D2404" t="n">
        <v>1194</v>
      </c>
      <c r="E2404" t="s">
        <v>2413</v>
      </c>
      <c r="F2404" t="s"/>
      <c r="G2404" t="s"/>
      <c r="H2404" t="s"/>
      <c r="I2404" t="s"/>
      <c r="J2404" t="n">
        <v>0.4939</v>
      </c>
      <c r="K2404" t="n">
        <v>0</v>
      </c>
      <c r="L2404" t="n">
        <v>0.862</v>
      </c>
      <c r="M2404" t="n">
        <v>0.138</v>
      </c>
    </row>
    <row r="2405" spans="1:13">
      <c r="A2405" s="1">
        <f>HYPERLINK("http://www.twitter.com/NathanBLawrence/status/991439373630521345", "991439373630521345")</f>
        <v/>
      </c>
      <c r="B2405" s="2" t="n">
        <v>43221.92292824074</v>
      </c>
      <c r="C2405" t="n">
        <v>0</v>
      </c>
      <c r="D2405" t="n">
        <v>888</v>
      </c>
      <c r="E2405" t="s">
        <v>2414</v>
      </c>
      <c r="F2405">
        <f>HYPERLINK("http://pbs.twimg.com/media/DcIpTgxWkAMyrNt.jpg", "http://pbs.twimg.com/media/DcIpTgxWkAMyrNt.jpg")</f>
        <v/>
      </c>
      <c r="G2405" t="s"/>
      <c r="H2405" t="s"/>
      <c r="I2405" t="s"/>
      <c r="J2405" t="n">
        <v>0.1779</v>
      </c>
      <c r="K2405" t="n">
        <v>0.095</v>
      </c>
      <c r="L2405" t="n">
        <v>0.779</v>
      </c>
      <c r="M2405" t="n">
        <v>0.126</v>
      </c>
    </row>
    <row r="2406" spans="1:13">
      <c r="A2406" s="1">
        <f>HYPERLINK("http://www.twitter.com/NathanBLawrence/status/991439279610974208", "991439279610974208")</f>
        <v/>
      </c>
      <c r="B2406" s="2" t="n">
        <v>43221.92266203704</v>
      </c>
      <c r="C2406" t="n">
        <v>0</v>
      </c>
      <c r="D2406" t="n">
        <v>8555</v>
      </c>
      <c r="E2406" t="s">
        <v>2415</v>
      </c>
      <c r="F2406" t="s"/>
      <c r="G2406" t="s"/>
      <c r="H2406" t="s"/>
      <c r="I2406" t="s"/>
      <c r="J2406" t="n">
        <v>-0.34</v>
      </c>
      <c r="K2406" t="n">
        <v>0.08799999999999999</v>
      </c>
      <c r="L2406" t="n">
        <v>0.912</v>
      </c>
      <c r="M2406" t="n">
        <v>0</v>
      </c>
    </row>
    <row r="2407" spans="1:13">
      <c r="A2407" s="1">
        <f>HYPERLINK("http://www.twitter.com/NathanBLawrence/status/991439198186979330", "991439198186979330")</f>
        <v/>
      </c>
      <c r="B2407" s="2" t="n">
        <v>43221.92244212963</v>
      </c>
      <c r="C2407" t="n">
        <v>0</v>
      </c>
      <c r="D2407" t="n">
        <v>6655</v>
      </c>
      <c r="E2407" t="s">
        <v>2416</v>
      </c>
      <c r="F2407" t="s"/>
      <c r="G2407" t="s"/>
      <c r="H2407" t="s"/>
      <c r="I2407" t="s"/>
      <c r="J2407" t="n">
        <v>-0.296</v>
      </c>
      <c r="K2407" t="n">
        <v>0.099</v>
      </c>
      <c r="L2407" t="n">
        <v>0.901</v>
      </c>
      <c r="M2407" t="n">
        <v>0</v>
      </c>
    </row>
    <row r="2408" spans="1:13">
      <c r="A2408" s="1">
        <f>HYPERLINK("http://www.twitter.com/NathanBLawrence/status/991439150409641984", "991439150409641984")</f>
        <v/>
      </c>
      <c r="B2408" s="2" t="n">
        <v>43221.92231481482</v>
      </c>
      <c r="C2408" t="n">
        <v>0</v>
      </c>
      <c r="D2408" t="n">
        <v>8575</v>
      </c>
      <c r="E2408" t="s">
        <v>2417</v>
      </c>
      <c r="F2408" t="s"/>
      <c r="G2408" t="s"/>
      <c r="H2408" t="s"/>
      <c r="I2408" t="s"/>
      <c r="J2408" t="n">
        <v>0</v>
      </c>
      <c r="K2408" t="n">
        <v>0</v>
      </c>
      <c r="L2408" t="n">
        <v>1</v>
      </c>
      <c r="M2408" t="n">
        <v>0</v>
      </c>
    </row>
    <row r="2409" spans="1:13">
      <c r="A2409" s="1">
        <f>HYPERLINK("http://www.twitter.com/NathanBLawrence/status/991439095019720704", "991439095019720704")</f>
        <v/>
      </c>
      <c r="B2409" s="2" t="n">
        <v>43221.92215277778</v>
      </c>
      <c r="C2409" t="n">
        <v>0</v>
      </c>
      <c r="D2409" t="n">
        <v>10281</v>
      </c>
      <c r="E2409" t="s">
        <v>2418</v>
      </c>
      <c r="F2409" t="s"/>
      <c r="G2409" t="s"/>
      <c r="H2409" t="s"/>
      <c r="I2409" t="s"/>
      <c r="J2409" t="n">
        <v>-0.4767</v>
      </c>
      <c r="K2409" t="n">
        <v>0.177</v>
      </c>
      <c r="L2409" t="n">
        <v>0.823</v>
      </c>
      <c r="M2409" t="n">
        <v>0</v>
      </c>
    </row>
    <row r="2410" spans="1:13">
      <c r="A2410" s="1">
        <f>HYPERLINK("http://www.twitter.com/NathanBLawrence/status/991437440970706945", "991437440970706945")</f>
        <v/>
      </c>
      <c r="B2410" s="2" t="n">
        <v>43221.9175925926</v>
      </c>
      <c r="C2410" t="n">
        <v>4</v>
      </c>
      <c r="D2410" t="n">
        <v>4</v>
      </c>
      <c r="E2410" t="s">
        <v>2419</v>
      </c>
      <c r="F2410" t="s"/>
      <c r="G2410" t="s"/>
      <c r="H2410" t="s"/>
      <c r="I2410" t="s"/>
      <c r="J2410" t="n">
        <v>0.2023</v>
      </c>
      <c r="K2410" t="n">
        <v>0</v>
      </c>
      <c r="L2410" t="n">
        <v>0.87</v>
      </c>
      <c r="M2410" t="n">
        <v>0.13</v>
      </c>
    </row>
    <row r="2411" spans="1:13">
      <c r="A2411" s="1">
        <f>HYPERLINK("http://www.twitter.com/NathanBLawrence/status/991435481333157889", "991435481333157889")</f>
        <v/>
      </c>
      <c r="B2411" s="2" t="n">
        <v>43221.9121875</v>
      </c>
      <c r="C2411" t="n">
        <v>9</v>
      </c>
      <c r="D2411" t="n">
        <v>9</v>
      </c>
      <c r="E2411" t="s">
        <v>2420</v>
      </c>
      <c r="F2411" t="s"/>
      <c r="G2411" t="s"/>
      <c r="H2411" t="s"/>
      <c r="I2411" t="s"/>
      <c r="J2411" t="n">
        <v>0.34</v>
      </c>
      <c r="K2411" t="n">
        <v>0.1</v>
      </c>
      <c r="L2411" t="n">
        <v>0.772</v>
      </c>
      <c r="M2411" t="n">
        <v>0.128</v>
      </c>
    </row>
    <row r="2412" spans="1:13">
      <c r="A2412" s="1">
        <f>HYPERLINK("http://www.twitter.com/NathanBLawrence/status/991435046811664384", "991435046811664384")</f>
        <v/>
      </c>
      <c r="B2412" s="2" t="n">
        <v>43221.9109837963</v>
      </c>
      <c r="C2412" t="n">
        <v>0</v>
      </c>
      <c r="D2412" t="n">
        <v>746</v>
      </c>
      <c r="E2412" t="s">
        <v>2421</v>
      </c>
      <c r="F2412">
        <f>HYPERLINK("https://video.twimg.com/amplify_video/990921036941156352/vid/1280x720/F5PJ8fjuzNMTife7.mp4?tag=2", "https://video.twimg.com/amplify_video/990921036941156352/vid/1280x720/F5PJ8fjuzNMTife7.mp4?tag=2")</f>
        <v/>
      </c>
      <c r="G2412" t="s"/>
      <c r="H2412" t="s"/>
      <c r="I2412" t="s"/>
      <c r="J2412" t="n">
        <v>-0.6597</v>
      </c>
      <c r="K2412" t="n">
        <v>0.231</v>
      </c>
      <c r="L2412" t="n">
        <v>0.769</v>
      </c>
      <c r="M2412" t="n">
        <v>0</v>
      </c>
    </row>
    <row r="2413" spans="1:13">
      <c r="A2413" s="1">
        <f>HYPERLINK("http://www.twitter.com/NathanBLawrence/status/991434980008968193", "991434980008968193")</f>
        <v/>
      </c>
      <c r="B2413" s="2" t="n">
        <v>43221.91079861111</v>
      </c>
      <c r="C2413" t="n">
        <v>0</v>
      </c>
      <c r="D2413" t="n">
        <v>8</v>
      </c>
      <c r="E2413" t="s">
        <v>2422</v>
      </c>
      <c r="F2413">
        <f>HYPERLINK("http://pbs.twimg.com/media/DcJHXZcW0AYGGH4.jpg", "http://pbs.twimg.com/media/DcJHXZcW0AYGGH4.jpg")</f>
        <v/>
      </c>
      <c r="G2413" t="s"/>
      <c r="H2413" t="s"/>
      <c r="I2413" t="s"/>
      <c r="J2413" t="n">
        <v>0</v>
      </c>
      <c r="K2413" t="n">
        <v>0</v>
      </c>
      <c r="L2413" t="n">
        <v>1</v>
      </c>
      <c r="M2413" t="n">
        <v>0</v>
      </c>
    </row>
    <row r="2414" spans="1:13">
      <c r="A2414" s="1">
        <f>HYPERLINK("http://www.twitter.com/NathanBLawrence/status/991434914917638144", "991434914917638144")</f>
        <v/>
      </c>
      <c r="B2414" s="2" t="n">
        <v>43221.910625</v>
      </c>
      <c r="C2414" t="n">
        <v>0</v>
      </c>
      <c r="D2414" t="n">
        <v>28</v>
      </c>
      <c r="E2414" t="s">
        <v>2423</v>
      </c>
      <c r="F2414" t="s"/>
      <c r="G2414" t="s"/>
      <c r="H2414" t="s"/>
      <c r="I2414" t="s"/>
      <c r="J2414" t="n">
        <v>0</v>
      </c>
      <c r="K2414" t="n">
        <v>0</v>
      </c>
      <c r="L2414" t="n">
        <v>1</v>
      </c>
      <c r="M2414" t="n">
        <v>0</v>
      </c>
    </row>
    <row r="2415" spans="1:13">
      <c r="A2415" s="1">
        <f>HYPERLINK("http://www.twitter.com/NathanBLawrence/status/991434797493862400", "991434797493862400")</f>
        <v/>
      </c>
      <c r="B2415" s="2" t="n">
        <v>43221.91030092593</v>
      </c>
      <c r="C2415" t="n">
        <v>3</v>
      </c>
      <c r="D2415" t="n">
        <v>1</v>
      </c>
      <c r="E2415" t="s">
        <v>2424</v>
      </c>
      <c r="F2415" t="s"/>
      <c r="G2415" t="s"/>
      <c r="H2415" t="s"/>
      <c r="I2415" t="s"/>
      <c r="J2415" t="n">
        <v>0.4003</v>
      </c>
      <c r="K2415" t="n">
        <v>0.104</v>
      </c>
      <c r="L2415" t="n">
        <v>0.694</v>
      </c>
      <c r="M2415" t="n">
        <v>0.202</v>
      </c>
    </row>
    <row r="2416" spans="1:13">
      <c r="A2416" s="1">
        <f>HYPERLINK("http://www.twitter.com/NathanBLawrence/status/991434263655469056", "991434263655469056")</f>
        <v/>
      </c>
      <c r="B2416" s="2" t="n">
        <v>43221.90883101852</v>
      </c>
      <c r="C2416" t="n">
        <v>0</v>
      </c>
      <c r="D2416" t="n">
        <v>2779</v>
      </c>
      <c r="E2416" t="s">
        <v>2425</v>
      </c>
      <c r="F2416" t="s"/>
      <c r="G2416" t="s"/>
      <c r="H2416" t="s"/>
      <c r="I2416" t="s"/>
      <c r="J2416" t="n">
        <v>0.4019</v>
      </c>
      <c r="K2416" t="n">
        <v>0</v>
      </c>
      <c r="L2416" t="n">
        <v>0.886</v>
      </c>
      <c r="M2416" t="n">
        <v>0.114</v>
      </c>
    </row>
    <row r="2417" spans="1:13">
      <c r="A2417" s="1">
        <f>HYPERLINK("http://www.twitter.com/NathanBLawrence/status/991434142800756737", "991434142800756737")</f>
        <v/>
      </c>
      <c r="B2417" s="2" t="n">
        <v>43221.90849537037</v>
      </c>
      <c r="C2417" t="n">
        <v>0</v>
      </c>
      <c r="D2417" t="n">
        <v>27</v>
      </c>
      <c r="E2417" t="s">
        <v>2426</v>
      </c>
      <c r="F2417">
        <f>HYPERLINK("http://pbs.twimg.com/media/DcJHlLeW0AAGeau.jpg", "http://pbs.twimg.com/media/DcJHlLeW0AAGeau.jpg")</f>
        <v/>
      </c>
      <c r="G2417" t="s"/>
      <c r="H2417" t="s"/>
      <c r="I2417" t="s"/>
      <c r="J2417" t="n">
        <v>0</v>
      </c>
      <c r="K2417" t="n">
        <v>0</v>
      </c>
      <c r="L2417" t="n">
        <v>1</v>
      </c>
      <c r="M2417" t="n">
        <v>0</v>
      </c>
    </row>
    <row r="2418" spans="1:13">
      <c r="A2418" s="1">
        <f>HYPERLINK("http://www.twitter.com/NathanBLawrence/status/991433904845291521", "991433904845291521")</f>
        <v/>
      </c>
      <c r="B2418" s="2" t="n">
        <v>43221.90783564815</v>
      </c>
      <c r="C2418" t="n">
        <v>0</v>
      </c>
      <c r="D2418" t="n">
        <v>590</v>
      </c>
      <c r="E2418" t="s">
        <v>2427</v>
      </c>
      <c r="F2418">
        <f>HYPERLINK("https://video.twimg.com/ext_tw_video/991291616420917248/pu/vid/1280x720/_OTyyfj1mMbZQP1Y.mp4?tag=3", "https://video.twimg.com/ext_tw_video/991291616420917248/pu/vid/1280x720/_OTyyfj1mMbZQP1Y.mp4?tag=3")</f>
        <v/>
      </c>
      <c r="G2418" t="s"/>
      <c r="H2418" t="s"/>
      <c r="I2418" t="s"/>
      <c r="J2418" t="n">
        <v>0.0516</v>
      </c>
      <c r="K2418" t="n">
        <v>0.08599999999999999</v>
      </c>
      <c r="L2418" t="n">
        <v>0.82</v>
      </c>
      <c r="M2418" t="n">
        <v>0.094</v>
      </c>
    </row>
    <row r="2419" spans="1:13">
      <c r="A2419" s="1">
        <f>HYPERLINK("http://www.twitter.com/NathanBLawrence/status/991433819415695361", "991433819415695361")</f>
        <v/>
      </c>
      <c r="B2419" s="2" t="n">
        <v>43221.90760416666</v>
      </c>
      <c r="C2419" t="n">
        <v>2</v>
      </c>
      <c r="D2419" t="n">
        <v>1</v>
      </c>
      <c r="E2419" t="s">
        <v>2428</v>
      </c>
      <c r="F2419" t="s"/>
      <c r="G2419" t="s"/>
      <c r="H2419" t="s"/>
      <c r="I2419" t="s"/>
      <c r="J2419" t="n">
        <v>-0.6317</v>
      </c>
      <c r="K2419" t="n">
        <v>0.316</v>
      </c>
      <c r="L2419" t="n">
        <v>0.6840000000000001</v>
      </c>
      <c r="M2419" t="n">
        <v>0</v>
      </c>
    </row>
    <row r="2420" spans="1:13">
      <c r="A2420" s="1">
        <f>HYPERLINK("http://www.twitter.com/NathanBLawrence/status/991433625961877504", "991433625961877504")</f>
        <v/>
      </c>
      <c r="B2420" s="2" t="n">
        <v>43221.90707175926</v>
      </c>
      <c r="C2420" t="n">
        <v>0</v>
      </c>
      <c r="D2420" t="n">
        <v>1102</v>
      </c>
      <c r="E2420" t="s">
        <v>2429</v>
      </c>
      <c r="F2420" t="s"/>
      <c r="G2420" t="s"/>
      <c r="H2420" t="s"/>
      <c r="I2420" t="s"/>
      <c r="J2420" t="n">
        <v>0.5165</v>
      </c>
      <c r="K2420" t="n">
        <v>0.059</v>
      </c>
      <c r="L2420" t="n">
        <v>0.75</v>
      </c>
      <c r="M2420" t="n">
        <v>0.191</v>
      </c>
    </row>
    <row r="2421" spans="1:13">
      <c r="A2421" s="1">
        <f>HYPERLINK("http://www.twitter.com/NathanBLawrence/status/991433536702898176", "991433536702898176")</f>
        <v/>
      </c>
      <c r="B2421" s="2" t="n">
        <v>43221.90681712963</v>
      </c>
      <c r="C2421" t="n">
        <v>2</v>
      </c>
      <c r="D2421" t="n">
        <v>1</v>
      </c>
      <c r="E2421" t="s">
        <v>2430</v>
      </c>
      <c r="F2421" t="s"/>
      <c r="G2421" t="s"/>
      <c r="H2421" t="s"/>
      <c r="I2421" t="s"/>
      <c r="J2421" t="n">
        <v>-0.9333</v>
      </c>
      <c r="K2421" t="n">
        <v>0.521</v>
      </c>
      <c r="L2421" t="n">
        <v>0.479</v>
      </c>
      <c r="M2421" t="n">
        <v>0</v>
      </c>
    </row>
    <row r="2422" spans="1:13">
      <c r="A2422" s="1">
        <f>HYPERLINK("http://www.twitter.com/NathanBLawrence/status/991433321857990656", "991433321857990656")</f>
        <v/>
      </c>
      <c r="B2422" s="2" t="n">
        <v>43221.90622685185</v>
      </c>
      <c r="C2422" t="n">
        <v>0</v>
      </c>
      <c r="D2422" t="n">
        <v>2</v>
      </c>
      <c r="E2422" t="s">
        <v>2431</v>
      </c>
      <c r="F2422" t="s"/>
      <c r="G2422" t="s"/>
      <c r="H2422" t="s"/>
      <c r="I2422" t="s"/>
      <c r="J2422" t="n">
        <v>0.4019</v>
      </c>
      <c r="K2422" t="n">
        <v>0</v>
      </c>
      <c r="L2422" t="n">
        <v>0.881</v>
      </c>
      <c r="M2422" t="n">
        <v>0.119</v>
      </c>
    </row>
    <row r="2423" spans="1:13">
      <c r="A2423" s="1">
        <f>HYPERLINK("http://www.twitter.com/NathanBLawrence/status/991433233043570688", "991433233043570688")</f>
        <v/>
      </c>
      <c r="B2423" s="2" t="n">
        <v>43221.9059837963</v>
      </c>
      <c r="C2423" t="n">
        <v>0</v>
      </c>
      <c r="D2423" t="n">
        <v>1906</v>
      </c>
      <c r="E2423" t="s">
        <v>2432</v>
      </c>
      <c r="F2423" t="s"/>
      <c r="G2423" t="s"/>
      <c r="H2423" t="s"/>
      <c r="I2423" t="s"/>
      <c r="J2423" t="n">
        <v>-0.5562</v>
      </c>
      <c r="K2423" t="n">
        <v>0.146</v>
      </c>
      <c r="L2423" t="n">
        <v>0.854</v>
      </c>
      <c r="M2423" t="n">
        <v>0</v>
      </c>
    </row>
    <row r="2424" spans="1:13">
      <c r="A2424" s="1">
        <f>HYPERLINK("http://www.twitter.com/NathanBLawrence/status/991433063342096384", "991433063342096384")</f>
        <v/>
      </c>
      <c r="B2424" s="2" t="n">
        <v>43221.90550925926</v>
      </c>
      <c r="C2424" t="n">
        <v>3</v>
      </c>
      <c r="D2424" t="n">
        <v>1</v>
      </c>
      <c r="E2424" t="s">
        <v>2433</v>
      </c>
      <c r="F2424" t="s"/>
      <c r="G2424" t="s"/>
      <c r="H2424" t="s"/>
      <c r="I2424" t="s"/>
      <c r="J2424" t="n">
        <v>0.4939</v>
      </c>
      <c r="K2424" t="n">
        <v>0</v>
      </c>
      <c r="L2424" t="n">
        <v>0.833</v>
      </c>
      <c r="M2424" t="n">
        <v>0.167</v>
      </c>
    </row>
    <row r="2425" spans="1:13">
      <c r="A2425" s="1">
        <f>HYPERLINK("http://www.twitter.com/NathanBLawrence/status/991387355314466816", "991387355314466816")</f>
        <v/>
      </c>
      <c r="B2425" s="2" t="n">
        <v>43221.77938657408</v>
      </c>
      <c r="C2425" t="n">
        <v>2</v>
      </c>
      <c r="D2425" t="n">
        <v>0</v>
      </c>
      <c r="E2425" t="s">
        <v>2434</v>
      </c>
      <c r="F2425" t="s"/>
      <c r="G2425" t="s"/>
      <c r="H2425" t="s"/>
      <c r="I2425" t="s"/>
      <c r="J2425" t="n">
        <v>0</v>
      </c>
      <c r="K2425" t="n">
        <v>0</v>
      </c>
      <c r="L2425" t="n">
        <v>1</v>
      </c>
      <c r="M2425" t="n">
        <v>0</v>
      </c>
    </row>
    <row r="2426" spans="1:13">
      <c r="A2426" s="1">
        <f>HYPERLINK("http://www.twitter.com/NathanBLawrence/status/991386579783507968", "991386579783507968")</f>
        <v/>
      </c>
      <c r="B2426" s="2" t="n">
        <v>43221.77724537037</v>
      </c>
      <c r="C2426" t="n">
        <v>5</v>
      </c>
      <c r="D2426" t="n">
        <v>1</v>
      </c>
      <c r="E2426" t="s">
        <v>2435</v>
      </c>
      <c r="F2426" t="s"/>
      <c r="G2426" t="s"/>
      <c r="H2426" t="s"/>
      <c r="I2426" t="s"/>
      <c r="J2426" t="n">
        <v>-0.3612</v>
      </c>
      <c r="K2426" t="n">
        <v>0.122</v>
      </c>
      <c r="L2426" t="n">
        <v>0.878</v>
      </c>
      <c r="M2426" t="n">
        <v>0</v>
      </c>
    </row>
    <row r="2427" spans="1:13">
      <c r="A2427" s="1">
        <f>HYPERLINK("http://www.twitter.com/NathanBLawrence/status/991386469154439168", "991386469154439168")</f>
        <v/>
      </c>
      <c r="B2427" s="2" t="n">
        <v>43221.77693287037</v>
      </c>
      <c r="C2427" t="n">
        <v>4</v>
      </c>
      <c r="D2427" t="n">
        <v>0</v>
      </c>
      <c r="E2427" t="s">
        <v>2436</v>
      </c>
      <c r="F2427" t="s"/>
      <c r="G2427" t="s"/>
      <c r="H2427" t="s"/>
      <c r="I2427" t="s"/>
      <c r="J2427" t="n">
        <v>0.5399</v>
      </c>
      <c r="K2427" t="n">
        <v>0</v>
      </c>
      <c r="L2427" t="n">
        <v>0.789</v>
      </c>
      <c r="M2427" t="n">
        <v>0.211</v>
      </c>
    </row>
    <row r="2428" spans="1:13">
      <c r="A2428" s="1">
        <f>HYPERLINK("http://www.twitter.com/NathanBLawrence/status/991386276912816129", "991386276912816129")</f>
        <v/>
      </c>
      <c r="B2428" s="2" t="n">
        <v>43221.77641203703</v>
      </c>
      <c r="C2428" t="n">
        <v>10</v>
      </c>
      <c r="D2428" t="n">
        <v>3</v>
      </c>
      <c r="E2428" t="s">
        <v>2437</v>
      </c>
      <c r="F2428" t="s"/>
      <c r="G2428" t="s"/>
      <c r="H2428" t="s"/>
      <c r="I2428" t="s"/>
      <c r="J2428" t="n">
        <v>-0.8481</v>
      </c>
      <c r="K2428" t="n">
        <v>0.19</v>
      </c>
      <c r="L2428" t="n">
        <v>0.8100000000000001</v>
      </c>
      <c r="M2428" t="n">
        <v>0</v>
      </c>
    </row>
    <row r="2429" spans="1:13">
      <c r="A2429" s="1">
        <f>HYPERLINK("http://www.twitter.com/NathanBLawrence/status/991181604495114240", "991181604495114240")</f>
        <v/>
      </c>
      <c r="B2429" s="2" t="n">
        <v>43221.21162037037</v>
      </c>
      <c r="C2429" t="n">
        <v>9</v>
      </c>
      <c r="D2429" t="n">
        <v>3</v>
      </c>
      <c r="E2429" t="s">
        <v>2438</v>
      </c>
      <c r="F2429" t="s"/>
      <c r="G2429" t="s"/>
      <c r="H2429" t="s"/>
      <c r="I2429" t="s"/>
      <c r="J2429" t="n">
        <v>-0.7088</v>
      </c>
      <c r="K2429" t="n">
        <v>0.282</v>
      </c>
      <c r="L2429" t="n">
        <v>0.718</v>
      </c>
      <c r="M2429" t="n">
        <v>0</v>
      </c>
    </row>
    <row r="2430" spans="1:13">
      <c r="A2430" s="1">
        <f>HYPERLINK("http://www.twitter.com/NathanBLawrence/status/991181180216131584", "991181180216131584")</f>
        <v/>
      </c>
      <c r="B2430" s="2" t="n">
        <v>43221.21045138889</v>
      </c>
      <c r="C2430" t="n">
        <v>11</v>
      </c>
      <c r="D2430" t="n">
        <v>9</v>
      </c>
      <c r="E2430" t="s">
        <v>2439</v>
      </c>
      <c r="F2430" t="s"/>
      <c r="G2430" t="s"/>
      <c r="H2430" t="s"/>
      <c r="I2430" t="s"/>
      <c r="J2430" t="n">
        <v>-0.6514</v>
      </c>
      <c r="K2430" t="n">
        <v>0.325</v>
      </c>
      <c r="L2430" t="n">
        <v>0.675</v>
      </c>
      <c r="M2430" t="n">
        <v>0</v>
      </c>
    </row>
    <row r="2431" spans="1:13">
      <c r="A2431" s="1">
        <f>HYPERLINK("http://www.twitter.com/NathanBLawrence/status/991180425807642624", "991180425807642624")</f>
        <v/>
      </c>
      <c r="B2431" s="2" t="n">
        <v>43221.20836805556</v>
      </c>
      <c r="C2431" t="n">
        <v>0</v>
      </c>
      <c r="D2431" t="n">
        <v>81</v>
      </c>
      <c r="E2431" t="s">
        <v>2440</v>
      </c>
      <c r="F2431" t="s"/>
      <c r="G2431" t="s"/>
      <c r="H2431" t="s"/>
      <c r="I2431" t="s"/>
      <c r="J2431" t="n">
        <v>0.5574</v>
      </c>
      <c r="K2431" t="n">
        <v>0</v>
      </c>
      <c r="L2431" t="n">
        <v>0.8159999999999999</v>
      </c>
      <c r="M2431" t="n">
        <v>0.184</v>
      </c>
    </row>
    <row r="2432" spans="1:13">
      <c r="A2432" s="1">
        <f>HYPERLINK("http://www.twitter.com/NathanBLawrence/status/991178760727678976", "991178760727678976")</f>
        <v/>
      </c>
      <c r="B2432" s="2" t="n">
        <v>43221.20377314815</v>
      </c>
      <c r="C2432" t="n">
        <v>6</v>
      </c>
      <c r="D2432" t="n">
        <v>1</v>
      </c>
      <c r="E2432" t="s">
        <v>2441</v>
      </c>
      <c r="F2432" t="s"/>
      <c r="G2432" t="s"/>
      <c r="H2432" t="s"/>
      <c r="I2432" t="s"/>
      <c r="J2432" t="n">
        <v>0</v>
      </c>
      <c r="K2432" t="n">
        <v>0</v>
      </c>
      <c r="L2432" t="n">
        <v>1</v>
      </c>
      <c r="M2432" t="n">
        <v>0</v>
      </c>
    </row>
    <row r="2433" spans="1:13">
      <c r="A2433" s="1">
        <f>HYPERLINK("http://www.twitter.com/NathanBLawrence/status/991178488798330880", "991178488798330880")</f>
        <v/>
      </c>
      <c r="B2433" s="2" t="n">
        <v>43221.20302083333</v>
      </c>
      <c r="C2433" t="n">
        <v>12</v>
      </c>
      <c r="D2433" t="n">
        <v>7</v>
      </c>
      <c r="E2433" t="s">
        <v>2442</v>
      </c>
      <c r="F2433" t="s"/>
      <c r="G2433" t="s"/>
      <c r="H2433" t="s"/>
      <c r="I2433" t="s"/>
      <c r="J2433" t="n">
        <v>0.2023</v>
      </c>
      <c r="K2433" t="n">
        <v>0.128</v>
      </c>
      <c r="L2433" t="n">
        <v>0.698</v>
      </c>
      <c r="M2433" t="n">
        <v>0.174</v>
      </c>
    </row>
    <row r="2434" spans="1:13">
      <c r="A2434" s="1">
        <f>HYPERLINK("http://www.twitter.com/NathanBLawrence/status/991178140213903360", "991178140213903360")</f>
        <v/>
      </c>
      <c r="B2434" s="2" t="n">
        <v>43221.20206018518</v>
      </c>
      <c r="C2434" t="n">
        <v>7</v>
      </c>
      <c r="D2434" t="n">
        <v>1</v>
      </c>
      <c r="E2434" t="s">
        <v>2443</v>
      </c>
      <c r="F2434" t="s"/>
      <c r="G2434" t="s"/>
      <c r="H2434" t="s"/>
      <c r="I2434" t="s"/>
      <c r="J2434" t="n">
        <v>-0.6711</v>
      </c>
      <c r="K2434" t="n">
        <v>0.524</v>
      </c>
      <c r="L2434" t="n">
        <v>0.476</v>
      </c>
      <c r="M2434" t="n">
        <v>0</v>
      </c>
    </row>
    <row r="2435" spans="1:13">
      <c r="A2435" s="1">
        <f>HYPERLINK("http://www.twitter.com/NathanBLawrence/status/991177515384193025", "991177515384193025")</f>
        <v/>
      </c>
      <c r="B2435" s="2" t="n">
        <v>43221.20033564815</v>
      </c>
      <c r="C2435" t="n">
        <v>0</v>
      </c>
      <c r="D2435" t="n">
        <v>2074</v>
      </c>
      <c r="E2435" t="s">
        <v>2444</v>
      </c>
      <c r="F2435" t="s"/>
      <c r="G2435" t="s"/>
      <c r="H2435" t="s"/>
      <c r="I2435" t="s"/>
      <c r="J2435" t="n">
        <v>-0.8070000000000001</v>
      </c>
      <c r="K2435" t="n">
        <v>0.293</v>
      </c>
      <c r="L2435" t="n">
        <v>0.707</v>
      </c>
      <c r="M2435" t="n">
        <v>0</v>
      </c>
    </row>
    <row r="2436" spans="1:13">
      <c r="A2436" s="1">
        <f>HYPERLINK("http://www.twitter.com/NathanBLawrence/status/991177424523022336", "991177424523022336")</f>
        <v/>
      </c>
      <c r="B2436" s="2" t="n">
        <v>43221.20008101852</v>
      </c>
      <c r="C2436" t="n">
        <v>0</v>
      </c>
      <c r="D2436" t="n">
        <v>4</v>
      </c>
      <c r="E2436" t="s">
        <v>2445</v>
      </c>
      <c r="F2436" t="s"/>
      <c r="G2436" t="s"/>
      <c r="H2436" t="s"/>
      <c r="I2436" t="s"/>
      <c r="J2436" t="n">
        <v>0.5859</v>
      </c>
      <c r="K2436" t="n">
        <v>0</v>
      </c>
      <c r="L2436" t="n">
        <v>0.774</v>
      </c>
      <c r="M2436" t="n">
        <v>0.226</v>
      </c>
    </row>
    <row r="2437" spans="1:13">
      <c r="A2437" s="1">
        <f>HYPERLINK("http://www.twitter.com/NathanBLawrence/status/991177347037515776", "991177347037515776")</f>
        <v/>
      </c>
      <c r="B2437" s="2" t="n">
        <v>43221.19987268518</v>
      </c>
      <c r="C2437" t="n">
        <v>0</v>
      </c>
      <c r="D2437" t="n">
        <v>19</v>
      </c>
      <c r="E2437" t="s">
        <v>2446</v>
      </c>
      <c r="F2437">
        <f>HYPERLINK("http://pbs.twimg.com/media/DcEfaIHW4AAUEUW.jpg", "http://pbs.twimg.com/media/DcEfaIHW4AAUEUW.jpg")</f>
        <v/>
      </c>
      <c r="G2437" t="s"/>
      <c r="H2437" t="s"/>
      <c r="I2437" t="s"/>
      <c r="J2437" t="n">
        <v>0</v>
      </c>
      <c r="K2437" t="n">
        <v>0</v>
      </c>
      <c r="L2437" t="n">
        <v>1</v>
      </c>
      <c r="M2437" t="n">
        <v>0</v>
      </c>
    </row>
    <row r="2438" spans="1:13">
      <c r="A2438" s="1">
        <f>HYPERLINK("http://www.twitter.com/NathanBLawrence/status/991176698858106880", "991176698858106880")</f>
        <v/>
      </c>
      <c r="B2438" s="2" t="n">
        <v>43221.1980787037</v>
      </c>
      <c r="C2438" t="n">
        <v>5</v>
      </c>
      <c r="D2438" t="n">
        <v>1</v>
      </c>
      <c r="E2438" t="s">
        <v>2447</v>
      </c>
      <c r="F2438" t="s"/>
      <c r="G2438" t="s"/>
      <c r="H2438" t="s"/>
      <c r="I2438" t="s"/>
      <c r="J2438" t="n">
        <v>-0.5534</v>
      </c>
      <c r="K2438" t="n">
        <v>0.183</v>
      </c>
      <c r="L2438" t="n">
        <v>0.8169999999999999</v>
      </c>
      <c r="M2438" t="n">
        <v>0</v>
      </c>
    </row>
    <row r="2439" spans="1:13">
      <c r="A2439" s="1">
        <f>HYPERLINK("http://www.twitter.com/NathanBLawrence/status/991174807885570049", "991174807885570049")</f>
        <v/>
      </c>
      <c r="B2439" s="2" t="n">
        <v>43221.1928587963</v>
      </c>
      <c r="C2439" t="n">
        <v>32</v>
      </c>
      <c r="D2439" t="n">
        <v>21</v>
      </c>
      <c r="E2439" t="s">
        <v>2448</v>
      </c>
      <c r="F2439" t="s"/>
      <c r="G2439" t="s"/>
      <c r="H2439" t="s"/>
      <c r="I2439" t="s"/>
      <c r="J2439" t="n">
        <v>-0.9733000000000001</v>
      </c>
      <c r="K2439" t="n">
        <v>0.421</v>
      </c>
      <c r="L2439" t="n">
        <v>0.579</v>
      </c>
      <c r="M2439" t="n">
        <v>0</v>
      </c>
    </row>
    <row r="2440" spans="1:13">
      <c r="A2440" s="1">
        <f>HYPERLINK("http://www.twitter.com/NathanBLawrence/status/991174246092042240", "991174246092042240")</f>
        <v/>
      </c>
      <c r="B2440" s="2" t="n">
        <v>43221.19131944444</v>
      </c>
      <c r="C2440" t="n">
        <v>9</v>
      </c>
      <c r="D2440" t="n">
        <v>2</v>
      </c>
      <c r="E2440" t="s">
        <v>2449</v>
      </c>
      <c r="F2440">
        <f>HYPERLINK("http://pbs.twimg.com/media/DcFbq0TVQAAZyOS.jpg", "http://pbs.twimg.com/media/DcFbq0TVQAAZyOS.jpg")</f>
        <v/>
      </c>
      <c r="G2440" t="s"/>
      <c r="H2440" t="s"/>
      <c r="I2440" t="s"/>
      <c r="J2440" t="n">
        <v>-0.7959000000000001</v>
      </c>
      <c r="K2440" t="n">
        <v>0.703</v>
      </c>
      <c r="L2440" t="n">
        <v>0.297</v>
      </c>
      <c r="M2440" t="n">
        <v>0</v>
      </c>
    </row>
    <row r="2441" spans="1:13">
      <c r="A2441" s="1">
        <f>HYPERLINK("http://www.twitter.com/NathanBLawrence/status/991174019582836736", "991174019582836736")</f>
        <v/>
      </c>
      <c r="B2441" s="2" t="n">
        <v>43221.19069444444</v>
      </c>
      <c r="C2441" t="n">
        <v>10</v>
      </c>
      <c r="D2441" t="n">
        <v>8</v>
      </c>
      <c r="E2441" t="s">
        <v>2450</v>
      </c>
      <c r="F2441">
        <f>HYPERLINK("http://pbs.twimg.com/media/DcFbbdTU8AAxssf.jpg", "http://pbs.twimg.com/media/DcFbbdTU8AAxssf.jpg")</f>
        <v/>
      </c>
      <c r="G2441" t="s"/>
      <c r="H2441" t="s"/>
      <c r="I2441" t="s"/>
      <c r="J2441" t="n">
        <v>-0.5266999999999999</v>
      </c>
      <c r="K2441" t="n">
        <v>0.221</v>
      </c>
      <c r="L2441" t="n">
        <v>0.779</v>
      </c>
      <c r="M2441" t="n">
        <v>0</v>
      </c>
    </row>
    <row r="2442" spans="1:13">
      <c r="A2442" s="1">
        <f>HYPERLINK("http://www.twitter.com/NathanBLawrence/status/991173806835154944", "991173806835154944")</f>
        <v/>
      </c>
      <c r="B2442" s="2" t="n">
        <v>43221.19010416666</v>
      </c>
      <c r="C2442" t="n">
        <v>28</v>
      </c>
      <c r="D2442" t="n">
        <v>13</v>
      </c>
      <c r="E2442" t="s">
        <v>2451</v>
      </c>
      <c r="F2442">
        <f>HYPERLINK("http://pbs.twimg.com/media/DcFbSBSVMAEownM.jpg", "http://pbs.twimg.com/media/DcFbSBSVMAEownM.jpg")</f>
        <v/>
      </c>
      <c r="G2442" t="s"/>
      <c r="H2442" t="s"/>
      <c r="I2442" t="s"/>
      <c r="J2442" t="n">
        <v>-0.6239</v>
      </c>
      <c r="K2442" t="n">
        <v>0.45</v>
      </c>
      <c r="L2442" t="n">
        <v>0.55</v>
      </c>
      <c r="M2442" t="n">
        <v>0</v>
      </c>
    </row>
    <row r="2443" spans="1:13">
      <c r="A2443" s="1">
        <f>HYPERLINK("http://www.twitter.com/NathanBLawrence/status/991173525271556096", "991173525271556096")</f>
        <v/>
      </c>
      <c r="B2443" s="2" t="n">
        <v>43221.1893287037</v>
      </c>
      <c r="C2443" t="n">
        <v>16</v>
      </c>
      <c r="D2443" t="n">
        <v>10</v>
      </c>
      <c r="E2443" t="s">
        <v>2452</v>
      </c>
      <c r="F2443">
        <f>HYPERLINK("http://pbs.twimg.com/media/DcFbAYvV0AAT6_d.jpg", "http://pbs.twimg.com/media/DcFbAYvV0AAT6_d.jpg")</f>
        <v/>
      </c>
      <c r="G2443" t="s"/>
      <c r="H2443" t="s"/>
      <c r="I2443" t="s"/>
      <c r="J2443" t="n">
        <v>0</v>
      </c>
      <c r="K2443" t="n">
        <v>0</v>
      </c>
      <c r="L2443" t="n">
        <v>1</v>
      </c>
      <c r="M2443" t="n">
        <v>0</v>
      </c>
    </row>
    <row r="2444" spans="1:13">
      <c r="A2444" s="1">
        <f>HYPERLINK("http://www.twitter.com/NathanBLawrence/status/991173007346315264", "991173007346315264")</f>
        <v/>
      </c>
      <c r="B2444" s="2" t="n">
        <v>43221.18789351852</v>
      </c>
      <c r="C2444" t="n">
        <v>8</v>
      </c>
      <c r="D2444" t="n">
        <v>6</v>
      </c>
      <c r="E2444" t="s">
        <v>2453</v>
      </c>
      <c r="F2444">
        <f>HYPERLINK("http://pbs.twimg.com/media/DcFaj0TVQAA6QFx.jpg", "http://pbs.twimg.com/media/DcFaj0TVQAA6QFx.jpg")</f>
        <v/>
      </c>
      <c r="G2444" t="s"/>
      <c r="H2444" t="s"/>
      <c r="I2444" t="s"/>
      <c r="J2444" t="n">
        <v>-0.4215</v>
      </c>
      <c r="K2444" t="n">
        <v>0.359</v>
      </c>
      <c r="L2444" t="n">
        <v>0.641</v>
      </c>
      <c r="M2444" t="n">
        <v>0</v>
      </c>
    </row>
    <row r="2445" spans="1:13">
      <c r="A2445" s="1">
        <f>HYPERLINK("http://www.twitter.com/NathanBLawrence/status/991172803683479552", "991172803683479552")</f>
        <v/>
      </c>
      <c r="B2445" s="2" t="n">
        <v>43221.18733796296</v>
      </c>
      <c r="C2445" t="n">
        <v>6</v>
      </c>
      <c r="D2445" t="n">
        <v>7</v>
      </c>
      <c r="E2445" t="s">
        <v>2454</v>
      </c>
      <c r="F2445">
        <f>HYPERLINK("http://pbs.twimg.com/media/DcFaCK2VwAAv8va.jpg", "http://pbs.twimg.com/media/DcFaCK2VwAAv8va.jpg")</f>
        <v/>
      </c>
      <c r="G2445" t="s"/>
      <c r="H2445" t="s"/>
      <c r="I2445" t="s"/>
      <c r="J2445" t="n">
        <v>-0.2732</v>
      </c>
      <c r="K2445" t="n">
        <v>0.136</v>
      </c>
      <c r="L2445" t="n">
        <v>0.791</v>
      </c>
      <c r="M2445" t="n">
        <v>0.073</v>
      </c>
    </row>
    <row r="2446" spans="1:13">
      <c r="A2446" s="1">
        <f>HYPERLINK("http://www.twitter.com/NathanBLawrence/status/991172147518234624", "991172147518234624")</f>
        <v/>
      </c>
      <c r="B2446" s="2" t="n">
        <v>43221.18552083334</v>
      </c>
      <c r="C2446" t="n">
        <v>7</v>
      </c>
      <c r="D2446" t="n">
        <v>3</v>
      </c>
      <c r="E2446" t="s">
        <v>2455</v>
      </c>
      <c r="F2446" t="s"/>
      <c r="G2446" t="s"/>
      <c r="H2446" t="s"/>
      <c r="I2446" t="s"/>
      <c r="J2446" t="n">
        <v>0</v>
      </c>
      <c r="K2446" t="n">
        <v>0</v>
      </c>
      <c r="L2446" t="n">
        <v>1</v>
      </c>
      <c r="M2446" t="n">
        <v>0</v>
      </c>
    </row>
    <row r="2447" spans="1:13">
      <c r="A2447" s="1">
        <f>HYPERLINK("http://www.twitter.com/NathanBLawrence/status/991171883780358144", "991171883780358144")</f>
        <v/>
      </c>
      <c r="B2447" s="2" t="n">
        <v>43221.18479166667</v>
      </c>
      <c r="C2447" t="n">
        <v>33</v>
      </c>
      <c r="D2447" t="n">
        <v>10</v>
      </c>
      <c r="E2447" t="s">
        <v>2456</v>
      </c>
      <c r="F2447" t="s"/>
      <c r="G2447" t="s"/>
      <c r="H2447" t="s"/>
      <c r="I2447" t="s"/>
      <c r="J2447" t="n">
        <v>-0.9388</v>
      </c>
      <c r="K2447" t="n">
        <v>0.32</v>
      </c>
      <c r="L2447" t="n">
        <v>0.587</v>
      </c>
      <c r="M2447" t="n">
        <v>0.093</v>
      </c>
    </row>
    <row r="2448" spans="1:13">
      <c r="A2448" s="1">
        <f>HYPERLINK("http://www.twitter.com/NathanBLawrence/status/991171501238861824", "991171501238861824")</f>
        <v/>
      </c>
      <c r="B2448" s="2" t="n">
        <v>43221.18373842593</v>
      </c>
      <c r="C2448" t="n">
        <v>0</v>
      </c>
      <c r="D2448" t="n">
        <v>1922</v>
      </c>
      <c r="E2448" t="s">
        <v>2457</v>
      </c>
      <c r="F2448">
        <f>HYPERLINK("http://pbs.twimg.com/media/DcFVYDAVQAE0R_O.jpg", "http://pbs.twimg.com/media/DcFVYDAVQAE0R_O.jpg")</f>
        <v/>
      </c>
      <c r="G2448" t="s"/>
      <c r="H2448" t="s"/>
      <c r="I2448" t="s"/>
      <c r="J2448" t="n">
        <v>0.1779</v>
      </c>
      <c r="K2448" t="n">
        <v>0.08400000000000001</v>
      </c>
      <c r="L2448" t="n">
        <v>0.772</v>
      </c>
      <c r="M2448" t="n">
        <v>0.144</v>
      </c>
    </row>
    <row r="2449" spans="1:13">
      <c r="A2449" s="1">
        <f>HYPERLINK("http://www.twitter.com/NathanBLawrence/status/991171450584248320", "991171450584248320")</f>
        <v/>
      </c>
      <c r="B2449" s="2" t="n">
        <v>43221.18359953703</v>
      </c>
      <c r="C2449" t="n">
        <v>0</v>
      </c>
      <c r="D2449" t="n">
        <v>962</v>
      </c>
      <c r="E2449" t="s">
        <v>2458</v>
      </c>
      <c r="F2449">
        <f>HYPERLINK("https://video.twimg.com/amplify_video/991015120577945600/vid/1280x720/Ii2Wkkl9q21EZY3O.mp4?tag=2", "https://video.twimg.com/amplify_video/991015120577945600/vid/1280x720/Ii2Wkkl9q21EZY3O.mp4?tag=2")</f>
        <v/>
      </c>
      <c r="G2449" t="s"/>
      <c r="H2449" t="s"/>
      <c r="I2449" t="s"/>
      <c r="J2449" t="n">
        <v>0</v>
      </c>
      <c r="K2449" t="n">
        <v>0</v>
      </c>
      <c r="L2449" t="n">
        <v>1</v>
      </c>
      <c r="M2449" t="n">
        <v>0</v>
      </c>
    </row>
    <row r="2450" spans="1:13">
      <c r="A2450" s="1">
        <f>HYPERLINK("http://www.twitter.com/NathanBLawrence/status/991171407378763777", "991171407378763777")</f>
        <v/>
      </c>
      <c r="B2450" s="2" t="n">
        <v>43221.1834837963</v>
      </c>
      <c r="C2450" t="n">
        <v>8</v>
      </c>
      <c r="D2450" t="n">
        <v>1</v>
      </c>
      <c r="E2450" t="s">
        <v>2459</v>
      </c>
      <c r="F2450" t="s"/>
      <c r="G2450" t="s"/>
      <c r="H2450" t="s"/>
      <c r="I2450" t="s"/>
      <c r="J2450" t="n">
        <v>0</v>
      </c>
      <c r="K2450" t="n">
        <v>0</v>
      </c>
      <c r="L2450" t="n">
        <v>1</v>
      </c>
      <c r="M2450" t="n">
        <v>0</v>
      </c>
    </row>
    <row r="2451" spans="1:13">
      <c r="A2451" s="1">
        <f>HYPERLINK("http://www.twitter.com/NathanBLawrence/status/991171263346307072", "991171263346307072")</f>
        <v/>
      </c>
      <c r="B2451" s="2" t="n">
        <v>43221.1830787037</v>
      </c>
      <c r="C2451" t="n">
        <v>0</v>
      </c>
      <c r="D2451" t="n">
        <v>1992</v>
      </c>
      <c r="E2451" t="s">
        <v>2460</v>
      </c>
      <c r="F2451">
        <f>HYPERLINK("http://pbs.twimg.com/media/DcENLC8W4AABv1N.jpg", "http://pbs.twimg.com/media/DcENLC8W4AABv1N.jpg")</f>
        <v/>
      </c>
      <c r="G2451" t="s"/>
      <c r="H2451" t="s"/>
      <c r="I2451" t="s"/>
      <c r="J2451" t="n">
        <v>-0.623</v>
      </c>
      <c r="K2451" t="n">
        <v>0.17</v>
      </c>
      <c r="L2451" t="n">
        <v>0.83</v>
      </c>
      <c r="M2451" t="n">
        <v>0</v>
      </c>
    </row>
    <row r="2452" spans="1:13">
      <c r="A2452" s="1">
        <f>HYPERLINK("http://www.twitter.com/NathanBLawrence/status/991171156550995968", "991171156550995968")</f>
        <v/>
      </c>
      <c r="B2452" s="2" t="n">
        <v>43221.18278935185</v>
      </c>
      <c r="C2452" t="n">
        <v>19</v>
      </c>
      <c r="D2452" t="n">
        <v>8</v>
      </c>
      <c r="E2452" t="s">
        <v>2461</v>
      </c>
      <c r="F2452" t="s"/>
      <c r="G2452" t="s"/>
      <c r="H2452" t="s"/>
      <c r="I2452" t="s"/>
      <c r="J2452" t="n">
        <v>0.4738</v>
      </c>
      <c r="K2452" t="n">
        <v>0</v>
      </c>
      <c r="L2452" t="n">
        <v>0.89</v>
      </c>
      <c r="M2452" t="n">
        <v>0.11</v>
      </c>
    </row>
    <row r="2453" spans="1:13">
      <c r="A2453" s="1">
        <f>HYPERLINK("http://www.twitter.com/NathanBLawrence/status/991095591009599489", "991095591009599489")</f>
        <v/>
      </c>
      <c r="B2453" s="2" t="n">
        <v>43220.97427083334</v>
      </c>
      <c r="C2453" t="n">
        <v>23</v>
      </c>
      <c r="D2453" t="n">
        <v>12</v>
      </c>
      <c r="E2453" t="s">
        <v>2462</v>
      </c>
      <c r="F2453" t="s"/>
      <c r="G2453" t="s"/>
      <c r="H2453" t="s"/>
      <c r="I2453" t="s"/>
      <c r="J2453" t="n">
        <v>-0.7003</v>
      </c>
      <c r="K2453" t="n">
        <v>0.254</v>
      </c>
      <c r="L2453" t="n">
        <v>0.746</v>
      </c>
      <c r="M2453" t="n">
        <v>0</v>
      </c>
    </row>
    <row r="2454" spans="1:13">
      <c r="A2454" s="1">
        <f>HYPERLINK("http://www.twitter.com/NathanBLawrence/status/991002370560610304", "991002370560610304")</f>
        <v/>
      </c>
      <c r="B2454" s="2" t="n">
        <v>43220.71702546296</v>
      </c>
      <c r="C2454" t="n">
        <v>2</v>
      </c>
      <c r="D2454" t="n">
        <v>1</v>
      </c>
      <c r="E2454" t="s">
        <v>2463</v>
      </c>
      <c r="F2454" t="s"/>
      <c r="G2454" t="s"/>
      <c r="H2454" t="s"/>
      <c r="I2454" t="s"/>
      <c r="J2454" t="n">
        <v>0.4215</v>
      </c>
      <c r="K2454" t="n">
        <v>0</v>
      </c>
      <c r="L2454" t="n">
        <v>0.798</v>
      </c>
      <c r="M2454" t="n">
        <v>0.202</v>
      </c>
    </row>
    <row r="2455" spans="1:13">
      <c r="A2455" s="1">
        <f>HYPERLINK("http://www.twitter.com/NathanBLawrence/status/991002048660365313", "991002048660365313")</f>
        <v/>
      </c>
      <c r="B2455" s="2" t="n">
        <v>43220.71613425926</v>
      </c>
      <c r="C2455" t="n">
        <v>0</v>
      </c>
      <c r="D2455" t="n">
        <v>1</v>
      </c>
      <c r="E2455" t="s">
        <v>2464</v>
      </c>
      <c r="F2455" t="s"/>
      <c r="G2455" t="s"/>
      <c r="H2455" t="s"/>
      <c r="I2455" t="s"/>
      <c r="J2455" t="n">
        <v>0</v>
      </c>
      <c r="K2455" t="n">
        <v>0</v>
      </c>
      <c r="L2455" t="n">
        <v>1</v>
      </c>
      <c r="M2455" t="n">
        <v>0</v>
      </c>
    </row>
    <row r="2456" spans="1:13">
      <c r="A2456" s="1">
        <f>HYPERLINK("http://www.twitter.com/NathanBLawrence/status/991001945082019840", "991001945082019840")</f>
        <v/>
      </c>
      <c r="B2456" s="2" t="n">
        <v>43220.71585648148</v>
      </c>
      <c r="C2456" t="n">
        <v>0</v>
      </c>
      <c r="D2456" t="n">
        <v>2</v>
      </c>
      <c r="E2456" t="s">
        <v>2465</v>
      </c>
      <c r="F2456" t="s"/>
      <c r="G2456" t="s"/>
      <c r="H2456" t="s"/>
      <c r="I2456" t="s"/>
      <c r="J2456" t="n">
        <v>0</v>
      </c>
      <c r="K2456" t="n">
        <v>0</v>
      </c>
      <c r="L2456" t="n">
        <v>1</v>
      </c>
      <c r="M2456" t="n">
        <v>0</v>
      </c>
    </row>
    <row r="2457" spans="1:13">
      <c r="A2457" s="1">
        <f>HYPERLINK("http://www.twitter.com/NathanBLawrence/status/991001778152878080", "991001778152878080")</f>
        <v/>
      </c>
      <c r="B2457" s="2" t="n">
        <v>43220.71539351852</v>
      </c>
      <c r="C2457" t="n">
        <v>6</v>
      </c>
      <c r="D2457" t="n">
        <v>3</v>
      </c>
      <c r="E2457" t="s">
        <v>2466</v>
      </c>
      <c r="F2457" t="s"/>
      <c r="G2457" t="s"/>
      <c r="H2457" t="s"/>
      <c r="I2457" t="s"/>
      <c r="J2457" t="n">
        <v>0.2023</v>
      </c>
      <c r="K2457" t="n">
        <v>0.27</v>
      </c>
      <c r="L2457" t="n">
        <v>0.397</v>
      </c>
      <c r="M2457" t="n">
        <v>0.333</v>
      </c>
    </row>
    <row r="2458" spans="1:13">
      <c r="A2458" s="1">
        <f>HYPERLINK("http://www.twitter.com/NathanBLawrence/status/991001607620911104", "991001607620911104")</f>
        <v/>
      </c>
      <c r="B2458" s="2" t="n">
        <v>43220.71491898148</v>
      </c>
      <c r="C2458" t="n">
        <v>6</v>
      </c>
      <c r="D2458" t="n">
        <v>3</v>
      </c>
      <c r="E2458" t="s">
        <v>2467</v>
      </c>
      <c r="F2458" t="s"/>
      <c r="G2458" t="s"/>
      <c r="H2458" t="s"/>
      <c r="I2458" t="s"/>
      <c r="J2458" t="n">
        <v>-0.7184</v>
      </c>
      <c r="K2458" t="n">
        <v>0.197</v>
      </c>
      <c r="L2458" t="n">
        <v>0.753</v>
      </c>
      <c r="M2458" t="n">
        <v>0.05</v>
      </c>
    </row>
    <row r="2459" spans="1:13">
      <c r="A2459" s="1">
        <f>HYPERLINK("http://www.twitter.com/NathanBLawrence/status/991001303831597058", "991001303831597058")</f>
        <v/>
      </c>
      <c r="B2459" s="2" t="n">
        <v>43220.71408564815</v>
      </c>
      <c r="C2459" t="n">
        <v>7</v>
      </c>
      <c r="D2459" t="n">
        <v>5</v>
      </c>
      <c r="E2459" t="s">
        <v>2468</v>
      </c>
      <c r="F2459" t="s"/>
      <c r="G2459" t="s"/>
      <c r="H2459" t="s"/>
      <c r="I2459" t="s"/>
      <c r="J2459" t="n">
        <v>-0.3612</v>
      </c>
      <c r="K2459" t="n">
        <v>0.07000000000000001</v>
      </c>
      <c r="L2459" t="n">
        <v>0.93</v>
      </c>
      <c r="M2459" t="n">
        <v>0</v>
      </c>
    </row>
    <row r="2460" spans="1:13">
      <c r="A2460" s="1">
        <f>HYPERLINK("http://www.twitter.com/NathanBLawrence/status/991001126395768832", "991001126395768832")</f>
        <v/>
      </c>
      <c r="B2460" s="2" t="n">
        <v>43220.71359953703</v>
      </c>
      <c r="C2460" t="n">
        <v>10</v>
      </c>
      <c r="D2460" t="n">
        <v>3</v>
      </c>
      <c r="E2460" t="s">
        <v>2469</v>
      </c>
      <c r="F2460" t="s"/>
      <c r="G2460" t="s"/>
      <c r="H2460" t="s"/>
      <c r="I2460" t="s"/>
      <c r="J2460" t="n">
        <v>0</v>
      </c>
      <c r="K2460" t="n">
        <v>0</v>
      </c>
      <c r="L2460" t="n">
        <v>1</v>
      </c>
      <c r="M2460" t="n">
        <v>0</v>
      </c>
    </row>
    <row r="2461" spans="1:13">
      <c r="A2461" s="1">
        <f>HYPERLINK("http://www.twitter.com/NathanBLawrence/status/991000880135614464", "991000880135614464")</f>
        <v/>
      </c>
      <c r="B2461" s="2" t="n">
        <v>43220.71291666666</v>
      </c>
      <c r="C2461" t="n">
        <v>0</v>
      </c>
      <c r="D2461" t="n">
        <v>108</v>
      </c>
      <c r="E2461" t="s">
        <v>2470</v>
      </c>
      <c r="F2461" t="s"/>
      <c r="G2461" t="s"/>
      <c r="H2461" t="s"/>
      <c r="I2461" t="s"/>
      <c r="J2461" t="n">
        <v>-0.3182</v>
      </c>
      <c r="K2461" t="n">
        <v>0.225</v>
      </c>
      <c r="L2461" t="n">
        <v>0.649</v>
      </c>
      <c r="M2461" t="n">
        <v>0.126</v>
      </c>
    </row>
    <row r="2462" spans="1:13">
      <c r="A2462" s="1">
        <f>HYPERLINK("http://www.twitter.com/NathanBLawrence/status/991000841476718594", "991000841476718594")</f>
        <v/>
      </c>
      <c r="B2462" s="2" t="n">
        <v>43220.7128125</v>
      </c>
      <c r="C2462" t="n">
        <v>20</v>
      </c>
      <c r="D2462" t="n">
        <v>11</v>
      </c>
      <c r="E2462" t="s">
        <v>2471</v>
      </c>
      <c r="F2462" t="s"/>
      <c r="G2462" t="s"/>
      <c r="H2462" t="s"/>
      <c r="I2462" t="s"/>
      <c r="J2462" t="n">
        <v>0.3182</v>
      </c>
      <c r="K2462" t="n">
        <v>0</v>
      </c>
      <c r="L2462" t="n">
        <v>0.931</v>
      </c>
      <c r="M2462" t="n">
        <v>0.06900000000000001</v>
      </c>
    </row>
    <row r="2463" spans="1:13">
      <c r="A2463" s="1">
        <f>HYPERLINK("http://www.twitter.com/NathanBLawrence/status/990979840034586624", "990979840034586624")</f>
        <v/>
      </c>
      <c r="B2463" s="2" t="n">
        <v>43220.65486111111</v>
      </c>
      <c r="C2463" t="n">
        <v>5</v>
      </c>
      <c r="D2463" t="n">
        <v>5</v>
      </c>
      <c r="E2463" t="s">
        <v>2472</v>
      </c>
      <c r="F2463" t="s"/>
      <c r="G2463" t="s"/>
      <c r="H2463" t="s"/>
      <c r="I2463" t="s"/>
      <c r="J2463" t="n">
        <v>0</v>
      </c>
      <c r="K2463" t="n">
        <v>0</v>
      </c>
      <c r="L2463" t="n">
        <v>1</v>
      </c>
      <c r="M2463" t="n">
        <v>0</v>
      </c>
    </row>
    <row r="2464" spans="1:13">
      <c r="A2464" s="1">
        <f>HYPERLINK("http://www.twitter.com/NathanBLawrence/status/990978931535761408", "990978931535761408")</f>
        <v/>
      </c>
      <c r="B2464" s="2" t="n">
        <v>43220.65234953703</v>
      </c>
      <c r="C2464" t="n">
        <v>12</v>
      </c>
      <c r="D2464" t="n">
        <v>9</v>
      </c>
      <c r="E2464" t="s">
        <v>2473</v>
      </c>
      <c r="F2464" t="s"/>
      <c r="G2464" t="s"/>
      <c r="H2464" t="s"/>
      <c r="I2464" t="s"/>
      <c r="J2464" t="n">
        <v>0.4215</v>
      </c>
      <c r="K2464" t="n">
        <v>0</v>
      </c>
      <c r="L2464" t="n">
        <v>0.781</v>
      </c>
      <c r="M2464" t="n">
        <v>0.219</v>
      </c>
    </row>
    <row r="2465" spans="1:13">
      <c r="A2465" s="1">
        <f>HYPERLINK("http://www.twitter.com/NathanBLawrence/status/990978688131854336", "990978688131854336")</f>
        <v/>
      </c>
      <c r="B2465" s="2" t="n">
        <v>43220.65167824074</v>
      </c>
      <c r="C2465" t="n">
        <v>10</v>
      </c>
      <c r="D2465" t="n">
        <v>3</v>
      </c>
      <c r="E2465" t="s">
        <v>2474</v>
      </c>
      <c r="F2465" t="s"/>
      <c r="G2465" t="s"/>
      <c r="H2465" t="s"/>
      <c r="I2465" t="s"/>
      <c r="J2465" t="n">
        <v>0.7579</v>
      </c>
      <c r="K2465" t="n">
        <v>0.07000000000000001</v>
      </c>
      <c r="L2465" t="n">
        <v>0.725</v>
      </c>
      <c r="M2465" t="n">
        <v>0.205</v>
      </c>
    </row>
    <row r="2466" spans="1:13">
      <c r="A2466" s="1">
        <f>HYPERLINK("http://www.twitter.com/NathanBLawrence/status/990977905562796033", "990977905562796033")</f>
        <v/>
      </c>
      <c r="B2466" s="2" t="n">
        <v>43220.64951388889</v>
      </c>
      <c r="C2466" t="n">
        <v>4</v>
      </c>
      <c r="D2466" t="n">
        <v>2</v>
      </c>
      <c r="E2466" t="s">
        <v>2475</v>
      </c>
      <c r="F2466" t="s"/>
      <c r="G2466" t="s"/>
      <c r="H2466" t="s"/>
      <c r="I2466" t="s"/>
      <c r="J2466" t="n">
        <v>0.7475000000000001</v>
      </c>
      <c r="K2466" t="n">
        <v>0.144</v>
      </c>
      <c r="L2466" t="n">
        <v>0.464</v>
      </c>
      <c r="M2466" t="n">
        <v>0.392</v>
      </c>
    </row>
    <row r="2467" spans="1:13">
      <c r="A2467" s="1">
        <f>HYPERLINK("http://www.twitter.com/NathanBLawrence/status/990977469497798656", "990977469497798656")</f>
        <v/>
      </c>
      <c r="B2467" s="2" t="n">
        <v>43220.64831018518</v>
      </c>
      <c r="C2467" t="n">
        <v>2</v>
      </c>
      <c r="D2467" t="n">
        <v>1</v>
      </c>
      <c r="E2467" t="s">
        <v>2476</v>
      </c>
      <c r="F2467" t="s"/>
      <c r="G2467" t="s"/>
      <c r="H2467" t="s"/>
      <c r="I2467" t="s"/>
      <c r="J2467" t="n">
        <v>0.1792</v>
      </c>
      <c r="K2467" t="n">
        <v>0.141</v>
      </c>
      <c r="L2467" t="n">
        <v>0.6840000000000001</v>
      </c>
      <c r="M2467" t="n">
        <v>0.175</v>
      </c>
    </row>
    <row r="2468" spans="1:13">
      <c r="A2468" s="1">
        <f>HYPERLINK("http://www.twitter.com/NathanBLawrence/status/990976896228732929", "990976896228732929")</f>
        <v/>
      </c>
      <c r="B2468" s="2" t="n">
        <v>43220.64673611111</v>
      </c>
      <c r="C2468" t="n">
        <v>12</v>
      </c>
      <c r="D2468" t="n">
        <v>1</v>
      </c>
      <c r="E2468" t="s">
        <v>2477</v>
      </c>
      <c r="F2468" t="s"/>
      <c r="G2468" t="s"/>
      <c r="H2468" t="s"/>
      <c r="I2468" t="s"/>
      <c r="J2468" t="n">
        <v>0.7944</v>
      </c>
      <c r="K2468" t="n">
        <v>0</v>
      </c>
      <c r="L2468" t="n">
        <v>0.793</v>
      </c>
      <c r="M2468" t="n">
        <v>0.207</v>
      </c>
    </row>
    <row r="2469" spans="1:13">
      <c r="A2469" s="1">
        <f>HYPERLINK("http://www.twitter.com/NathanBLawrence/status/990976228302536704", "990976228302536704")</f>
        <v/>
      </c>
      <c r="B2469" s="2" t="n">
        <v>43220.64488425926</v>
      </c>
      <c r="C2469" t="n">
        <v>0</v>
      </c>
      <c r="D2469" t="n">
        <v>2417</v>
      </c>
      <c r="E2469" t="s">
        <v>2478</v>
      </c>
      <c r="F2469" t="s"/>
      <c r="G2469" t="s"/>
      <c r="H2469" t="s"/>
      <c r="I2469" t="s"/>
      <c r="J2469" t="n">
        <v>0</v>
      </c>
      <c r="K2469" t="n">
        <v>0</v>
      </c>
      <c r="L2469" t="n">
        <v>1</v>
      </c>
      <c r="M2469" t="n">
        <v>0</v>
      </c>
    </row>
    <row r="2470" spans="1:13">
      <c r="A2470" s="1">
        <f>HYPERLINK("http://www.twitter.com/NathanBLawrence/status/990974474378887168", "990974474378887168")</f>
        <v/>
      </c>
      <c r="B2470" s="2" t="n">
        <v>43220.6400462963</v>
      </c>
      <c r="C2470" t="n">
        <v>6</v>
      </c>
      <c r="D2470" t="n">
        <v>3</v>
      </c>
      <c r="E2470" t="s">
        <v>2479</v>
      </c>
      <c r="F2470" t="s"/>
      <c r="G2470" t="s"/>
      <c r="H2470" t="s"/>
      <c r="I2470" t="s"/>
      <c r="J2470" t="n">
        <v>-0.8645</v>
      </c>
      <c r="K2470" t="n">
        <v>0.23</v>
      </c>
      <c r="L2470" t="n">
        <v>0.77</v>
      </c>
      <c r="M2470" t="n">
        <v>0</v>
      </c>
    </row>
    <row r="2471" spans="1:13">
      <c r="A2471" s="1">
        <f>HYPERLINK("http://www.twitter.com/NathanBLawrence/status/990973997411057664", "990973997411057664")</f>
        <v/>
      </c>
      <c r="B2471" s="2" t="n">
        <v>43220.63873842593</v>
      </c>
      <c r="C2471" t="n">
        <v>5</v>
      </c>
      <c r="D2471" t="n">
        <v>4</v>
      </c>
      <c r="E2471" t="s">
        <v>2480</v>
      </c>
      <c r="F2471" t="s"/>
      <c r="G2471" t="s"/>
      <c r="H2471" t="s"/>
      <c r="I2471" t="s"/>
      <c r="J2471" t="n">
        <v>0.3612</v>
      </c>
      <c r="K2471" t="n">
        <v>0</v>
      </c>
      <c r="L2471" t="n">
        <v>0.667</v>
      </c>
      <c r="M2471" t="n">
        <v>0.333</v>
      </c>
    </row>
    <row r="2472" spans="1:13">
      <c r="A2472" s="1">
        <f>HYPERLINK("http://www.twitter.com/NathanBLawrence/status/990973849494740992", "990973849494740992")</f>
        <v/>
      </c>
      <c r="B2472" s="2" t="n">
        <v>43220.63832175926</v>
      </c>
      <c r="C2472" t="n">
        <v>4</v>
      </c>
      <c r="D2472" t="n">
        <v>1</v>
      </c>
      <c r="E2472" t="s">
        <v>2481</v>
      </c>
      <c r="F2472" t="s"/>
      <c r="G2472" t="s"/>
      <c r="H2472" t="s"/>
      <c r="I2472" t="s"/>
      <c r="J2472" t="n">
        <v>-0.5266999999999999</v>
      </c>
      <c r="K2472" t="n">
        <v>0.327</v>
      </c>
      <c r="L2472" t="n">
        <v>0.673</v>
      </c>
      <c r="M2472" t="n">
        <v>0</v>
      </c>
    </row>
    <row r="2473" spans="1:13">
      <c r="A2473" s="1">
        <f>HYPERLINK("http://www.twitter.com/NathanBLawrence/status/990973251852496896", "990973251852496896")</f>
        <v/>
      </c>
      <c r="B2473" s="2" t="n">
        <v>43220.63667824074</v>
      </c>
      <c r="C2473" t="n">
        <v>10</v>
      </c>
      <c r="D2473" t="n">
        <v>8</v>
      </c>
      <c r="E2473" t="s">
        <v>2482</v>
      </c>
      <c r="F2473" t="s"/>
      <c r="G2473" t="s"/>
      <c r="H2473" t="s"/>
      <c r="I2473" t="s"/>
      <c r="J2473" t="n">
        <v>-0.5266999999999999</v>
      </c>
      <c r="K2473" t="n">
        <v>0.327</v>
      </c>
      <c r="L2473" t="n">
        <v>0.673</v>
      </c>
      <c r="M2473" t="n">
        <v>0</v>
      </c>
    </row>
    <row r="2474" spans="1:13">
      <c r="A2474" s="1">
        <f>HYPERLINK("http://www.twitter.com/NathanBLawrence/status/990973102824636416", "990973102824636416")</f>
        <v/>
      </c>
      <c r="B2474" s="2" t="n">
        <v>43220.63626157407</v>
      </c>
      <c r="C2474" t="n">
        <v>7</v>
      </c>
      <c r="D2474" t="n">
        <v>4</v>
      </c>
      <c r="E2474" t="s">
        <v>2483</v>
      </c>
      <c r="F2474" t="s"/>
      <c r="G2474" t="s"/>
      <c r="H2474" t="s"/>
      <c r="I2474" t="s"/>
      <c r="J2474" t="n">
        <v>-0.3769</v>
      </c>
      <c r="K2474" t="n">
        <v>0.308</v>
      </c>
      <c r="L2474" t="n">
        <v>0.448</v>
      </c>
      <c r="M2474" t="n">
        <v>0.244</v>
      </c>
    </row>
    <row r="2475" spans="1:13">
      <c r="A2475" s="1">
        <f>HYPERLINK("http://www.twitter.com/NathanBLawrence/status/990972943277539334", "990972943277539334")</f>
        <v/>
      </c>
      <c r="B2475" s="2" t="n">
        <v>43220.63582175926</v>
      </c>
      <c r="C2475" t="n">
        <v>0</v>
      </c>
      <c r="D2475" t="n">
        <v>59</v>
      </c>
      <c r="E2475" t="s">
        <v>2484</v>
      </c>
      <c r="F2475">
        <f>HYPERLINK("http://pbs.twimg.com/media/Db0kUmlWAAADNYO.jpg", "http://pbs.twimg.com/media/Db0kUmlWAAADNYO.jpg")</f>
        <v/>
      </c>
      <c r="G2475" t="s"/>
      <c r="H2475" t="s"/>
      <c r="I2475" t="s"/>
      <c r="J2475" t="n">
        <v>0.4404</v>
      </c>
      <c r="K2475" t="n">
        <v>0</v>
      </c>
      <c r="L2475" t="n">
        <v>0.775</v>
      </c>
      <c r="M2475" t="n">
        <v>0.225</v>
      </c>
    </row>
    <row r="2476" spans="1:13">
      <c r="A2476" s="1">
        <f>HYPERLINK("http://www.twitter.com/NathanBLawrence/status/990972863480971264", "990972863480971264")</f>
        <v/>
      </c>
      <c r="B2476" s="2" t="n">
        <v>43220.63560185185</v>
      </c>
      <c r="C2476" t="n">
        <v>4</v>
      </c>
      <c r="D2476" t="n">
        <v>1</v>
      </c>
      <c r="E2476" t="s">
        <v>2485</v>
      </c>
      <c r="F2476" t="s"/>
      <c r="G2476" t="s"/>
      <c r="H2476" t="s"/>
      <c r="I2476" t="s"/>
      <c r="J2476" t="n">
        <v>-0.7772</v>
      </c>
      <c r="K2476" t="n">
        <v>0.331</v>
      </c>
      <c r="L2476" t="n">
        <v>0.55</v>
      </c>
      <c r="M2476" t="n">
        <v>0.119</v>
      </c>
    </row>
    <row r="2477" spans="1:13">
      <c r="A2477" s="1">
        <f>HYPERLINK("http://www.twitter.com/NathanBLawrence/status/990972488451436545", "990972488451436545")</f>
        <v/>
      </c>
      <c r="B2477" s="2" t="n">
        <v>43220.63457175926</v>
      </c>
      <c r="C2477" t="n">
        <v>0</v>
      </c>
      <c r="D2477" t="n">
        <v>34194</v>
      </c>
      <c r="E2477" t="s">
        <v>2486</v>
      </c>
      <c r="F2477" t="s"/>
      <c r="G2477" t="s"/>
      <c r="H2477" t="s"/>
      <c r="I2477" t="s"/>
      <c r="J2477" t="n">
        <v>0.6249</v>
      </c>
      <c r="K2477" t="n">
        <v>0</v>
      </c>
      <c r="L2477" t="n">
        <v>0.837</v>
      </c>
      <c r="M2477" t="n">
        <v>0.163</v>
      </c>
    </row>
    <row r="2478" spans="1:13">
      <c r="A2478" s="1">
        <f>HYPERLINK("http://www.twitter.com/NathanBLawrence/status/990972222557769729", "990972222557769729")</f>
        <v/>
      </c>
      <c r="B2478" s="2" t="n">
        <v>43220.63383101852</v>
      </c>
      <c r="C2478" t="n">
        <v>0</v>
      </c>
      <c r="D2478" t="n">
        <v>1609</v>
      </c>
      <c r="E2478" t="s">
        <v>2487</v>
      </c>
      <c r="F2478">
        <f>HYPERLINK("http://pbs.twimg.com/media/DSFl0BgWkAE1hZE.jpg", "http://pbs.twimg.com/media/DSFl0BgWkAE1hZE.jpg")</f>
        <v/>
      </c>
      <c r="G2478" t="s"/>
      <c r="H2478" t="s"/>
      <c r="I2478" t="s"/>
      <c r="J2478" t="n">
        <v>0.6249</v>
      </c>
      <c r="K2478" t="n">
        <v>0</v>
      </c>
      <c r="L2478" t="n">
        <v>0.854</v>
      </c>
      <c r="M2478" t="n">
        <v>0.146</v>
      </c>
    </row>
    <row r="2479" spans="1:13">
      <c r="A2479" s="1">
        <f>HYPERLINK("http://www.twitter.com/NathanBLawrence/status/990971841144504320", "990971841144504320")</f>
        <v/>
      </c>
      <c r="B2479" s="2" t="n">
        <v>43220.63277777778</v>
      </c>
      <c r="C2479" t="n">
        <v>0</v>
      </c>
      <c r="D2479" t="n">
        <v>868</v>
      </c>
      <c r="E2479" t="s">
        <v>2488</v>
      </c>
      <c r="F2479" t="s"/>
      <c r="G2479" t="s"/>
      <c r="H2479" t="s"/>
      <c r="I2479" t="s"/>
      <c r="J2479" t="n">
        <v>0.1134</v>
      </c>
      <c r="K2479" t="n">
        <v>0.094</v>
      </c>
      <c r="L2479" t="n">
        <v>0.793</v>
      </c>
      <c r="M2479" t="n">
        <v>0.113</v>
      </c>
    </row>
    <row r="2480" spans="1:13">
      <c r="A2480" s="1">
        <f>HYPERLINK("http://www.twitter.com/NathanBLawrence/status/990971732663066624", "990971732663066624")</f>
        <v/>
      </c>
      <c r="B2480" s="2" t="n">
        <v>43220.63248842592</v>
      </c>
      <c r="C2480" t="n">
        <v>0</v>
      </c>
      <c r="D2480" t="n">
        <v>17668</v>
      </c>
      <c r="E2480" t="s">
        <v>2489</v>
      </c>
      <c r="F2480">
        <f>HYPERLINK("https://video.twimg.com/ext_tw_video/964519300588478466/pu/vid/1280x720/19D0HuxU1MgoA8Ih.mp4", "https://video.twimg.com/ext_tw_video/964519300588478466/pu/vid/1280x720/19D0HuxU1MgoA8Ih.mp4")</f>
        <v/>
      </c>
      <c r="G2480" t="s"/>
      <c r="H2480" t="s"/>
      <c r="I2480" t="s"/>
      <c r="J2480" t="n">
        <v>0</v>
      </c>
      <c r="K2480" t="n">
        <v>0</v>
      </c>
      <c r="L2480" t="n">
        <v>1</v>
      </c>
      <c r="M2480" t="n">
        <v>0</v>
      </c>
    </row>
    <row r="2481" spans="1:13">
      <c r="A2481" s="1">
        <f>HYPERLINK("http://www.twitter.com/NathanBLawrence/status/990971176116600833", "990971176116600833")</f>
        <v/>
      </c>
      <c r="B2481" s="2" t="n">
        <v>43220.63094907408</v>
      </c>
      <c r="C2481" t="n">
        <v>6</v>
      </c>
      <c r="D2481" t="n">
        <v>5</v>
      </c>
      <c r="E2481" t="s">
        <v>2490</v>
      </c>
      <c r="F2481" t="s"/>
      <c r="G2481" t="s"/>
      <c r="H2481" t="s"/>
      <c r="I2481" t="s"/>
      <c r="J2481" t="n">
        <v>0.2103</v>
      </c>
      <c r="K2481" t="n">
        <v>0.194</v>
      </c>
      <c r="L2481" t="n">
        <v>0.541</v>
      </c>
      <c r="M2481" t="n">
        <v>0.265</v>
      </c>
    </row>
    <row r="2482" spans="1:13">
      <c r="A2482" s="1">
        <f>HYPERLINK("http://www.twitter.com/NathanBLawrence/status/990970915327426560", "990970915327426560")</f>
        <v/>
      </c>
      <c r="B2482" s="2" t="n">
        <v>43220.63023148148</v>
      </c>
      <c r="C2482" t="n">
        <v>1</v>
      </c>
      <c r="D2482" t="n">
        <v>4</v>
      </c>
      <c r="E2482" t="s">
        <v>2491</v>
      </c>
      <c r="F2482" t="s"/>
      <c r="G2482" t="s"/>
      <c r="H2482" t="s"/>
      <c r="I2482" t="s"/>
      <c r="J2482" t="n">
        <v>0.4404</v>
      </c>
      <c r="K2482" t="n">
        <v>0</v>
      </c>
      <c r="L2482" t="n">
        <v>0.828</v>
      </c>
      <c r="M2482" t="n">
        <v>0.172</v>
      </c>
    </row>
    <row r="2483" spans="1:13">
      <c r="A2483" s="1">
        <f>HYPERLINK("http://www.twitter.com/NathanBLawrence/status/990970344570667009", "990970344570667009")</f>
        <v/>
      </c>
      <c r="B2483" s="2" t="n">
        <v>43220.6286574074</v>
      </c>
      <c r="C2483" t="n">
        <v>1</v>
      </c>
      <c r="D2483" t="n">
        <v>2</v>
      </c>
      <c r="E2483" t="s">
        <v>2492</v>
      </c>
      <c r="F2483" t="s"/>
      <c r="G2483" t="s"/>
      <c r="H2483" t="s"/>
      <c r="I2483" t="s"/>
      <c r="J2483" t="n">
        <v>0</v>
      </c>
      <c r="K2483" t="n">
        <v>0</v>
      </c>
      <c r="L2483" t="n">
        <v>1</v>
      </c>
      <c r="M2483" t="n">
        <v>0</v>
      </c>
    </row>
    <row r="2484" spans="1:13">
      <c r="A2484" s="1">
        <f>HYPERLINK("http://www.twitter.com/NathanBLawrence/status/990969566481211394", "990969566481211394")</f>
        <v/>
      </c>
      <c r="B2484" s="2" t="n">
        <v>43220.62650462963</v>
      </c>
      <c r="C2484" t="n">
        <v>0</v>
      </c>
      <c r="D2484" t="n">
        <v>0</v>
      </c>
      <c r="E2484" t="s">
        <v>2493</v>
      </c>
      <c r="F2484" t="s"/>
      <c r="G2484" t="s"/>
      <c r="H2484" t="s"/>
      <c r="I2484" t="s"/>
      <c r="J2484" t="n">
        <v>0</v>
      </c>
      <c r="K2484" t="n">
        <v>0</v>
      </c>
      <c r="L2484" t="n">
        <v>1</v>
      </c>
      <c r="M2484" t="n">
        <v>0</v>
      </c>
    </row>
    <row r="2485" spans="1:13">
      <c r="A2485" s="1">
        <f>HYPERLINK("http://www.twitter.com/NathanBLawrence/status/990968988241809408", "990968988241809408")</f>
        <v/>
      </c>
      <c r="B2485" s="2" t="n">
        <v>43220.62490740741</v>
      </c>
      <c r="C2485" t="n">
        <v>13</v>
      </c>
      <c r="D2485" t="n">
        <v>11</v>
      </c>
      <c r="E2485" t="s">
        <v>2494</v>
      </c>
      <c r="F2485" t="s"/>
      <c r="G2485" t="s"/>
      <c r="H2485" t="s"/>
      <c r="I2485" t="s"/>
      <c r="J2485" t="n">
        <v>0</v>
      </c>
      <c r="K2485" t="n">
        <v>0</v>
      </c>
      <c r="L2485" t="n">
        <v>1</v>
      </c>
      <c r="M2485" t="n">
        <v>0</v>
      </c>
    </row>
    <row r="2486" spans="1:13">
      <c r="A2486" s="1">
        <f>HYPERLINK("http://www.twitter.com/NathanBLawrence/status/990968766941949952", "990968766941949952")</f>
        <v/>
      </c>
      <c r="B2486" s="2" t="n">
        <v>43220.62430555555</v>
      </c>
      <c r="C2486" t="n">
        <v>0</v>
      </c>
      <c r="D2486" t="n">
        <v>1</v>
      </c>
      <c r="E2486" t="s">
        <v>2495</v>
      </c>
      <c r="F2486" t="s"/>
      <c r="G2486" t="s"/>
      <c r="H2486" t="s"/>
      <c r="I2486" t="s"/>
      <c r="J2486" t="n">
        <v>0</v>
      </c>
      <c r="K2486" t="n">
        <v>0</v>
      </c>
      <c r="L2486" t="n">
        <v>1</v>
      </c>
      <c r="M2486" t="n">
        <v>0</v>
      </c>
    </row>
    <row r="2487" spans="1:13">
      <c r="A2487" s="1">
        <f>HYPERLINK("http://www.twitter.com/NathanBLawrence/status/990968503820697600", "990968503820697600")</f>
        <v/>
      </c>
      <c r="B2487" s="2" t="n">
        <v>43220.62357638889</v>
      </c>
      <c r="C2487" t="n">
        <v>6</v>
      </c>
      <c r="D2487" t="n">
        <v>5</v>
      </c>
      <c r="E2487" t="s">
        <v>2496</v>
      </c>
      <c r="F2487" t="s"/>
      <c r="G2487" t="s"/>
      <c r="H2487" t="s"/>
      <c r="I2487" t="s"/>
      <c r="J2487" t="n">
        <v>-0.3802</v>
      </c>
      <c r="K2487" t="n">
        <v>0.139</v>
      </c>
      <c r="L2487" t="n">
        <v>0.861</v>
      </c>
      <c r="M2487" t="n">
        <v>0</v>
      </c>
    </row>
    <row r="2488" spans="1:13">
      <c r="A2488" s="1">
        <f>HYPERLINK("http://www.twitter.com/NathanBLawrence/status/990968384803127296", "990968384803127296")</f>
        <v/>
      </c>
      <c r="B2488" s="2" t="n">
        <v>43220.62324074074</v>
      </c>
      <c r="C2488" t="n">
        <v>2</v>
      </c>
      <c r="D2488" t="n">
        <v>6</v>
      </c>
      <c r="E2488" t="s">
        <v>2497</v>
      </c>
      <c r="F2488" t="s"/>
      <c r="G2488" t="s"/>
      <c r="H2488" t="s"/>
      <c r="I2488" t="s"/>
      <c r="J2488" t="n">
        <v>0.1531</v>
      </c>
      <c r="K2488" t="n">
        <v>0.062</v>
      </c>
      <c r="L2488" t="n">
        <v>0.848</v>
      </c>
      <c r="M2488" t="n">
        <v>0.089</v>
      </c>
    </row>
    <row r="2489" spans="1:13">
      <c r="A2489" s="1">
        <f>HYPERLINK("http://www.twitter.com/NathanBLawrence/status/990965124969127943", "990965124969127943")</f>
        <v/>
      </c>
      <c r="B2489" s="2" t="n">
        <v>43220.61424768518</v>
      </c>
      <c r="C2489" t="n">
        <v>5</v>
      </c>
      <c r="D2489" t="n">
        <v>5</v>
      </c>
      <c r="E2489" t="s">
        <v>2498</v>
      </c>
      <c r="F2489" t="s"/>
      <c r="G2489" t="s"/>
      <c r="H2489" t="s"/>
      <c r="I2489" t="s"/>
      <c r="J2489" t="n">
        <v>0.4033</v>
      </c>
      <c r="K2489" t="n">
        <v>0.093</v>
      </c>
      <c r="L2489" t="n">
        <v>0.721</v>
      </c>
      <c r="M2489" t="n">
        <v>0.186</v>
      </c>
    </row>
    <row r="2490" spans="1:13">
      <c r="A2490" s="1">
        <f>HYPERLINK("http://www.twitter.com/NathanBLawrence/status/990964720105504768", "990964720105504768")</f>
        <v/>
      </c>
      <c r="B2490" s="2" t="n">
        <v>43220.61313657407</v>
      </c>
      <c r="C2490" t="n">
        <v>13</v>
      </c>
      <c r="D2490" t="n">
        <v>3</v>
      </c>
      <c r="E2490" t="s">
        <v>2499</v>
      </c>
      <c r="F2490" t="s"/>
      <c r="G2490" t="s"/>
      <c r="H2490" t="s"/>
      <c r="I2490" t="s"/>
      <c r="J2490" t="n">
        <v>0</v>
      </c>
      <c r="K2490" t="n">
        <v>0</v>
      </c>
      <c r="L2490" t="n">
        <v>1</v>
      </c>
      <c r="M2490" t="n">
        <v>0</v>
      </c>
    </row>
    <row r="2491" spans="1:13">
      <c r="A2491" s="1">
        <f>HYPERLINK("http://www.twitter.com/NathanBLawrence/status/990964370501918721", "990964370501918721")</f>
        <v/>
      </c>
      <c r="B2491" s="2" t="n">
        <v>43220.61216435185</v>
      </c>
      <c r="C2491" t="n">
        <v>6</v>
      </c>
      <c r="D2491" t="n">
        <v>4</v>
      </c>
      <c r="E2491" t="s">
        <v>2500</v>
      </c>
      <c r="F2491" t="s"/>
      <c r="G2491" t="s"/>
      <c r="H2491" t="s"/>
      <c r="I2491" t="s"/>
      <c r="J2491" t="n">
        <v>0</v>
      </c>
      <c r="K2491" t="n">
        <v>0</v>
      </c>
      <c r="L2491" t="n">
        <v>1</v>
      </c>
      <c r="M2491" t="n">
        <v>0</v>
      </c>
    </row>
    <row r="2492" spans="1:13">
      <c r="A2492" s="1">
        <f>HYPERLINK("http://www.twitter.com/NathanBLawrence/status/990963803096432640", "990963803096432640")</f>
        <v/>
      </c>
      <c r="B2492" s="2" t="n">
        <v>43220.61060185185</v>
      </c>
      <c r="C2492" t="n">
        <v>1</v>
      </c>
      <c r="D2492" t="n">
        <v>1</v>
      </c>
      <c r="E2492" t="s">
        <v>2501</v>
      </c>
      <c r="F2492" t="s"/>
      <c r="G2492" t="s"/>
      <c r="H2492" t="s"/>
      <c r="I2492" t="s"/>
      <c r="J2492" t="n">
        <v>0.4404</v>
      </c>
      <c r="K2492" t="n">
        <v>0</v>
      </c>
      <c r="L2492" t="n">
        <v>0.791</v>
      </c>
      <c r="M2492" t="n">
        <v>0.209</v>
      </c>
    </row>
    <row r="2493" spans="1:13">
      <c r="A2493" s="1">
        <f>HYPERLINK("http://www.twitter.com/NathanBLawrence/status/990963483251359746", "990963483251359746")</f>
        <v/>
      </c>
      <c r="B2493" s="2" t="n">
        <v>43220.60972222222</v>
      </c>
      <c r="C2493" t="n">
        <v>5</v>
      </c>
      <c r="D2493" t="n">
        <v>5</v>
      </c>
      <c r="E2493" t="s">
        <v>2502</v>
      </c>
      <c r="F2493" t="s"/>
      <c r="G2493" t="s"/>
      <c r="H2493" t="s"/>
      <c r="I2493" t="s"/>
      <c r="J2493" t="n">
        <v>0.6476</v>
      </c>
      <c r="K2493" t="n">
        <v>0</v>
      </c>
      <c r="L2493" t="n">
        <v>0.806</v>
      </c>
      <c r="M2493" t="n">
        <v>0.194</v>
      </c>
    </row>
    <row r="2494" spans="1:13">
      <c r="A2494" s="1">
        <f>HYPERLINK("http://www.twitter.com/NathanBLawrence/status/990963196960886785", "990963196960886785")</f>
        <v/>
      </c>
      <c r="B2494" s="2" t="n">
        <v>43220.60893518518</v>
      </c>
      <c r="C2494" t="n">
        <v>0</v>
      </c>
      <c r="D2494" t="n">
        <v>9</v>
      </c>
      <c r="E2494" t="s">
        <v>2503</v>
      </c>
      <c r="F2494" t="s"/>
      <c r="G2494" t="s"/>
      <c r="H2494" t="s"/>
      <c r="I2494" t="s"/>
      <c r="J2494" t="n">
        <v>0.7096</v>
      </c>
      <c r="K2494" t="n">
        <v>0</v>
      </c>
      <c r="L2494" t="n">
        <v>0.651</v>
      </c>
      <c r="M2494" t="n">
        <v>0.349</v>
      </c>
    </row>
    <row r="2495" spans="1:13">
      <c r="A2495" s="1">
        <f>HYPERLINK("http://www.twitter.com/NathanBLawrence/status/990962967318487041", "990962967318487041")</f>
        <v/>
      </c>
      <c r="B2495" s="2" t="n">
        <v>43220.60829861111</v>
      </c>
      <c r="C2495" t="n">
        <v>1</v>
      </c>
      <c r="D2495" t="n">
        <v>1</v>
      </c>
      <c r="E2495" t="s">
        <v>2504</v>
      </c>
      <c r="F2495" t="s"/>
      <c r="G2495" t="s"/>
      <c r="H2495" t="s"/>
      <c r="I2495" t="s"/>
      <c r="J2495" t="n">
        <v>-0.8162</v>
      </c>
      <c r="K2495" t="n">
        <v>0.24</v>
      </c>
      <c r="L2495" t="n">
        <v>0.699</v>
      </c>
      <c r="M2495" t="n">
        <v>0.06</v>
      </c>
    </row>
    <row r="2496" spans="1:13">
      <c r="A2496" s="1">
        <f>HYPERLINK("http://www.twitter.com/NathanBLawrence/status/990962585322180608", "990962585322180608")</f>
        <v/>
      </c>
      <c r="B2496" s="2" t="n">
        <v>43220.60724537037</v>
      </c>
      <c r="C2496" t="n">
        <v>0</v>
      </c>
      <c r="D2496" t="n">
        <v>69</v>
      </c>
      <c r="E2496" t="s">
        <v>2505</v>
      </c>
      <c r="F2496">
        <f>HYPERLINK("http://pbs.twimg.com/media/DcCI0cOXkAElwI5.jpg", "http://pbs.twimg.com/media/DcCI0cOXkAElwI5.jpg")</f>
        <v/>
      </c>
      <c r="G2496" t="s"/>
      <c r="H2496" t="s"/>
      <c r="I2496" t="s"/>
      <c r="J2496" t="n">
        <v>0</v>
      </c>
      <c r="K2496" t="n">
        <v>0</v>
      </c>
      <c r="L2496" t="n">
        <v>1</v>
      </c>
      <c r="M2496" t="n">
        <v>0</v>
      </c>
    </row>
    <row r="2497" spans="1:13">
      <c r="A2497" s="1">
        <f>HYPERLINK("http://www.twitter.com/NathanBLawrence/status/990962521669488643", "990962521669488643")</f>
        <v/>
      </c>
      <c r="B2497" s="2" t="n">
        <v>43220.60707175926</v>
      </c>
      <c r="C2497" t="n">
        <v>0</v>
      </c>
      <c r="D2497" t="n">
        <v>23</v>
      </c>
      <c r="E2497" t="s">
        <v>2506</v>
      </c>
      <c r="F2497" t="s"/>
      <c r="G2497" t="s"/>
      <c r="H2497" t="s"/>
      <c r="I2497" t="s"/>
      <c r="J2497" t="n">
        <v>-0.4404</v>
      </c>
      <c r="K2497" t="n">
        <v>0.139</v>
      </c>
      <c r="L2497" t="n">
        <v>0.861</v>
      </c>
      <c r="M2497" t="n">
        <v>0</v>
      </c>
    </row>
    <row r="2498" spans="1:13">
      <c r="A2498" s="1">
        <f>HYPERLINK("http://www.twitter.com/NathanBLawrence/status/990962412651143168", "990962412651143168")</f>
        <v/>
      </c>
      <c r="B2498" s="2" t="n">
        <v>43220.60677083334</v>
      </c>
      <c r="C2498" t="n">
        <v>0</v>
      </c>
      <c r="D2498" t="n">
        <v>1452</v>
      </c>
      <c r="E2498" t="s">
        <v>2507</v>
      </c>
      <c r="F2498">
        <f>HYPERLINK("https://video.twimg.com/ext_tw_video/990741996343095296/pu/vid/558x360/g1RFyzdvryzug86e.mp4?tag=3", "https://video.twimg.com/ext_tw_video/990741996343095296/pu/vid/558x360/g1RFyzdvryzug86e.mp4?tag=3")</f>
        <v/>
      </c>
      <c r="G2498" t="s"/>
      <c r="H2498" t="s"/>
      <c r="I2498" t="s"/>
      <c r="J2498" t="n">
        <v>-0.3612</v>
      </c>
      <c r="K2498" t="n">
        <v>0.127</v>
      </c>
      <c r="L2498" t="n">
        <v>0.8</v>
      </c>
      <c r="M2498" t="n">
        <v>0.073</v>
      </c>
    </row>
    <row r="2499" spans="1:13">
      <c r="A2499" s="1">
        <f>HYPERLINK("http://www.twitter.com/NathanBLawrence/status/990962215111901184", "990962215111901184")</f>
        <v/>
      </c>
      <c r="B2499" s="2" t="n">
        <v>43220.60621527778</v>
      </c>
      <c r="C2499" t="n">
        <v>0</v>
      </c>
      <c r="D2499" t="n">
        <v>22889</v>
      </c>
      <c r="E2499" t="s">
        <v>2508</v>
      </c>
      <c r="F2499" t="s"/>
      <c r="G2499" t="s"/>
      <c r="H2499" t="s"/>
      <c r="I2499" t="s"/>
      <c r="J2499" t="n">
        <v>-0.7184</v>
      </c>
      <c r="K2499" t="n">
        <v>0.25</v>
      </c>
      <c r="L2499" t="n">
        <v>0.75</v>
      </c>
      <c r="M2499" t="n">
        <v>0</v>
      </c>
    </row>
    <row r="2500" spans="1:13">
      <c r="A2500" s="1">
        <f>HYPERLINK("http://www.twitter.com/NathanBLawrence/status/990962182912266243", "990962182912266243")</f>
        <v/>
      </c>
      <c r="B2500" s="2" t="n">
        <v>43220.60613425926</v>
      </c>
      <c r="C2500" t="n">
        <v>0</v>
      </c>
      <c r="D2500" t="n">
        <v>23447</v>
      </c>
      <c r="E2500" t="s">
        <v>2509</v>
      </c>
      <c r="F2500" t="s"/>
      <c r="G2500" t="s"/>
      <c r="H2500" t="s"/>
      <c r="I2500" t="s"/>
      <c r="J2500" t="n">
        <v>-0.9191</v>
      </c>
      <c r="K2500" t="n">
        <v>0.376</v>
      </c>
      <c r="L2500" t="n">
        <v>0.624</v>
      </c>
      <c r="M2500" t="n">
        <v>0</v>
      </c>
    </row>
    <row r="2501" spans="1:13">
      <c r="A2501" s="1">
        <f>HYPERLINK("http://www.twitter.com/NathanBLawrence/status/990961978167386114", "990961978167386114")</f>
        <v/>
      </c>
      <c r="B2501" s="2" t="n">
        <v>43220.60556712963</v>
      </c>
      <c r="C2501" t="n">
        <v>0</v>
      </c>
      <c r="D2501" t="n">
        <v>2</v>
      </c>
      <c r="E2501" t="s">
        <v>2510</v>
      </c>
      <c r="F2501">
        <f>HYPERLINK("http://pbs.twimg.com/media/DcARXiiU8AAZI91.jpg", "http://pbs.twimg.com/media/DcARXiiU8AAZI91.jpg")</f>
        <v/>
      </c>
      <c r="G2501" t="s"/>
      <c r="H2501" t="s"/>
      <c r="I2501" t="s"/>
      <c r="J2501" t="n">
        <v>0</v>
      </c>
      <c r="K2501" t="n">
        <v>0</v>
      </c>
      <c r="L2501" t="n">
        <v>1</v>
      </c>
      <c r="M2501" t="n">
        <v>0</v>
      </c>
    </row>
    <row r="2502" spans="1:13">
      <c r="A2502" s="1">
        <f>HYPERLINK("http://www.twitter.com/NathanBLawrence/status/990812551788220416", "990812551788220416")</f>
        <v/>
      </c>
      <c r="B2502" s="2" t="n">
        <v>43220.19322916667</v>
      </c>
      <c r="C2502" t="n">
        <v>7</v>
      </c>
      <c r="D2502" t="n">
        <v>1</v>
      </c>
      <c r="E2502" t="s">
        <v>2511</v>
      </c>
      <c r="F2502" t="s"/>
      <c r="G2502" t="s"/>
      <c r="H2502" t="s"/>
      <c r="I2502" t="s"/>
      <c r="J2502" t="n">
        <v>-0.6418</v>
      </c>
      <c r="K2502" t="n">
        <v>0.515</v>
      </c>
      <c r="L2502" t="n">
        <v>0.485</v>
      </c>
      <c r="M2502" t="n">
        <v>0</v>
      </c>
    </row>
    <row r="2503" spans="1:13">
      <c r="A2503" s="1">
        <f>HYPERLINK("http://www.twitter.com/NathanBLawrence/status/990812430535081984", "990812430535081984")</f>
        <v/>
      </c>
      <c r="B2503" s="2" t="n">
        <v>43220.19289351852</v>
      </c>
      <c r="C2503" t="n">
        <v>0</v>
      </c>
      <c r="D2503" t="n">
        <v>383</v>
      </c>
      <c r="E2503" t="s">
        <v>2512</v>
      </c>
      <c r="F2503">
        <f>HYPERLINK("https://video.twimg.com/amplify_video/990650285449203712/vid/1280x720/_4sdnwSM6u7PW7RJ.mp4?tag=2", "https://video.twimg.com/amplify_video/990650285449203712/vid/1280x720/_4sdnwSM6u7PW7RJ.mp4?tag=2")</f>
        <v/>
      </c>
      <c r="G2503" t="s"/>
      <c r="H2503" t="s"/>
      <c r="I2503" t="s"/>
      <c r="J2503" t="n">
        <v>-0.7074</v>
      </c>
      <c r="K2503" t="n">
        <v>0.295</v>
      </c>
      <c r="L2503" t="n">
        <v>0.608</v>
      </c>
      <c r="M2503" t="n">
        <v>0.097</v>
      </c>
    </row>
    <row r="2504" spans="1:13">
      <c r="A2504" s="1">
        <f>HYPERLINK("http://www.twitter.com/NathanBLawrence/status/990812286976602112", "990812286976602112")</f>
        <v/>
      </c>
      <c r="B2504" s="2" t="n">
        <v>43220.1925</v>
      </c>
      <c r="C2504" t="n">
        <v>0</v>
      </c>
      <c r="D2504" t="n">
        <v>4</v>
      </c>
      <c r="E2504" t="s">
        <v>2513</v>
      </c>
      <c r="F2504" t="s"/>
      <c r="G2504" t="s"/>
      <c r="H2504" t="s"/>
      <c r="I2504" t="s"/>
      <c r="J2504" t="n">
        <v>-0.6369</v>
      </c>
      <c r="K2504" t="n">
        <v>0.321</v>
      </c>
      <c r="L2504" t="n">
        <v>0.679</v>
      </c>
      <c r="M2504" t="n">
        <v>0</v>
      </c>
    </row>
    <row r="2505" spans="1:13">
      <c r="A2505" s="1">
        <f>HYPERLINK("http://www.twitter.com/NathanBLawrence/status/990812237676752896", "990812237676752896")</f>
        <v/>
      </c>
      <c r="B2505" s="2" t="n">
        <v>43220.19236111111</v>
      </c>
      <c r="C2505" t="n">
        <v>0</v>
      </c>
      <c r="D2505" t="n">
        <v>126</v>
      </c>
      <c r="E2505" t="s">
        <v>2514</v>
      </c>
      <c r="F2505" t="s"/>
      <c r="G2505" t="s"/>
      <c r="H2505" t="s"/>
      <c r="I2505" t="s"/>
      <c r="J2505" t="n">
        <v>0.3412</v>
      </c>
      <c r="K2505" t="n">
        <v>0</v>
      </c>
      <c r="L2505" t="n">
        <v>0.893</v>
      </c>
      <c r="M2505" t="n">
        <v>0.107</v>
      </c>
    </row>
    <row r="2506" spans="1:13">
      <c r="A2506" s="1">
        <f>HYPERLINK("http://www.twitter.com/NathanBLawrence/status/990811001946714112", "990811001946714112")</f>
        <v/>
      </c>
      <c r="B2506" s="2" t="n">
        <v>43220.18894675926</v>
      </c>
      <c r="C2506" t="n">
        <v>11</v>
      </c>
      <c r="D2506" t="n">
        <v>6</v>
      </c>
      <c r="E2506" t="s">
        <v>2515</v>
      </c>
      <c r="F2506" t="s"/>
      <c r="G2506" t="s"/>
      <c r="H2506" t="s"/>
      <c r="I2506" t="s"/>
      <c r="J2506" t="n">
        <v>-0.6481</v>
      </c>
      <c r="K2506" t="n">
        <v>0.215</v>
      </c>
      <c r="L2506" t="n">
        <v>0.665</v>
      </c>
      <c r="M2506" t="n">
        <v>0.12</v>
      </c>
    </row>
    <row r="2507" spans="1:13">
      <c r="A2507" s="1">
        <f>HYPERLINK("http://www.twitter.com/NathanBLawrence/status/990810560714309632", "990810560714309632")</f>
        <v/>
      </c>
      <c r="B2507" s="2" t="n">
        <v>43220.18773148148</v>
      </c>
      <c r="C2507" t="n">
        <v>0</v>
      </c>
      <c r="D2507" t="n">
        <v>5</v>
      </c>
      <c r="E2507" t="s">
        <v>2516</v>
      </c>
      <c r="F2507">
        <f>HYPERLINK("http://pbs.twimg.com/media/DcAPqdqV4AAYYg3.jpg", "http://pbs.twimg.com/media/DcAPqdqV4AAYYg3.jpg")</f>
        <v/>
      </c>
      <c r="G2507" t="s"/>
      <c r="H2507" t="s"/>
      <c r="I2507" t="s"/>
      <c r="J2507" t="n">
        <v>0</v>
      </c>
      <c r="K2507" t="n">
        <v>0</v>
      </c>
      <c r="L2507" t="n">
        <v>1</v>
      </c>
      <c r="M2507" t="n">
        <v>0</v>
      </c>
    </row>
    <row r="2508" spans="1:13">
      <c r="A2508" s="1">
        <f>HYPERLINK("http://www.twitter.com/NathanBLawrence/status/990810497241890816", "990810497241890816")</f>
        <v/>
      </c>
      <c r="B2508" s="2" t="n">
        <v>43220.18755787037</v>
      </c>
      <c r="C2508" t="n">
        <v>0</v>
      </c>
      <c r="D2508" t="n">
        <v>2255</v>
      </c>
      <c r="E2508" t="s">
        <v>2517</v>
      </c>
      <c r="F2508">
        <f>HYPERLINK("https://video.twimg.com/amplify_video/983440778478411776/vid/1280x720/k4Vsdpjcj77y1eV2.mp4?tag=2", "https://video.twimg.com/amplify_video/983440778478411776/vid/1280x720/k4Vsdpjcj77y1eV2.mp4?tag=2")</f>
        <v/>
      </c>
      <c r="G2508" t="s"/>
      <c r="H2508" t="s"/>
      <c r="I2508" t="s"/>
      <c r="J2508" t="n">
        <v>-0.34</v>
      </c>
      <c r="K2508" t="n">
        <v>0.124</v>
      </c>
      <c r="L2508" t="n">
        <v>0.876</v>
      </c>
      <c r="M2508" t="n">
        <v>0</v>
      </c>
    </row>
    <row r="2509" spans="1:13">
      <c r="A2509" s="1">
        <f>HYPERLINK("http://www.twitter.com/NathanBLawrence/status/990810402706501632", "990810402706501632")</f>
        <v/>
      </c>
      <c r="B2509" s="2" t="n">
        <v>43220.18730324074</v>
      </c>
      <c r="C2509" t="n">
        <v>10</v>
      </c>
      <c r="D2509" t="n">
        <v>5</v>
      </c>
      <c r="E2509" t="s">
        <v>2518</v>
      </c>
      <c r="F2509" t="s"/>
      <c r="G2509" t="s"/>
      <c r="H2509" t="s"/>
      <c r="I2509" t="s"/>
      <c r="J2509" t="n">
        <v>0</v>
      </c>
      <c r="K2509" t="n">
        <v>0</v>
      </c>
      <c r="L2509" t="n">
        <v>1</v>
      </c>
      <c r="M2509" t="n">
        <v>0</v>
      </c>
    </row>
    <row r="2510" spans="1:13">
      <c r="A2510" s="1">
        <f>HYPERLINK("http://www.twitter.com/NathanBLawrence/status/990808747076272128", "990808747076272128")</f>
        <v/>
      </c>
      <c r="B2510" s="2" t="n">
        <v>43220.18273148148</v>
      </c>
      <c r="C2510" t="n">
        <v>9</v>
      </c>
      <c r="D2510" t="n">
        <v>5</v>
      </c>
      <c r="E2510" t="s">
        <v>2519</v>
      </c>
      <c r="F2510" t="s"/>
      <c r="G2510" t="s"/>
      <c r="H2510" t="s"/>
      <c r="I2510" t="s"/>
      <c r="J2510" t="n">
        <v>-0.9392</v>
      </c>
      <c r="K2510" t="n">
        <v>0.426</v>
      </c>
      <c r="L2510" t="n">
        <v>0.574</v>
      </c>
      <c r="M2510" t="n">
        <v>0</v>
      </c>
    </row>
    <row r="2511" spans="1:13">
      <c r="A2511" s="1">
        <f>HYPERLINK("http://www.twitter.com/NathanBLawrence/status/990808549855916033", "990808549855916033")</f>
        <v/>
      </c>
      <c r="B2511" s="2" t="n">
        <v>43220.1821875</v>
      </c>
      <c r="C2511" t="n">
        <v>7</v>
      </c>
      <c r="D2511" t="n">
        <v>0</v>
      </c>
      <c r="E2511" t="s">
        <v>2520</v>
      </c>
      <c r="F2511" t="s"/>
      <c r="G2511" t="s"/>
      <c r="H2511" t="s"/>
      <c r="I2511" t="s"/>
      <c r="J2511" t="n">
        <v>-0.8934</v>
      </c>
      <c r="K2511" t="n">
        <v>0.443</v>
      </c>
      <c r="L2511" t="n">
        <v>0.488</v>
      </c>
      <c r="M2511" t="n">
        <v>0.07000000000000001</v>
      </c>
    </row>
    <row r="2512" spans="1:13">
      <c r="A2512" s="1">
        <f>HYPERLINK("http://www.twitter.com/NathanBLawrence/status/990808459414093824", "990808459414093824")</f>
        <v/>
      </c>
      <c r="B2512" s="2" t="n">
        <v>43220.18193287037</v>
      </c>
      <c r="C2512" t="n">
        <v>10</v>
      </c>
      <c r="D2512" t="n">
        <v>4</v>
      </c>
      <c r="E2512" t="s">
        <v>2521</v>
      </c>
      <c r="F2512" t="s"/>
      <c r="G2512" t="s"/>
      <c r="H2512" t="s"/>
      <c r="I2512" t="s"/>
      <c r="J2512" t="n">
        <v>-0.5574</v>
      </c>
      <c r="K2512" t="n">
        <v>0.265</v>
      </c>
      <c r="L2512" t="n">
        <v>0.735</v>
      </c>
      <c r="M2512" t="n">
        <v>0</v>
      </c>
    </row>
    <row r="2513" spans="1:13">
      <c r="A2513" s="1">
        <f>HYPERLINK("http://www.twitter.com/NathanBLawrence/status/990808424886616064", "990808424886616064")</f>
        <v/>
      </c>
      <c r="B2513" s="2" t="n">
        <v>43220.18184027778</v>
      </c>
      <c r="C2513" t="n">
        <v>6</v>
      </c>
      <c r="D2513" t="n">
        <v>3</v>
      </c>
      <c r="E2513" t="s">
        <v>2522</v>
      </c>
      <c r="F2513" t="s"/>
      <c r="G2513" t="s"/>
      <c r="H2513" t="s"/>
      <c r="I2513" t="s"/>
      <c r="J2513" t="n">
        <v>-0.5719</v>
      </c>
      <c r="K2513" t="n">
        <v>0.179</v>
      </c>
      <c r="L2513" t="n">
        <v>0.821</v>
      </c>
      <c r="M2513" t="n">
        <v>0</v>
      </c>
    </row>
    <row r="2514" spans="1:13">
      <c r="A2514" s="1">
        <f>HYPERLINK("http://www.twitter.com/NathanBLawrence/status/990808326245040128", "990808326245040128")</f>
        <v/>
      </c>
      <c r="B2514" s="2" t="n">
        <v>43220.1815625</v>
      </c>
      <c r="C2514" t="n">
        <v>5</v>
      </c>
      <c r="D2514" t="n">
        <v>5</v>
      </c>
      <c r="E2514" t="s">
        <v>2523</v>
      </c>
      <c r="F2514" t="s"/>
      <c r="G2514" t="s"/>
      <c r="H2514" t="s"/>
      <c r="I2514" t="s"/>
      <c r="J2514" t="n">
        <v>0.792</v>
      </c>
      <c r="K2514" t="n">
        <v>0</v>
      </c>
      <c r="L2514" t="n">
        <v>0.73</v>
      </c>
      <c r="M2514" t="n">
        <v>0.27</v>
      </c>
    </row>
    <row r="2515" spans="1:13">
      <c r="A2515" s="1">
        <f>HYPERLINK("http://www.twitter.com/NathanBLawrence/status/990808039300059136", "990808039300059136")</f>
        <v/>
      </c>
      <c r="B2515" s="2" t="n">
        <v>43220.18077546296</v>
      </c>
      <c r="C2515" t="n">
        <v>6</v>
      </c>
      <c r="D2515" t="n">
        <v>3</v>
      </c>
      <c r="E2515" t="s">
        <v>2524</v>
      </c>
      <c r="F2515" t="s"/>
      <c r="G2515" t="s"/>
      <c r="H2515" t="s"/>
      <c r="I2515" t="s"/>
      <c r="J2515" t="n">
        <v>-0.9231</v>
      </c>
      <c r="K2515" t="n">
        <v>0.488</v>
      </c>
      <c r="L2515" t="n">
        <v>0.456</v>
      </c>
      <c r="M2515" t="n">
        <v>0.056</v>
      </c>
    </row>
    <row r="2516" spans="1:13">
      <c r="A2516" s="1">
        <f>HYPERLINK("http://www.twitter.com/NathanBLawrence/status/990807948237520897", "990807948237520897")</f>
        <v/>
      </c>
      <c r="B2516" s="2" t="n">
        <v>43220.18052083333</v>
      </c>
      <c r="C2516" t="n">
        <v>3</v>
      </c>
      <c r="D2516" t="n">
        <v>2</v>
      </c>
      <c r="E2516" t="s">
        <v>2525</v>
      </c>
      <c r="F2516" t="s"/>
      <c r="G2516" t="s"/>
      <c r="H2516" t="s"/>
      <c r="I2516" t="s"/>
      <c r="J2516" t="n">
        <v>-0.9231</v>
      </c>
      <c r="K2516" t="n">
        <v>0.505</v>
      </c>
      <c r="L2516" t="n">
        <v>0.436</v>
      </c>
      <c r="M2516" t="n">
        <v>0.058</v>
      </c>
    </row>
    <row r="2517" spans="1:13">
      <c r="A2517" s="1">
        <f>HYPERLINK("http://www.twitter.com/NathanBLawrence/status/990806362983612416", "990806362983612416")</f>
        <v/>
      </c>
      <c r="B2517" s="2" t="n">
        <v>43220.17614583333</v>
      </c>
      <c r="C2517" t="n">
        <v>1</v>
      </c>
      <c r="D2517" t="n">
        <v>0</v>
      </c>
      <c r="E2517" t="s">
        <v>2526</v>
      </c>
      <c r="F2517" t="s"/>
      <c r="G2517" t="s"/>
      <c r="H2517" t="s"/>
      <c r="I2517" t="s"/>
      <c r="J2517" t="n">
        <v>-0.25</v>
      </c>
      <c r="K2517" t="n">
        <v>0.222</v>
      </c>
      <c r="L2517" t="n">
        <v>0.617</v>
      </c>
      <c r="M2517" t="n">
        <v>0.16</v>
      </c>
    </row>
    <row r="2518" spans="1:13">
      <c r="A2518" s="1">
        <f>HYPERLINK("http://www.twitter.com/NathanBLawrence/status/990806228757458944", "990806228757458944")</f>
        <v/>
      </c>
      <c r="B2518" s="2" t="n">
        <v>43220.17577546297</v>
      </c>
      <c r="C2518" t="n">
        <v>1</v>
      </c>
      <c r="D2518" t="n">
        <v>1</v>
      </c>
      <c r="E2518" t="s">
        <v>2527</v>
      </c>
      <c r="F2518" t="s"/>
      <c r="G2518" t="s"/>
      <c r="H2518" t="s"/>
      <c r="I2518" t="s"/>
      <c r="J2518" t="n">
        <v>-0.0258</v>
      </c>
      <c r="K2518" t="n">
        <v>0.079</v>
      </c>
      <c r="L2518" t="n">
        <v>0.847</v>
      </c>
      <c r="M2518" t="n">
        <v>0.073</v>
      </c>
    </row>
    <row r="2519" spans="1:13">
      <c r="A2519" s="1">
        <f>HYPERLINK("http://www.twitter.com/NathanBLawrence/status/990805853476306944", "990805853476306944")</f>
        <v/>
      </c>
      <c r="B2519" s="2" t="n">
        <v>43220.17474537037</v>
      </c>
      <c r="C2519" t="n">
        <v>2</v>
      </c>
      <c r="D2519" t="n">
        <v>0</v>
      </c>
      <c r="E2519" t="s">
        <v>2528</v>
      </c>
      <c r="F2519" t="s"/>
      <c r="G2519" t="s"/>
      <c r="H2519" t="s"/>
      <c r="I2519" t="s"/>
      <c r="J2519" t="n">
        <v>0</v>
      </c>
      <c r="K2519" t="n">
        <v>0</v>
      </c>
      <c r="L2519" t="n">
        <v>1</v>
      </c>
      <c r="M2519" t="n">
        <v>0</v>
      </c>
    </row>
    <row r="2520" spans="1:13">
      <c r="A2520" s="1">
        <f>HYPERLINK("http://www.twitter.com/NathanBLawrence/status/990805485426102272", "990805485426102272")</f>
        <v/>
      </c>
      <c r="B2520" s="2" t="n">
        <v>43220.17372685186</v>
      </c>
      <c r="C2520" t="n">
        <v>7</v>
      </c>
      <c r="D2520" t="n">
        <v>0</v>
      </c>
      <c r="E2520" t="s">
        <v>2529</v>
      </c>
      <c r="F2520" t="s"/>
      <c r="G2520" t="s"/>
      <c r="H2520" t="s"/>
      <c r="I2520" t="s"/>
      <c r="J2520" t="n">
        <v>-0.5106000000000001</v>
      </c>
      <c r="K2520" t="n">
        <v>0.171</v>
      </c>
      <c r="L2520" t="n">
        <v>0.829</v>
      </c>
      <c r="M2520" t="n">
        <v>0</v>
      </c>
    </row>
    <row r="2521" spans="1:13">
      <c r="A2521" s="1">
        <f>HYPERLINK("http://www.twitter.com/NathanBLawrence/status/990805295013154817", "990805295013154817")</f>
        <v/>
      </c>
      <c r="B2521" s="2" t="n">
        <v>43220.17320601852</v>
      </c>
      <c r="C2521" t="n">
        <v>7</v>
      </c>
      <c r="D2521" t="n">
        <v>1</v>
      </c>
      <c r="E2521" t="s">
        <v>2530</v>
      </c>
      <c r="F2521" t="s"/>
      <c r="G2521" t="s"/>
      <c r="H2521" t="s"/>
      <c r="I2521" t="s"/>
      <c r="J2521" t="n">
        <v>-0.0752</v>
      </c>
      <c r="K2521" t="n">
        <v>0.254</v>
      </c>
      <c r="L2521" t="n">
        <v>0.527</v>
      </c>
      <c r="M2521" t="n">
        <v>0.22</v>
      </c>
    </row>
    <row r="2522" spans="1:13">
      <c r="A2522" s="1">
        <f>HYPERLINK("http://www.twitter.com/NathanBLawrence/status/990805034664251392", "990805034664251392")</f>
        <v/>
      </c>
      <c r="B2522" s="2" t="n">
        <v>43220.17248842592</v>
      </c>
      <c r="C2522" t="n">
        <v>13</v>
      </c>
      <c r="D2522" t="n">
        <v>5</v>
      </c>
      <c r="E2522" t="s">
        <v>2531</v>
      </c>
      <c r="F2522" t="s"/>
      <c r="G2522" t="s"/>
      <c r="H2522" t="s"/>
      <c r="I2522" t="s"/>
      <c r="J2522" t="n">
        <v>-0.8738</v>
      </c>
      <c r="K2522" t="n">
        <v>0.356</v>
      </c>
      <c r="L2522" t="n">
        <v>0.644</v>
      </c>
      <c r="M2522" t="n">
        <v>0</v>
      </c>
    </row>
    <row r="2523" spans="1:13">
      <c r="A2523" s="1">
        <f>HYPERLINK("http://www.twitter.com/NathanBLawrence/status/990804532182462464", "990804532182462464")</f>
        <v/>
      </c>
      <c r="B2523" s="2" t="n">
        <v>43220.17109953704</v>
      </c>
      <c r="C2523" t="n">
        <v>4</v>
      </c>
      <c r="D2523" t="n">
        <v>2</v>
      </c>
      <c r="E2523" t="s">
        <v>2532</v>
      </c>
      <c r="F2523" t="s"/>
      <c r="G2523" t="s"/>
      <c r="H2523" t="s"/>
      <c r="I2523" t="s"/>
      <c r="J2523" t="n">
        <v>0.4588</v>
      </c>
      <c r="K2523" t="n">
        <v>0</v>
      </c>
      <c r="L2523" t="n">
        <v>0.727</v>
      </c>
      <c r="M2523" t="n">
        <v>0.273</v>
      </c>
    </row>
    <row r="2524" spans="1:13">
      <c r="A2524" s="1">
        <f>HYPERLINK("http://www.twitter.com/NathanBLawrence/status/990796951409934336", "990796951409934336")</f>
        <v/>
      </c>
      <c r="B2524" s="2" t="n">
        <v>43220.15017361111</v>
      </c>
      <c r="C2524" t="n">
        <v>2</v>
      </c>
      <c r="D2524" t="n">
        <v>0</v>
      </c>
      <c r="E2524" t="s">
        <v>2533</v>
      </c>
      <c r="F2524" t="s"/>
      <c r="G2524" t="s"/>
      <c r="H2524" t="s"/>
      <c r="I2524" t="s"/>
      <c r="J2524" t="n">
        <v>0</v>
      </c>
      <c r="K2524" t="n">
        <v>0</v>
      </c>
      <c r="L2524" t="n">
        <v>1</v>
      </c>
      <c r="M2524" t="n">
        <v>0</v>
      </c>
    </row>
    <row r="2525" spans="1:13">
      <c r="A2525" s="1">
        <f>HYPERLINK("http://www.twitter.com/NathanBLawrence/status/990796405525463040", "990796405525463040")</f>
        <v/>
      </c>
      <c r="B2525" s="2" t="n">
        <v>43220.14866898148</v>
      </c>
      <c r="C2525" t="n">
        <v>0</v>
      </c>
      <c r="D2525" t="n">
        <v>281</v>
      </c>
      <c r="E2525" t="s">
        <v>2534</v>
      </c>
      <c r="F2525" t="s"/>
      <c r="G2525" t="s"/>
      <c r="H2525" t="s"/>
      <c r="I2525" t="s"/>
      <c r="J2525" t="n">
        <v>-0.3561</v>
      </c>
      <c r="K2525" t="n">
        <v>0.11</v>
      </c>
      <c r="L2525" t="n">
        <v>0.89</v>
      </c>
      <c r="M2525" t="n">
        <v>0</v>
      </c>
    </row>
    <row r="2526" spans="1:13">
      <c r="A2526" s="1">
        <f>HYPERLINK("http://www.twitter.com/NathanBLawrence/status/990795897352024064", "990795897352024064")</f>
        <v/>
      </c>
      <c r="B2526" s="2" t="n">
        <v>43220.14726851852</v>
      </c>
      <c r="C2526" t="n">
        <v>0</v>
      </c>
      <c r="D2526" t="n">
        <v>4</v>
      </c>
      <c r="E2526" t="s">
        <v>2535</v>
      </c>
      <c r="F2526" t="s"/>
      <c r="G2526" t="s"/>
      <c r="H2526" t="s"/>
      <c r="I2526" t="s"/>
      <c r="J2526" t="n">
        <v>0</v>
      </c>
      <c r="K2526" t="n">
        <v>0</v>
      </c>
      <c r="L2526" t="n">
        <v>1</v>
      </c>
      <c r="M2526" t="n">
        <v>0</v>
      </c>
    </row>
    <row r="2527" spans="1:13">
      <c r="A2527" s="1">
        <f>HYPERLINK("http://www.twitter.com/NathanBLawrence/status/990795779085221890", "990795779085221890")</f>
        <v/>
      </c>
      <c r="B2527" s="2" t="n">
        <v>43220.14694444444</v>
      </c>
      <c r="C2527" t="n">
        <v>0</v>
      </c>
      <c r="D2527" t="n">
        <v>818</v>
      </c>
      <c r="E2527" t="s">
        <v>2536</v>
      </c>
      <c r="F2527" t="s"/>
      <c r="G2527" t="s"/>
      <c r="H2527" t="s"/>
      <c r="I2527" t="s"/>
      <c r="J2527" t="n">
        <v>0</v>
      </c>
      <c r="K2527" t="n">
        <v>0</v>
      </c>
      <c r="L2527" t="n">
        <v>1</v>
      </c>
      <c r="M2527" t="n">
        <v>0</v>
      </c>
    </row>
    <row r="2528" spans="1:13">
      <c r="A2528" s="1">
        <f>HYPERLINK("http://www.twitter.com/NathanBLawrence/status/990795562965348353", "990795562965348353")</f>
        <v/>
      </c>
      <c r="B2528" s="2" t="n">
        <v>43220.14634259259</v>
      </c>
      <c r="C2528" t="n">
        <v>22</v>
      </c>
      <c r="D2528" t="n">
        <v>15</v>
      </c>
      <c r="E2528" t="s">
        <v>2537</v>
      </c>
      <c r="F2528" t="s"/>
      <c r="G2528" t="s"/>
      <c r="H2528" t="s"/>
      <c r="I2528" t="s"/>
      <c r="J2528" t="n">
        <v>0.4416</v>
      </c>
      <c r="K2528" t="n">
        <v>0.169</v>
      </c>
      <c r="L2528" t="n">
        <v>0.63</v>
      </c>
      <c r="M2528" t="n">
        <v>0.2</v>
      </c>
    </row>
    <row r="2529" spans="1:13">
      <c r="A2529" s="1">
        <f>HYPERLINK("http://www.twitter.com/NathanBLawrence/status/990356507278557184", "990356507278557184")</f>
        <v/>
      </c>
      <c r="B2529" s="2" t="n">
        <v>43218.93478009259</v>
      </c>
      <c r="C2529" t="n">
        <v>5</v>
      </c>
      <c r="D2529" t="n">
        <v>6</v>
      </c>
      <c r="E2529" t="s">
        <v>2538</v>
      </c>
      <c r="F2529" t="s"/>
      <c r="G2529" t="s"/>
      <c r="H2529" t="s"/>
      <c r="I2529" t="s"/>
      <c r="J2529" t="n">
        <v>-0.3612</v>
      </c>
      <c r="K2529" t="n">
        <v>0.455</v>
      </c>
      <c r="L2529" t="n">
        <v>0.545</v>
      </c>
      <c r="M2529" t="n">
        <v>0</v>
      </c>
    </row>
    <row r="2530" spans="1:13">
      <c r="A2530" s="1">
        <f>HYPERLINK("http://www.twitter.com/NathanBLawrence/status/990355744804356096", "990355744804356096")</f>
        <v/>
      </c>
      <c r="B2530" s="2" t="n">
        <v>43218.93268518519</v>
      </c>
      <c r="C2530" t="n">
        <v>19</v>
      </c>
      <c r="D2530" t="n">
        <v>5</v>
      </c>
      <c r="E2530" t="s">
        <v>2529</v>
      </c>
      <c r="F2530" t="s"/>
      <c r="G2530" t="s"/>
      <c r="H2530" t="s"/>
      <c r="I2530" t="s"/>
      <c r="J2530" t="n">
        <v>-0.5106000000000001</v>
      </c>
      <c r="K2530" t="n">
        <v>0.171</v>
      </c>
      <c r="L2530" t="n">
        <v>0.829</v>
      </c>
      <c r="M2530" t="n">
        <v>0</v>
      </c>
    </row>
    <row r="2531" spans="1:13">
      <c r="A2531" s="1">
        <f>HYPERLINK("http://www.twitter.com/NathanBLawrence/status/990350152295636992", "990350152295636992")</f>
        <v/>
      </c>
      <c r="B2531" s="2" t="n">
        <v>43218.91724537037</v>
      </c>
      <c r="C2531" t="n">
        <v>0</v>
      </c>
      <c r="D2531" t="n">
        <v>6</v>
      </c>
      <c r="E2531" t="s">
        <v>2539</v>
      </c>
      <c r="F2531" t="s"/>
      <c r="G2531" t="s"/>
      <c r="H2531" t="s"/>
      <c r="I2531" t="s"/>
      <c r="J2531" t="n">
        <v>-0.296</v>
      </c>
      <c r="K2531" t="n">
        <v>0.192</v>
      </c>
      <c r="L2531" t="n">
        <v>0.714</v>
      </c>
      <c r="M2531" t="n">
        <v>0.094</v>
      </c>
    </row>
    <row r="2532" spans="1:13">
      <c r="A2532" s="1">
        <f>HYPERLINK("http://www.twitter.com/NathanBLawrence/status/990350053444272129", "990350053444272129")</f>
        <v/>
      </c>
      <c r="B2532" s="2" t="n">
        <v>43218.91697916666</v>
      </c>
      <c r="C2532" t="n">
        <v>0</v>
      </c>
      <c r="D2532" t="n">
        <v>7</v>
      </c>
      <c r="E2532" t="s">
        <v>2540</v>
      </c>
      <c r="F2532">
        <f>HYPERLINK("http://pbs.twimg.com/media/Db5jjsOU0AEDepg.jpg", "http://pbs.twimg.com/media/Db5jjsOU0AEDepg.jpg")</f>
        <v/>
      </c>
      <c r="G2532" t="s"/>
      <c r="H2532" t="s"/>
      <c r="I2532" t="s"/>
      <c r="J2532" t="n">
        <v>0</v>
      </c>
      <c r="K2532" t="n">
        <v>0</v>
      </c>
      <c r="L2532" t="n">
        <v>1</v>
      </c>
      <c r="M2532" t="n">
        <v>0</v>
      </c>
    </row>
    <row r="2533" spans="1:13">
      <c r="A2533" s="1">
        <f>HYPERLINK("http://www.twitter.com/NathanBLawrence/status/990349839245299712", "990349839245299712")</f>
        <v/>
      </c>
      <c r="B2533" s="2" t="n">
        <v>43218.91638888889</v>
      </c>
      <c r="C2533" t="n">
        <v>0</v>
      </c>
      <c r="D2533" t="n">
        <v>101</v>
      </c>
      <c r="E2533" t="s">
        <v>2541</v>
      </c>
      <c r="F2533" t="s"/>
      <c r="G2533" t="s"/>
      <c r="H2533" t="s"/>
      <c r="I2533" t="s"/>
      <c r="J2533" t="n">
        <v>0.2732</v>
      </c>
      <c r="K2533" t="n">
        <v>0</v>
      </c>
      <c r="L2533" t="n">
        <v>0.916</v>
      </c>
      <c r="M2533" t="n">
        <v>0.08400000000000001</v>
      </c>
    </row>
    <row r="2534" spans="1:13">
      <c r="A2534" s="1">
        <f>HYPERLINK("http://www.twitter.com/NathanBLawrence/status/990349763999510533", "990349763999510533")</f>
        <v/>
      </c>
      <c r="B2534" s="2" t="n">
        <v>43218.91618055556</v>
      </c>
      <c r="C2534" t="n">
        <v>18</v>
      </c>
      <c r="D2534" t="n">
        <v>9</v>
      </c>
      <c r="E2534" t="s">
        <v>2542</v>
      </c>
      <c r="F2534" t="s"/>
      <c r="G2534" t="s"/>
      <c r="H2534" t="s"/>
      <c r="I2534" t="s"/>
      <c r="J2534" t="n">
        <v>0.2023</v>
      </c>
      <c r="K2534" t="n">
        <v>0.046</v>
      </c>
      <c r="L2534" t="n">
        <v>0.887</v>
      </c>
      <c r="M2534" t="n">
        <v>0.067</v>
      </c>
    </row>
    <row r="2535" spans="1:13">
      <c r="A2535" s="1">
        <f>HYPERLINK("http://www.twitter.com/NathanBLawrence/status/990347446470365184", "990347446470365184")</f>
        <v/>
      </c>
      <c r="B2535" s="2" t="n">
        <v>43218.9097800926</v>
      </c>
      <c r="C2535" t="n">
        <v>1</v>
      </c>
      <c r="D2535" t="n">
        <v>1</v>
      </c>
      <c r="E2535" t="s">
        <v>2543</v>
      </c>
      <c r="F2535" t="s"/>
      <c r="G2535" t="s"/>
      <c r="H2535" t="s"/>
      <c r="I2535" t="s"/>
      <c r="J2535" t="n">
        <v>0</v>
      </c>
      <c r="K2535" t="n">
        <v>0</v>
      </c>
      <c r="L2535" t="n">
        <v>1</v>
      </c>
      <c r="M2535" t="n">
        <v>0</v>
      </c>
    </row>
    <row r="2536" spans="1:13">
      <c r="A2536" s="1">
        <f>HYPERLINK("http://www.twitter.com/NathanBLawrence/status/990346681660030976", "990346681660030976")</f>
        <v/>
      </c>
      <c r="B2536" s="2" t="n">
        <v>43218.90767361111</v>
      </c>
      <c r="C2536" t="n">
        <v>5</v>
      </c>
      <c r="D2536" t="n">
        <v>0</v>
      </c>
      <c r="E2536" t="s">
        <v>2544</v>
      </c>
      <c r="F2536" t="s"/>
      <c r="G2536" t="s"/>
      <c r="H2536" t="s"/>
      <c r="I2536" t="s"/>
      <c r="J2536" t="n">
        <v>-0.4451</v>
      </c>
      <c r="K2536" t="n">
        <v>0.422</v>
      </c>
      <c r="L2536" t="n">
        <v>0.578</v>
      </c>
      <c r="M2536" t="n">
        <v>0</v>
      </c>
    </row>
    <row r="2537" spans="1:13">
      <c r="A2537" s="1">
        <f>HYPERLINK("http://www.twitter.com/NathanBLawrence/status/990346279468204032", "990346279468204032")</f>
        <v/>
      </c>
      <c r="B2537" s="2" t="n">
        <v>43218.9065625</v>
      </c>
      <c r="C2537" t="n">
        <v>0</v>
      </c>
      <c r="D2537" t="n">
        <v>231</v>
      </c>
      <c r="E2537" t="s">
        <v>2545</v>
      </c>
      <c r="F2537">
        <f>HYPERLINK("http://pbs.twimg.com/media/Db5eASwV0AAFYzs.jpg", "http://pbs.twimg.com/media/Db5eASwV0AAFYzs.jpg")</f>
        <v/>
      </c>
      <c r="G2537" t="s"/>
      <c r="H2537" t="s"/>
      <c r="I2537" t="s"/>
      <c r="J2537" t="n">
        <v>0</v>
      </c>
      <c r="K2537" t="n">
        <v>0</v>
      </c>
      <c r="L2537" t="n">
        <v>1</v>
      </c>
      <c r="M2537" t="n">
        <v>0</v>
      </c>
    </row>
    <row r="2538" spans="1:13">
      <c r="A2538" s="1">
        <f>HYPERLINK("http://www.twitter.com/NathanBLawrence/status/990346186077827072", "990346186077827072")</f>
        <v/>
      </c>
      <c r="B2538" s="2" t="n">
        <v>43218.90630787037</v>
      </c>
      <c r="C2538" t="n">
        <v>7</v>
      </c>
      <c r="D2538" t="n">
        <v>1</v>
      </c>
      <c r="E2538" t="s">
        <v>2546</v>
      </c>
      <c r="F2538" t="s"/>
      <c r="G2538" t="s"/>
      <c r="H2538" t="s"/>
      <c r="I2538" t="s"/>
      <c r="J2538" t="n">
        <v>0.536</v>
      </c>
      <c r="K2538" t="n">
        <v>0.184</v>
      </c>
      <c r="L2538" t="n">
        <v>0.456</v>
      </c>
      <c r="M2538" t="n">
        <v>0.36</v>
      </c>
    </row>
    <row r="2539" spans="1:13">
      <c r="A2539" s="1">
        <f>HYPERLINK("http://www.twitter.com/NathanBLawrence/status/990346057690173440", "990346057690173440")</f>
        <v/>
      </c>
      <c r="B2539" s="2" t="n">
        <v>43218.90594907408</v>
      </c>
      <c r="C2539" t="n">
        <v>0</v>
      </c>
      <c r="D2539" t="n">
        <v>413</v>
      </c>
      <c r="E2539" t="s">
        <v>2547</v>
      </c>
      <c r="F2539" t="s"/>
      <c r="G2539" t="s"/>
      <c r="H2539" t="s"/>
      <c r="I2539" t="s"/>
      <c r="J2539" t="n">
        <v>-0.6705</v>
      </c>
      <c r="K2539" t="n">
        <v>0.208</v>
      </c>
      <c r="L2539" t="n">
        <v>0.792</v>
      </c>
      <c r="M2539" t="n">
        <v>0</v>
      </c>
    </row>
    <row r="2540" spans="1:13">
      <c r="A2540" s="1">
        <f>HYPERLINK("http://www.twitter.com/NathanBLawrence/status/990345839942877184", "990345839942877184")</f>
        <v/>
      </c>
      <c r="B2540" s="2" t="n">
        <v>43218.90534722222</v>
      </c>
      <c r="C2540" t="n">
        <v>0</v>
      </c>
      <c r="D2540" t="n">
        <v>261</v>
      </c>
      <c r="E2540" t="s">
        <v>2548</v>
      </c>
      <c r="F2540">
        <f>HYPERLINK("http://pbs.twimg.com/media/Db4pn-PXcAAfcjs.jpg", "http://pbs.twimg.com/media/Db4pn-PXcAAfcjs.jpg")</f>
        <v/>
      </c>
      <c r="G2540" t="s"/>
      <c r="H2540" t="s"/>
      <c r="I2540" t="s"/>
      <c r="J2540" t="n">
        <v>-0.743</v>
      </c>
      <c r="K2540" t="n">
        <v>0.27</v>
      </c>
      <c r="L2540" t="n">
        <v>0.73</v>
      </c>
      <c r="M2540" t="n">
        <v>0</v>
      </c>
    </row>
    <row r="2541" spans="1:13">
      <c r="A2541" s="1">
        <f>HYPERLINK("http://www.twitter.com/NathanBLawrence/status/990345791062474752", "990345791062474752")</f>
        <v/>
      </c>
      <c r="B2541" s="2" t="n">
        <v>43218.90520833333</v>
      </c>
      <c r="C2541" t="n">
        <v>8</v>
      </c>
      <c r="D2541" t="n">
        <v>2</v>
      </c>
      <c r="E2541" t="s">
        <v>2549</v>
      </c>
      <c r="F2541" t="s"/>
      <c r="G2541" t="s"/>
      <c r="H2541" t="s"/>
      <c r="I2541" t="s"/>
      <c r="J2541" t="n">
        <v>0.6062</v>
      </c>
      <c r="K2541" t="n">
        <v>0</v>
      </c>
      <c r="L2541" t="n">
        <v>0.853</v>
      </c>
      <c r="M2541" t="n">
        <v>0.147</v>
      </c>
    </row>
    <row r="2542" spans="1:13">
      <c r="A2542" s="1">
        <f>HYPERLINK("http://www.twitter.com/NathanBLawrence/status/990345548942069761", "990345548942069761")</f>
        <v/>
      </c>
      <c r="B2542" s="2" t="n">
        <v>43218.90454861111</v>
      </c>
      <c r="C2542" t="n">
        <v>8</v>
      </c>
      <c r="D2542" t="n">
        <v>3</v>
      </c>
      <c r="E2542" t="s">
        <v>2550</v>
      </c>
      <c r="F2542" t="s"/>
      <c r="G2542" t="s"/>
      <c r="H2542" t="s"/>
      <c r="I2542" t="s"/>
      <c r="J2542" t="n">
        <v>0.9437</v>
      </c>
      <c r="K2542" t="n">
        <v>0.027</v>
      </c>
      <c r="L2542" t="n">
        <v>0.6919999999999999</v>
      </c>
      <c r="M2542" t="n">
        <v>0.281</v>
      </c>
    </row>
    <row r="2543" spans="1:13">
      <c r="A2543" s="1">
        <f>HYPERLINK("http://www.twitter.com/NathanBLawrence/status/990344717261979648", "990344717261979648")</f>
        <v/>
      </c>
      <c r="B2543" s="2" t="n">
        <v>43218.90224537037</v>
      </c>
      <c r="C2543" t="n">
        <v>4</v>
      </c>
      <c r="D2543" t="n">
        <v>3</v>
      </c>
      <c r="E2543" t="s">
        <v>2533</v>
      </c>
      <c r="F2543" t="s"/>
      <c r="G2543" t="s"/>
      <c r="H2543" t="s"/>
      <c r="I2543" t="s"/>
      <c r="J2543" t="n">
        <v>0</v>
      </c>
      <c r="K2543" t="n">
        <v>0</v>
      </c>
      <c r="L2543" t="n">
        <v>1</v>
      </c>
      <c r="M2543" t="n">
        <v>0</v>
      </c>
    </row>
    <row r="2544" spans="1:13">
      <c r="A2544" s="1">
        <f>HYPERLINK("http://www.twitter.com/NathanBLawrence/status/990344559774191617", "990344559774191617")</f>
        <v/>
      </c>
      <c r="B2544" s="2" t="n">
        <v>43218.90181712963</v>
      </c>
      <c r="C2544" t="n">
        <v>4</v>
      </c>
      <c r="D2544" t="n">
        <v>1</v>
      </c>
      <c r="E2544" t="s">
        <v>2551</v>
      </c>
      <c r="F2544" t="s"/>
      <c r="G2544" t="s"/>
      <c r="H2544" t="s"/>
      <c r="I2544" t="s"/>
      <c r="J2544" t="n">
        <v>0.7003</v>
      </c>
      <c r="K2544" t="n">
        <v>0</v>
      </c>
      <c r="L2544" t="n">
        <v>0.58</v>
      </c>
      <c r="M2544" t="n">
        <v>0.42</v>
      </c>
    </row>
    <row r="2545" spans="1:13">
      <c r="A2545" s="1">
        <f>HYPERLINK("http://www.twitter.com/NathanBLawrence/status/990344219549057024", "990344219549057024")</f>
        <v/>
      </c>
      <c r="B2545" s="2" t="n">
        <v>43218.90087962963</v>
      </c>
      <c r="C2545" t="n">
        <v>4</v>
      </c>
      <c r="D2545" t="n">
        <v>0</v>
      </c>
      <c r="E2545" t="s">
        <v>2552</v>
      </c>
      <c r="F2545" t="s"/>
      <c r="G2545" t="s"/>
      <c r="H2545" t="s"/>
      <c r="I2545" t="s"/>
      <c r="J2545" t="n">
        <v>0.7865</v>
      </c>
      <c r="K2545" t="n">
        <v>0.093</v>
      </c>
      <c r="L2545" t="n">
        <v>0.6889999999999999</v>
      </c>
      <c r="M2545" t="n">
        <v>0.218</v>
      </c>
    </row>
    <row r="2546" spans="1:13">
      <c r="A2546" s="1">
        <f>HYPERLINK("http://www.twitter.com/NathanBLawrence/status/990343566676250625", "990343566676250625")</f>
        <v/>
      </c>
      <c r="B2546" s="2" t="n">
        <v>43218.89907407408</v>
      </c>
      <c r="C2546" t="n">
        <v>16</v>
      </c>
      <c r="D2546" t="n">
        <v>7</v>
      </c>
      <c r="E2546" t="s">
        <v>2553</v>
      </c>
      <c r="F2546" t="s"/>
      <c r="G2546" t="s"/>
      <c r="H2546" t="s"/>
      <c r="I2546" t="s"/>
      <c r="J2546" t="n">
        <v>0.128</v>
      </c>
      <c r="K2546" t="n">
        <v>0.042</v>
      </c>
      <c r="L2546" t="n">
        <v>0.905</v>
      </c>
      <c r="M2546" t="n">
        <v>0.052</v>
      </c>
    </row>
    <row r="2547" spans="1:13">
      <c r="A2547" s="1">
        <f>HYPERLINK("http://www.twitter.com/NathanBLawrence/status/990312297984753665", "990312297984753665")</f>
        <v/>
      </c>
      <c r="B2547" s="2" t="n">
        <v>43218.81278935185</v>
      </c>
      <c r="C2547" t="n">
        <v>7</v>
      </c>
      <c r="D2547" t="n">
        <v>2</v>
      </c>
      <c r="E2547" t="s">
        <v>2554</v>
      </c>
      <c r="F2547" t="s"/>
      <c r="G2547" t="s"/>
      <c r="H2547" t="s"/>
      <c r="I2547" t="s"/>
      <c r="J2547" t="n">
        <v>-0.8934</v>
      </c>
      <c r="K2547" t="n">
        <v>0.299</v>
      </c>
      <c r="L2547" t="n">
        <v>0.642</v>
      </c>
      <c r="M2547" t="n">
        <v>0.059</v>
      </c>
    </row>
    <row r="2548" spans="1:13">
      <c r="A2548" s="1">
        <f>HYPERLINK("http://www.twitter.com/NathanBLawrence/status/990308934543015936", "990308934543015936")</f>
        <v/>
      </c>
      <c r="B2548" s="2" t="n">
        <v>43218.80350694444</v>
      </c>
      <c r="C2548" t="n">
        <v>3</v>
      </c>
      <c r="D2548" t="n">
        <v>1</v>
      </c>
      <c r="E2548" t="s">
        <v>2555</v>
      </c>
      <c r="F2548" t="s"/>
      <c r="G2548" t="s"/>
      <c r="H2548" t="s"/>
      <c r="I2548" t="s"/>
      <c r="J2548" t="n">
        <v>-0.6114000000000001</v>
      </c>
      <c r="K2548" t="n">
        <v>0.182</v>
      </c>
      <c r="L2548" t="n">
        <v>0.8179999999999999</v>
      </c>
      <c r="M2548" t="n">
        <v>0</v>
      </c>
    </row>
    <row r="2549" spans="1:13">
      <c r="A2549" s="1">
        <f>HYPERLINK("http://www.twitter.com/NathanBLawrence/status/990308699813036032", "990308699813036032")</f>
        <v/>
      </c>
      <c r="B2549" s="2" t="n">
        <v>43218.8028587963</v>
      </c>
      <c r="C2549" t="n">
        <v>9</v>
      </c>
      <c r="D2549" t="n">
        <v>5</v>
      </c>
      <c r="E2549" t="s">
        <v>2556</v>
      </c>
      <c r="F2549" t="s"/>
      <c r="G2549" t="s"/>
      <c r="H2549" t="s"/>
      <c r="I2549" t="s"/>
      <c r="J2549" t="n">
        <v>-0.2924</v>
      </c>
      <c r="K2549" t="n">
        <v>0.153</v>
      </c>
      <c r="L2549" t="n">
        <v>0.746</v>
      </c>
      <c r="M2549" t="n">
        <v>0.101</v>
      </c>
    </row>
    <row r="2550" spans="1:13">
      <c r="A2550" s="1">
        <f>HYPERLINK("http://www.twitter.com/NathanBLawrence/status/990276288194625536", "990276288194625536")</f>
        <v/>
      </c>
      <c r="B2550" s="2" t="n">
        <v>43218.71342592593</v>
      </c>
      <c r="C2550" t="n">
        <v>5</v>
      </c>
      <c r="D2550" t="n">
        <v>1</v>
      </c>
      <c r="E2550" t="s">
        <v>2557</v>
      </c>
      <c r="F2550" t="s"/>
      <c r="G2550" t="s"/>
      <c r="H2550" t="s"/>
      <c r="I2550" t="s"/>
      <c r="J2550" t="n">
        <v>0.7003</v>
      </c>
      <c r="K2550" t="n">
        <v>0</v>
      </c>
      <c r="L2550" t="n">
        <v>0.766</v>
      </c>
      <c r="M2550" t="n">
        <v>0.234</v>
      </c>
    </row>
    <row r="2551" spans="1:13">
      <c r="A2551" s="1">
        <f>HYPERLINK("http://www.twitter.com/NathanBLawrence/status/990276138458009600", "990276138458009600")</f>
        <v/>
      </c>
      <c r="B2551" s="2" t="n">
        <v>43218.71300925926</v>
      </c>
      <c r="C2551" t="n">
        <v>0</v>
      </c>
      <c r="D2551" t="n">
        <v>22788</v>
      </c>
      <c r="E2551" t="s">
        <v>2558</v>
      </c>
      <c r="F2551" t="s"/>
      <c r="G2551" t="s"/>
      <c r="H2551" t="s"/>
      <c r="I2551" t="s"/>
      <c r="J2551" t="n">
        <v>0.2342</v>
      </c>
      <c r="K2551" t="n">
        <v>0.103</v>
      </c>
      <c r="L2551" t="n">
        <v>0.763</v>
      </c>
      <c r="M2551" t="n">
        <v>0.134</v>
      </c>
    </row>
    <row r="2552" spans="1:13">
      <c r="A2552" s="1">
        <f>HYPERLINK("http://www.twitter.com/NathanBLawrence/status/990276037253644288", "990276037253644288")</f>
        <v/>
      </c>
      <c r="B2552" s="2" t="n">
        <v>43218.71273148148</v>
      </c>
      <c r="C2552" t="n">
        <v>0</v>
      </c>
      <c r="D2552" t="n">
        <v>6</v>
      </c>
      <c r="E2552" t="s">
        <v>2559</v>
      </c>
      <c r="F2552" t="s"/>
      <c r="G2552" t="s"/>
      <c r="H2552" t="s"/>
      <c r="I2552" t="s"/>
      <c r="J2552" t="n">
        <v>-0.25</v>
      </c>
      <c r="K2552" t="n">
        <v>0.095</v>
      </c>
      <c r="L2552" t="n">
        <v>0.905</v>
      </c>
      <c r="M2552" t="n">
        <v>0</v>
      </c>
    </row>
    <row r="2553" spans="1:13">
      <c r="A2553" s="1">
        <f>HYPERLINK("http://www.twitter.com/NathanBLawrence/status/990268426902953984", "990268426902953984")</f>
        <v/>
      </c>
      <c r="B2553" s="2" t="n">
        <v>43218.69172453704</v>
      </c>
      <c r="C2553" t="n">
        <v>7</v>
      </c>
      <c r="D2553" t="n">
        <v>4</v>
      </c>
      <c r="E2553" t="s">
        <v>2560</v>
      </c>
      <c r="F2553" t="s"/>
      <c r="G2553" t="s"/>
      <c r="H2553" t="s"/>
      <c r="I2553" t="s"/>
      <c r="J2553" t="n">
        <v>0.34</v>
      </c>
      <c r="K2553" t="n">
        <v>0.119</v>
      </c>
      <c r="L2553" t="n">
        <v>0.75</v>
      </c>
      <c r="M2553" t="n">
        <v>0.131</v>
      </c>
    </row>
    <row r="2554" spans="1:13">
      <c r="A2554" s="1">
        <f>HYPERLINK("http://www.twitter.com/NathanBLawrence/status/990268315544113152", "990268315544113152")</f>
        <v/>
      </c>
      <c r="B2554" s="2" t="n">
        <v>43218.69142361111</v>
      </c>
      <c r="C2554" t="n">
        <v>5</v>
      </c>
      <c r="D2554" t="n">
        <v>0</v>
      </c>
      <c r="E2554" t="s">
        <v>2561</v>
      </c>
      <c r="F2554" t="s"/>
      <c r="G2554" t="s"/>
      <c r="H2554" t="s"/>
      <c r="I2554" t="s"/>
      <c r="J2554" t="n">
        <v>0.8176</v>
      </c>
      <c r="K2554" t="n">
        <v>0</v>
      </c>
      <c r="L2554" t="n">
        <v>0.261</v>
      </c>
      <c r="M2554" t="n">
        <v>0.739</v>
      </c>
    </row>
    <row r="2555" spans="1:13">
      <c r="A2555" s="1">
        <f>HYPERLINK("http://www.twitter.com/NathanBLawrence/status/990268114561454082", "990268114561454082")</f>
        <v/>
      </c>
      <c r="B2555" s="2" t="n">
        <v>43218.69086805556</v>
      </c>
      <c r="C2555" t="n">
        <v>2</v>
      </c>
      <c r="D2555" t="n">
        <v>1</v>
      </c>
      <c r="E2555" t="s">
        <v>2562</v>
      </c>
      <c r="F2555" t="s"/>
      <c r="G2555" t="s"/>
      <c r="H2555" t="s"/>
      <c r="I2555" t="s"/>
      <c r="J2555" t="n">
        <v>-0.5983000000000001</v>
      </c>
      <c r="K2555" t="n">
        <v>0.214</v>
      </c>
      <c r="L2555" t="n">
        <v>0.786</v>
      </c>
      <c r="M2555" t="n">
        <v>0</v>
      </c>
    </row>
    <row r="2556" spans="1:13">
      <c r="A2556" s="1">
        <f>HYPERLINK("http://www.twitter.com/NathanBLawrence/status/990267937654169600", "990267937654169600")</f>
        <v/>
      </c>
      <c r="B2556" s="2" t="n">
        <v>43218.69038194444</v>
      </c>
      <c r="C2556" t="n">
        <v>3</v>
      </c>
      <c r="D2556" t="n">
        <v>1</v>
      </c>
      <c r="E2556" t="s">
        <v>2563</v>
      </c>
      <c r="F2556" t="s"/>
      <c r="G2556" t="s"/>
      <c r="H2556" t="s"/>
      <c r="I2556" t="s"/>
      <c r="J2556" t="n">
        <v>-0.5106000000000001</v>
      </c>
      <c r="K2556" t="n">
        <v>0.202</v>
      </c>
      <c r="L2556" t="n">
        <v>0.798</v>
      </c>
      <c r="M2556" t="n">
        <v>0</v>
      </c>
    </row>
    <row r="2557" spans="1:13">
      <c r="A2557" s="1">
        <f>HYPERLINK("http://www.twitter.com/NathanBLawrence/status/990267628433297410", "990267628433297410")</f>
        <v/>
      </c>
      <c r="B2557" s="2" t="n">
        <v>43218.68952546296</v>
      </c>
      <c r="C2557" t="n">
        <v>27</v>
      </c>
      <c r="D2557" t="n">
        <v>15</v>
      </c>
      <c r="E2557" t="s">
        <v>2564</v>
      </c>
      <c r="F2557" t="s"/>
      <c r="G2557" t="s"/>
      <c r="H2557" t="s"/>
      <c r="I2557" t="s"/>
      <c r="J2557" t="n">
        <v>0.6696</v>
      </c>
      <c r="K2557" t="n">
        <v>0</v>
      </c>
      <c r="L2557" t="n">
        <v>0.766</v>
      </c>
      <c r="M2557" t="n">
        <v>0.234</v>
      </c>
    </row>
    <row r="2558" spans="1:13">
      <c r="A2558" s="1">
        <f>HYPERLINK("http://www.twitter.com/NathanBLawrence/status/990266956375732225", "990266956375732225")</f>
        <v/>
      </c>
      <c r="B2558" s="2" t="n">
        <v>43218.68767361111</v>
      </c>
      <c r="C2558" t="n">
        <v>0</v>
      </c>
      <c r="D2558" t="n">
        <v>28</v>
      </c>
      <c r="E2558" t="s">
        <v>2565</v>
      </c>
      <c r="F2558" t="s"/>
      <c r="G2558" t="s"/>
      <c r="H2558" t="s"/>
      <c r="I2558" t="s"/>
      <c r="J2558" t="n">
        <v>-0.2732</v>
      </c>
      <c r="K2558" t="n">
        <v>0.139</v>
      </c>
      <c r="L2558" t="n">
        <v>0.861</v>
      </c>
      <c r="M2558" t="n">
        <v>0</v>
      </c>
    </row>
    <row r="2559" spans="1:13">
      <c r="A2559" s="1">
        <f>HYPERLINK("http://www.twitter.com/NathanBLawrence/status/990266879502569472", "990266879502569472")</f>
        <v/>
      </c>
      <c r="B2559" s="2" t="n">
        <v>43218.6874537037</v>
      </c>
      <c r="C2559" t="n">
        <v>0</v>
      </c>
      <c r="D2559" t="n">
        <v>2754</v>
      </c>
      <c r="E2559" t="s">
        <v>2566</v>
      </c>
      <c r="F2559" t="s"/>
      <c r="G2559" t="s"/>
      <c r="H2559" t="s"/>
      <c r="I2559" t="s"/>
      <c r="J2559" t="n">
        <v>0</v>
      </c>
      <c r="K2559" t="n">
        <v>0</v>
      </c>
      <c r="L2559" t="n">
        <v>1</v>
      </c>
      <c r="M2559" t="n">
        <v>0</v>
      </c>
    </row>
    <row r="2560" spans="1:13">
      <c r="A2560" s="1">
        <f>HYPERLINK("http://www.twitter.com/NathanBLawrence/status/990266822329909248", "990266822329909248")</f>
        <v/>
      </c>
      <c r="B2560" s="2" t="n">
        <v>43218.68730324074</v>
      </c>
      <c r="C2560" t="n">
        <v>3</v>
      </c>
      <c r="D2560" t="n">
        <v>0</v>
      </c>
      <c r="E2560" t="s">
        <v>2567</v>
      </c>
      <c r="F2560" t="s"/>
      <c r="G2560" t="s"/>
      <c r="H2560" t="s"/>
      <c r="I2560" t="s"/>
      <c r="J2560" t="n">
        <v>-0.4199</v>
      </c>
      <c r="K2560" t="n">
        <v>0.076</v>
      </c>
      <c r="L2560" t="n">
        <v>0.924</v>
      </c>
      <c r="M2560" t="n">
        <v>0</v>
      </c>
    </row>
    <row r="2561" spans="1:13">
      <c r="A2561" s="1">
        <f>HYPERLINK("http://www.twitter.com/NathanBLawrence/status/990266380053233664", "990266380053233664")</f>
        <v/>
      </c>
      <c r="B2561" s="2" t="n">
        <v>43218.68607638889</v>
      </c>
      <c r="C2561" t="n">
        <v>3</v>
      </c>
      <c r="D2561" t="n">
        <v>3</v>
      </c>
      <c r="E2561" t="s">
        <v>2568</v>
      </c>
      <c r="F2561" t="s"/>
      <c r="G2561" t="s"/>
      <c r="H2561" t="s"/>
      <c r="I2561" t="s"/>
      <c r="J2561" t="n">
        <v>0</v>
      </c>
      <c r="K2561" t="n">
        <v>0</v>
      </c>
      <c r="L2561" t="n">
        <v>1</v>
      </c>
      <c r="M2561" t="n">
        <v>0</v>
      </c>
    </row>
    <row r="2562" spans="1:13">
      <c r="A2562" s="1">
        <f>HYPERLINK("http://www.twitter.com/NathanBLawrence/status/990266202554417152", "990266202554417152")</f>
        <v/>
      </c>
      <c r="B2562" s="2" t="n">
        <v>43218.68559027778</v>
      </c>
      <c r="C2562" t="n">
        <v>5</v>
      </c>
      <c r="D2562" t="n">
        <v>3</v>
      </c>
      <c r="E2562" t="s">
        <v>2569</v>
      </c>
      <c r="F2562" t="s"/>
      <c r="G2562" t="s"/>
      <c r="H2562" t="s"/>
      <c r="I2562" t="s"/>
      <c r="J2562" t="n">
        <v>-0.516</v>
      </c>
      <c r="K2562" t="n">
        <v>0.344</v>
      </c>
      <c r="L2562" t="n">
        <v>0.469</v>
      </c>
      <c r="M2562" t="n">
        <v>0.188</v>
      </c>
    </row>
    <row r="2563" spans="1:13">
      <c r="A2563" s="1">
        <f>HYPERLINK("http://www.twitter.com/NathanBLawrence/status/990266056676536320", "990266056676536320")</f>
        <v/>
      </c>
      <c r="B2563" s="2" t="n">
        <v>43218.68518518518</v>
      </c>
      <c r="C2563" t="n">
        <v>48</v>
      </c>
      <c r="D2563" t="n">
        <v>34</v>
      </c>
      <c r="E2563" t="s">
        <v>2570</v>
      </c>
      <c r="F2563">
        <f>HYPERLINK("http://pbs.twimg.com/media/Db4hr8IVQAAV7YA.jpg", "http://pbs.twimg.com/media/Db4hr8IVQAAV7YA.jpg")</f>
        <v/>
      </c>
      <c r="G2563" t="s"/>
      <c r="H2563" t="s"/>
      <c r="I2563" t="s"/>
      <c r="J2563" t="n">
        <v>-0.5859</v>
      </c>
      <c r="K2563" t="n">
        <v>0.226</v>
      </c>
      <c r="L2563" t="n">
        <v>0.774</v>
      </c>
      <c r="M2563" t="n">
        <v>0</v>
      </c>
    </row>
    <row r="2564" spans="1:13">
      <c r="A2564" s="1">
        <f>HYPERLINK("http://www.twitter.com/NathanBLawrence/status/990265022638010368", "990265022638010368")</f>
        <v/>
      </c>
      <c r="B2564" s="2" t="n">
        <v>43218.68233796296</v>
      </c>
      <c r="C2564" t="n">
        <v>6</v>
      </c>
      <c r="D2564" t="n">
        <v>3</v>
      </c>
      <c r="E2564" t="s">
        <v>2571</v>
      </c>
      <c r="F2564" t="s"/>
      <c r="G2564" t="s"/>
      <c r="H2564" t="s"/>
      <c r="I2564" t="s"/>
      <c r="J2564" t="n">
        <v>-0.7281</v>
      </c>
      <c r="K2564" t="n">
        <v>0.173</v>
      </c>
      <c r="L2564" t="n">
        <v>0.766</v>
      </c>
      <c r="M2564" t="n">
        <v>0.061</v>
      </c>
    </row>
    <row r="2565" spans="1:13">
      <c r="A2565" s="1">
        <f>HYPERLINK("http://www.twitter.com/NathanBLawrence/status/990262060918362112", "990262060918362112")</f>
        <v/>
      </c>
      <c r="B2565" s="2" t="n">
        <v>43218.67416666666</v>
      </c>
      <c r="C2565" t="n">
        <v>0</v>
      </c>
      <c r="D2565" t="n">
        <v>6</v>
      </c>
      <c r="E2565" t="s">
        <v>2572</v>
      </c>
      <c r="F2565" t="s"/>
      <c r="G2565" t="s"/>
      <c r="H2565" t="s"/>
      <c r="I2565" t="s"/>
      <c r="J2565" t="n">
        <v>-0.7475000000000001</v>
      </c>
      <c r="K2565" t="n">
        <v>0.328</v>
      </c>
      <c r="L2565" t="n">
        <v>0.672</v>
      </c>
      <c r="M2565" t="n">
        <v>0</v>
      </c>
    </row>
    <row r="2566" spans="1:13">
      <c r="A2566" s="1">
        <f>HYPERLINK("http://www.twitter.com/NathanBLawrence/status/990259009692155905", "990259009692155905")</f>
        <v/>
      </c>
      <c r="B2566" s="2" t="n">
        <v>43218.66574074074</v>
      </c>
      <c r="C2566" t="n">
        <v>6</v>
      </c>
      <c r="D2566" t="n">
        <v>2</v>
      </c>
      <c r="E2566" t="s">
        <v>2573</v>
      </c>
      <c r="F2566" t="s"/>
      <c r="G2566" t="s"/>
      <c r="H2566" t="s"/>
      <c r="I2566" t="s"/>
      <c r="J2566" t="n">
        <v>-0.3595</v>
      </c>
      <c r="K2566" t="n">
        <v>0.128</v>
      </c>
      <c r="L2566" t="n">
        <v>0.872</v>
      </c>
      <c r="M2566" t="n">
        <v>0</v>
      </c>
    </row>
    <row r="2567" spans="1:13">
      <c r="A2567" s="1">
        <f>HYPERLINK("http://www.twitter.com/NathanBLawrence/status/990258763021017088", "990258763021017088")</f>
        <v/>
      </c>
      <c r="B2567" s="2" t="n">
        <v>43218.66505787037</v>
      </c>
      <c r="C2567" t="n">
        <v>5</v>
      </c>
      <c r="D2567" t="n">
        <v>2</v>
      </c>
      <c r="E2567" t="s">
        <v>2574</v>
      </c>
      <c r="F2567" t="s"/>
      <c r="G2567" t="s"/>
      <c r="H2567" t="s"/>
      <c r="I2567" t="s"/>
      <c r="J2567" t="n">
        <v>0</v>
      </c>
      <c r="K2567" t="n">
        <v>0</v>
      </c>
      <c r="L2567" t="n">
        <v>1</v>
      </c>
      <c r="M2567" t="n">
        <v>0</v>
      </c>
    </row>
    <row r="2568" spans="1:13">
      <c r="A2568" s="1">
        <f>HYPERLINK("http://www.twitter.com/NathanBLawrence/status/990258204402593792", "990258204402593792")</f>
        <v/>
      </c>
      <c r="B2568" s="2" t="n">
        <v>43218.66351851852</v>
      </c>
      <c r="C2568" t="n">
        <v>13</v>
      </c>
      <c r="D2568" t="n">
        <v>4</v>
      </c>
      <c r="E2568" t="s">
        <v>2575</v>
      </c>
      <c r="F2568" t="s"/>
      <c r="G2568" t="s"/>
      <c r="H2568" t="s"/>
      <c r="I2568" t="s"/>
      <c r="J2568" t="n">
        <v>0.4021</v>
      </c>
      <c r="K2568" t="n">
        <v>0.046</v>
      </c>
      <c r="L2568" t="n">
        <v>0.871</v>
      </c>
      <c r="M2568" t="n">
        <v>0.083</v>
      </c>
    </row>
    <row r="2569" spans="1:13">
      <c r="A2569" s="1">
        <f>HYPERLINK("http://www.twitter.com/NathanBLawrence/status/990257146590781441", "990257146590781441")</f>
        <v/>
      </c>
      <c r="B2569" s="2" t="n">
        <v>43218.66060185185</v>
      </c>
      <c r="C2569" t="n">
        <v>7</v>
      </c>
      <c r="D2569" t="n">
        <v>1</v>
      </c>
      <c r="E2569" t="s">
        <v>2576</v>
      </c>
      <c r="F2569" t="s"/>
      <c r="G2569" t="s"/>
      <c r="H2569" t="s"/>
      <c r="I2569" t="s"/>
      <c r="J2569" t="n">
        <v>-0.7568</v>
      </c>
      <c r="K2569" t="n">
        <v>0.173</v>
      </c>
      <c r="L2569" t="n">
        <v>0.827</v>
      </c>
      <c r="M2569" t="n">
        <v>0</v>
      </c>
    </row>
    <row r="2570" spans="1:13">
      <c r="A2570" s="1">
        <f>HYPERLINK("http://www.twitter.com/NathanBLawrence/status/990256616019709952", "990256616019709952")</f>
        <v/>
      </c>
      <c r="B2570" s="2" t="n">
        <v>43218.65913194444</v>
      </c>
      <c r="C2570" t="n">
        <v>3</v>
      </c>
      <c r="D2570" t="n">
        <v>2</v>
      </c>
      <c r="E2570" t="s">
        <v>2577</v>
      </c>
      <c r="F2570" t="s"/>
      <c r="G2570" t="s"/>
      <c r="H2570" t="s"/>
      <c r="I2570" t="s"/>
      <c r="J2570" t="n">
        <v>-0.3802</v>
      </c>
      <c r="K2570" t="n">
        <v>0.26</v>
      </c>
      <c r="L2570" t="n">
        <v>0.588</v>
      </c>
      <c r="M2570" t="n">
        <v>0.151</v>
      </c>
    </row>
    <row r="2571" spans="1:13">
      <c r="A2571" s="1">
        <f>HYPERLINK("http://www.twitter.com/NathanBLawrence/status/990255934676000773", "990255934676000773")</f>
        <v/>
      </c>
      <c r="B2571" s="2" t="n">
        <v>43218.65725694445</v>
      </c>
      <c r="C2571" t="n">
        <v>11</v>
      </c>
      <c r="D2571" t="n">
        <v>9</v>
      </c>
      <c r="E2571" t="s">
        <v>2578</v>
      </c>
      <c r="F2571" t="s"/>
      <c r="G2571" t="s"/>
      <c r="H2571" t="s"/>
      <c r="I2571" t="s"/>
      <c r="J2571" t="n">
        <v>0.3612</v>
      </c>
      <c r="K2571" t="n">
        <v>0</v>
      </c>
      <c r="L2571" t="n">
        <v>0.872</v>
      </c>
      <c r="M2571" t="n">
        <v>0.128</v>
      </c>
    </row>
    <row r="2572" spans="1:13">
      <c r="A2572" s="1">
        <f>HYPERLINK("http://www.twitter.com/NathanBLawrence/status/990254584714051584", "990254584714051584")</f>
        <v/>
      </c>
      <c r="B2572" s="2" t="n">
        <v>43218.65353009259</v>
      </c>
      <c r="C2572" t="n">
        <v>8</v>
      </c>
      <c r="D2572" t="n">
        <v>4</v>
      </c>
      <c r="E2572" t="s">
        <v>2579</v>
      </c>
      <c r="F2572" t="s"/>
      <c r="G2572" t="s"/>
      <c r="H2572" t="s"/>
      <c r="I2572" t="s"/>
      <c r="J2572" t="n">
        <v>0</v>
      </c>
      <c r="K2572" t="n">
        <v>0</v>
      </c>
      <c r="L2572" t="n">
        <v>1</v>
      </c>
      <c r="M2572" t="n">
        <v>0</v>
      </c>
    </row>
    <row r="2573" spans="1:13">
      <c r="A2573" s="1">
        <f>HYPERLINK("http://www.twitter.com/NathanBLawrence/status/990116971499798529", "990116971499798529")</f>
        <v/>
      </c>
      <c r="B2573" s="2" t="n">
        <v>43218.27379629629</v>
      </c>
      <c r="C2573" t="n">
        <v>0</v>
      </c>
      <c r="D2573" t="n">
        <v>6791</v>
      </c>
      <c r="E2573" t="s">
        <v>2580</v>
      </c>
      <c r="F2573">
        <f>HYPERLINK("http://pbs.twimg.com/media/Db1QYBUWsAEgA5n.jpg", "http://pbs.twimg.com/media/Db1QYBUWsAEgA5n.jpg")</f>
        <v/>
      </c>
      <c r="G2573" t="s"/>
      <c r="H2573" t="s"/>
      <c r="I2573" t="s"/>
      <c r="J2573" t="n">
        <v>-0.4648</v>
      </c>
      <c r="K2573" t="n">
        <v>0.163</v>
      </c>
      <c r="L2573" t="n">
        <v>0.742</v>
      </c>
      <c r="M2573" t="n">
        <v>0.094</v>
      </c>
    </row>
    <row r="2574" spans="1:13">
      <c r="A2574" s="1">
        <f>HYPERLINK("http://www.twitter.com/NathanBLawrence/status/990116916915093504", "990116916915093504")</f>
        <v/>
      </c>
      <c r="B2574" s="2" t="n">
        <v>43218.27364583333</v>
      </c>
      <c r="C2574" t="n">
        <v>0</v>
      </c>
      <c r="D2574" t="n">
        <v>733</v>
      </c>
      <c r="E2574" t="s">
        <v>2581</v>
      </c>
      <c r="F2574">
        <f>HYPERLINK("http://pbs.twimg.com/media/Dbu2GpmU8AA1Ldh.jpg", "http://pbs.twimg.com/media/Dbu2GpmU8AA1Ldh.jpg")</f>
        <v/>
      </c>
      <c r="G2574" t="s"/>
      <c r="H2574" t="s"/>
      <c r="I2574" t="s"/>
      <c r="J2574" t="n">
        <v>0.6249</v>
      </c>
      <c r="K2574" t="n">
        <v>0</v>
      </c>
      <c r="L2574" t="n">
        <v>0.823</v>
      </c>
      <c r="M2574" t="n">
        <v>0.177</v>
      </c>
    </row>
    <row r="2575" spans="1:13">
      <c r="A2575" s="1">
        <f>HYPERLINK("http://www.twitter.com/NathanBLawrence/status/990116670919200768", "990116670919200768")</f>
        <v/>
      </c>
      <c r="B2575" s="2" t="n">
        <v>43218.27296296296</v>
      </c>
      <c r="C2575" t="n">
        <v>0</v>
      </c>
      <c r="D2575" t="n">
        <v>9</v>
      </c>
      <c r="E2575" t="s">
        <v>2582</v>
      </c>
      <c r="F2575" t="s"/>
      <c r="G2575" t="s"/>
      <c r="H2575" t="s"/>
      <c r="I2575" t="s"/>
      <c r="J2575" t="n">
        <v>0</v>
      </c>
      <c r="K2575" t="n">
        <v>0</v>
      </c>
      <c r="L2575" t="n">
        <v>1</v>
      </c>
      <c r="M2575" t="n">
        <v>0</v>
      </c>
    </row>
    <row r="2576" spans="1:13">
      <c r="A2576" s="1">
        <f>HYPERLINK("http://www.twitter.com/NathanBLawrence/status/990116576497090560", "990116576497090560")</f>
        <v/>
      </c>
      <c r="B2576" s="2" t="n">
        <v>43218.27269675926</v>
      </c>
      <c r="C2576" t="n">
        <v>0</v>
      </c>
      <c r="D2576" t="n">
        <v>792</v>
      </c>
      <c r="E2576" t="s">
        <v>2583</v>
      </c>
      <c r="F2576">
        <f>HYPERLINK("http://pbs.twimg.com/media/Db1AyLiV4AANSN_.jpg", "http://pbs.twimg.com/media/Db1AyLiV4AANSN_.jpg")</f>
        <v/>
      </c>
      <c r="G2576">
        <f>HYPERLINK("http://pbs.twimg.com/media/Db1AyLeVQAALl3y.jpg", "http://pbs.twimg.com/media/Db1AyLeVQAALl3y.jpg")</f>
        <v/>
      </c>
      <c r="H2576" t="s"/>
      <c r="I2576" t="s"/>
      <c r="J2576" t="n">
        <v>-0.3939</v>
      </c>
      <c r="K2576" t="n">
        <v>0.17</v>
      </c>
      <c r="L2576" t="n">
        <v>0.83</v>
      </c>
      <c r="M2576" t="n">
        <v>0</v>
      </c>
    </row>
    <row r="2577" spans="1:13">
      <c r="A2577" s="1">
        <f>HYPERLINK("http://www.twitter.com/NathanBLawrence/status/990115736109531136", "990115736109531136")</f>
        <v/>
      </c>
      <c r="B2577" s="2" t="n">
        <v>43218.27038194444</v>
      </c>
      <c r="C2577" t="n">
        <v>15</v>
      </c>
      <c r="D2577" t="n">
        <v>4</v>
      </c>
      <c r="E2577" t="s">
        <v>2584</v>
      </c>
      <c r="F2577" t="s"/>
      <c r="G2577" t="s"/>
      <c r="H2577" t="s"/>
      <c r="I2577" t="s"/>
      <c r="J2577" t="n">
        <v>-0.8979</v>
      </c>
      <c r="K2577" t="n">
        <v>0.365</v>
      </c>
      <c r="L2577" t="n">
        <v>0.635</v>
      </c>
      <c r="M2577" t="n">
        <v>0</v>
      </c>
    </row>
    <row r="2578" spans="1:13">
      <c r="A2578" s="1">
        <f>HYPERLINK("http://www.twitter.com/NathanBLawrence/status/990115319728357376", "990115319728357376")</f>
        <v/>
      </c>
      <c r="B2578" s="2" t="n">
        <v>43218.26923611111</v>
      </c>
      <c r="C2578" t="n">
        <v>0</v>
      </c>
      <c r="D2578" t="n">
        <v>587</v>
      </c>
      <c r="E2578" t="s">
        <v>2585</v>
      </c>
      <c r="F2578">
        <f>HYPERLINK("https://video.twimg.com/amplify_video/990042510750871552/vid/1280x720/qaErOluz2fCQzbY0.mp4?tag=2", "https://video.twimg.com/amplify_video/990042510750871552/vid/1280x720/qaErOluz2fCQzbY0.mp4?tag=2")</f>
        <v/>
      </c>
      <c r="G2578" t="s"/>
      <c r="H2578" t="s"/>
      <c r="I2578" t="s"/>
      <c r="J2578" t="n">
        <v>0</v>
      </c>
      <c r="K2578" t="n">
        <v>0</v>
      </c>
      <c r="L2578" t="n">
        <v>1</v>
      </c>
      <c r="M2578" t="n">
        <v>0</v>
      </c>
    </row>
    <row r="2579" spans="1:13">
      <c r="A2579" s="1">
        <f>HYPERLINK("http://www.twitter.com/NathanBLawrence/status/990114095989850113", "990114095989850113")</f>
        <v/>
      </c>
      <c r="B2579" s="2" t="n">
        <v>43218.26585648148</v>
      </c>
      <c r="C2579" t="n">
        <v>0</v>
      </c>
      <c r="D2579" t="n">
        <v>10689</v>
      </c>
      <c r="E2579" t="s">
        <v>2586</v>
      </c>
      <c r="F2579" t="s"/>
      <c r="G2579" t="s"/>
      <c r="H2579" t="s"/>
      <c r="I2579" t="s"/>
      <c r="J2579" t="n">
        <v>0</v>
      </c>
      <c r="K2579" t="n">
        <v>0</v>
      </c>
      <c r="L2579" t="n">
        <v>1</v>
      </c>
      <c r="M2579" t="n">
        <v>0</v>
      </c>
    </row>
    <row r="2580" spans="1:13">
      <c r="A2580" s="1">
        <f>HYPERLINK("http://www.twitter.com/NathanBLawrence/status/990113968617222144", "990113968617222144")</f>
        <v/>
      </c>
      <c r="B2580" s="2" t="n">
        <v>43218.26550925926</v>
      </c>
      <c r="C2580" t="n">
        <v>0</v>
      </c>
      <c r="D2580" t="n">
        <v>1069</v>
      </c>
      <c r="E2580" t="s">
        <v>2587</v>
      </c>
      <c r="F2580">
        <f>HYPERLINK("http://pbs.twimg.com/media/Db1skVgVwAA_Vfu.jpg", "http://pbs.twimg.com/media/Db1skVgVwAA_Vfu.jpg")</f>
        <v/>
      </c>
      <c r="G2580" t="s"/>
      <c r="H2580" t="s"/>
      <c r="I2580" t="s"/>
      <c r="J2580" t="n">
        <v>0.1593</v>
      </c>
      <c r="K2580" t="n">
        <v>0.164</v>
      </c>
      <c r="L2580" t="n">
        <v>0.646</v>
      </c>
      <c r="M2580" t="n">
        <v>0.191</v>
      </c>
    </row>
    <row r="2581" spans="1:13">
      <c r="A2581" s="1">
        <f>HYPERLINK("http://www.twitter.com/NathanBLawrence/status/990113849075363840", "990113849075363840")</f>
        <v/>
      </c>
      <c r="B2581" s="2" t="n">
        <v>43218.26517361111</v>
      </c>
      <c r="C2581" t="n">
        <v>4</v>
      </c>
      <c r="D2581" t="n">
        <v>2</v>
      </c>
      <c r="E2581" t="s">
        <v>2588</v>
      </c>
      <c r="F2581" t="s"/>
      <c r="G2581" t="s"/>
      <c r="H2581" t="s"/>
      <c r="I2581" t="s"/>
      <c r="J2581" t="n">
        <v>0</v>
      </c>
      <c r="K2581" t="n">
        <v>0</v>
      </c>
      <c r="L2581" t="n">
        <v>1</v>
      </c>
      <c r="M2581" t="n">
        <v>0</v>
      </c>
    </row>
    <row r="2582" spans="1:13">
      <c r="A2582" s="1">
        <f>HYPERLINK("http://www.twitter.com/NathanBLawrence/status/990113553246961666", "990113553246961666")</f>
        <v/>
      </c>
      <c r="B2582" s="2" t="n">
        <v>43218.26436342593</v>
      </c>
      <c r="C2582" t="n">
        <v>0</v>
      </c>
      <c r="D2582" t="n">
        <v>1306</v>
      </c>
      <c r="E2582" t="s">
        <v>2589</v>
      </c>
      <c r="F2582">
        <f>HYPERLINK("https://video.twimg.com/amplify_video/990043028625731584/vid/1280x720/9j71QtvLfDCwolkD.mp4?tag=2", "https://video.twimg.com/amplify_video/990043028625731584/vid/1280x720/9j71QtvLfDCwolkD.mp4?tag=2")</f>
        <v/>
      </c>
      <c r="G2582" t="s"/>
      <c r="H2582" t="s"/>
      <c r="I2582" t="s"/>
      <c r="J2582" t="n">
        <v>-0.8069</v>
      </c>
      <c r="K2582" t="n">
        <v>0.258</v>
      </c>
      <c r="L2582" t="n">
        <v>0.742</v>
      </c>
      <c r="M2582" t="n">
        <v>0</v>
      </c>
    </row>
    <row r="2583" spans="1:13">
      <c r="A2583" s="1">
        <f>HYPERLINK("http://www.twitter.com/NathanBLawrence/status/990113468224192513", "990113468224192513")</f>
        <v/>
      </c>
      <c r="B2583" s="2" t="n">
        <v>43218.26412037037</v>
      </c>
      <c r="C2583" t="n">
        <v>0</v>
      </c>
      <c r="D2583" t="n">
        <v>994</v>
      </c>
      <c r="E2583" t="s">
        <v>2590</v>
      </c>
      <c r="F2583" t="s"/>
      <c r="G2583" t="s"/>
      <c r="H2583" t="s"/>
      <c r="I2583" t="s"/>
      <c r="J2583" t="n">
        <v>0.2023</v>
      </c>
      <c r="K2583" t="n">
        <v>0</v>
      </c>
      <c r="L2583" t="n">
        <v>0.909</v>
      </c>
      <c r="M2583" t="n">
        <v>0.091</v>
      </c>
    </row>
    <row r="2584" spans="1:13">
      <c r="A2584" s="1">
        <f>HYPERLINK("http://www.twitter.com/NathanBLawrence/status/990112710036615169", "990112710036615169")</f>
        <v/>
      </c>
      <c r="B2584" s="2" t="n">
        <v>43218.26203703704</v>
      </c>
      <c r="C2584" t="n">
        <v>23</v>
      </c>
      <c r="D2584" t="n">
        <v>6</v>
      </c>
      <c r="E2584" t="s">
        <v>2591</v>
      </c>
      <c r="F2584" t="s"/>
      <c r="G2584" t="s"/>
      <c r="H2584" t="s"/>
      <c r="I2584" t="s"/>
      <c r="J2584" t="n">
        <v>-0.7475000000000001</v>
      </c>
      <c r="K2584" t="n">
        <v>0.366</v>
      </c>
      <c r="L2584" t="n">
        <v>0.634</v>
      </c>
      <c r="M2584" t="n">
        <v>0</v>
      </c>
    </row>
    <row r="2585" spans="1:13">
      <c r="A2585" s="1">
        <f>HYPERLINK("http://www.twitter.com/NathanBLawrence/status/990112390145441792", "990112390145441792")</f>
        <v/>
      </c>
      <c r="B2585" s="2" t="n">
        <v>43218.26114583333</v>
      </c>
      <c r="C2585" t="n">
        <v>0</v>
      </c>
      <c r="D2585" t="n">
        <v>2249</v>
      </c>
      <c r="E2585" t="s">
        <v>2592</v>
      </c>
      <c r="F2585" t="s"/>
      <c r="G2585" t="s"/>
      <c r="H2585" t="s"/>
      <c r="I2585" t="s"/>
      <c r="J2585" t="n">
        <v>0.4738</v>
      </c>
      <c r="K2585" t="n">
        <v>0.185</v>
      </c>
      <c r="L2585" t="n">
        <v>0.5580000000000001</v>
      </c>
      <c r="M2585" t="n">
        <v>0.257</v>
      </c>
    </row>
    <row r="2586" spans="1:13">
      <c r="A2586" s="1">
        <f>HYPERLINK("http://www.twitter.com/NathanBLawrence/status/990111867904274433", "990111867904274433")</f>
        <v/>
      </c>
      <c r="B2586" s="2" t="n">
        <v>43218.25971064815</v>
      </c>
      <c r="C2586" t="n">
        <v>0</v>
      </c>
      <c r="D2586" t="n">
        <v>39116</v>
      </c>
      <c r="E2586" t="s">
        <v>2593</v>
      </c>
      <c r="F2586" t="s"/>
      <c r="G2586" t="s"/>
      <c r="H2586" t="s"/>
      <c r="I2586" t="s"/>
      <c r="J2586" t="n">
        <v>0.7707000000000001</v>
      </c>
      <c r="K2586" t="n">
        <v>0.122</v>
      </c>
      <c r="L2586" t="n">
        <v>0.58</v>
      </c>
      <c r="M2586" t="n">
        <v>0.298</v>
      </c>
    </row>
    <row r="2587" spans="1:13">
      <c r="A2587" s="1">
        <f>HYPERLINK("http://www.twitter.com/NathanBLawrence/status/990111726795341824", "990111726795341824")</f>
        <v/>
      </c>
      <c r="B2587" s="2" t="n">
        <v>43218.25931712963</v>
      </c>
      <c r="C2587" t="n">
        <v>8</v>
      </c>
      <c r="D2587" t="n">
        <v>1</v>
      </c>
      <c r="E2587" t="s">
        <v>2594</v>
      </c>
      <c r="F2587" t="s"/>
      <c r="G2587" t="s"/>
      <c r="H2587" t="s"/>
      <c r="I2587" t="s"/>
      <c r="J2587" t="n">
        <v>0</v>
      </c>
      <c r="K2587" t="n">
        <v>0</v>
      </c>
      <c r="L2587" t="n">
        <v>1</v>
      </c>
      <c r="M2587" t="n">
        <v>0</v>
      </c>
    </row>
    <row r="2588" spans="1:13">
      <c r="A2588" s="1">
        <f>HYPERLINK("http://www.twitter.com/NathanBLawrence/status/990103900840587264", "990103900840587264")</f>
        <v/>
      </c>
      <c r="B2588" s="2" t="n">
        <v>43218.23771990741</v>
      </c>
      <c r="C2588" t="n">
        <v>4</v>
      </c>
      <c r="D2588" t="n">
        <v>1</v>
      </c>
      <c r="E2588" t="s">
        <v>2595</v>
      </c>
      <c r="F2588" t="s"/>
      <c r="G2588" t="s"/>
      <c r="H2588" t="s"/>
      <c r="I2588" t="s"/>
      <c r="J2588" t="n">
        <v>0</v>
      </c>
      <c r="K2588" t="n">
        <v>0</v>
      </c>
      <c r="L2588" t="n">
        <v>1</v>
      </c>
      <c r="M2588" t="n">
        <v>0</v>
      </c>
    </row>
    <row r="2589" spans="1:13">
      <c r="A2589" s="1">
        <f>HYPERLINK("http://www.twitter.com/NathanBLawrence/status/990046855630274560", "990046855630274560")</f>
        <v/>
      </c>
      <c r="B2589" s="2" t="n">
        <v>43218.0803125</v>
      </c>
      <c r="C2589" t="n">
        <v>36</v>
      </c>
      <c r="D2589" t="n">
        <v>26</v>
      </c>
      <c r="E2589" t="s">
        <v>2596</v>
      </c>
      <c r="F2589" t="s"/>
      <c r="G2589" t="s"/>
      <c r="H2589" t="s"/>
      <c r="I2589" t="s"/>
      <c r="J2589" t="n">
        <v>-0.2732</v>
      </c>
      <c r="K2589" t="n">
        <v>0.057</v>
      </c>
      <c r="L2589" t="n">
        <v>0.9429999999999999</v>
      </c>
      <c r="M2589" t="n">
        <v>0</v>
      </c>
    </row>
    <row r="2590" spans="1:13">
      <c r="A2590" s="1">
        <f>HYPERLINK("http://www.twitter.com/NathanBLawrence/status/990046503082147841", "990046503082147841")</f>
        <v/>
      </c>
      <c r="B2590" s="2" t="n">
        <v>43218.07934027778</v>
      </c>
      <c r="C2590" t="n">
        <v>17</v>
      </c>
      <c r="D2590" t="n">
        <v>5</v>
      </c>
      <c r="E2590" t="s">
        <v>2597</v>
      </c>
      <c r="F2590" t="s"/>
      <c r="G2590" t="s"/>
      <c r="H2590" t="s"/>
      <c r="I2590" t="s"/>
      <c r="J2590" t="n">
        <v>0.636</v>
      </c>
      <c r="K2590" t="n">
        <v>0</v>
      </c>
      <c r="L2590" t="n">
        <v>0.888</v>
      </c>
      <c r="M2590" t="n">
        <v>0.112</v>
      </c>
    </row>
    <row r="2591" spans="1:13">
      <c r="A2591" s="1">
        <f>HYPERLINK("http://www.twitter.com/NathanBLawrence/status/990046148298600448", "990046148298600448")</f>
        <v/>
      </c>
      <c r="B2591" s="2" t="n">
        <v>43218.07835648148</v>
      </c>
      <c r="C2591" t="n">
        <v>7</v>
      </c>
      <c r="D2591" t="n">
        <v>2</v>
      </c>
      <c r="E2591" t="s">
        <v>2598</v>
      </c>
      <c r="F2591" t="s"/>
      <c r="G2591" t="s"/>
      <c r="H2591" t="s"/>
      <c r="I2591" t="s"/>
      <c r="J2591" t="n">
        <v>-0.4559</v>
      </c>
      <c r="K2591" t="n">
        <v>0.136</v>
      </c>
      <c r="L2591" t="n">
        <v>0.864</v>
      </c>
      <c r="M2591" t="n">
        <v>0</v>
      </c>
    </row>
    <row r="2592" spans="1:13">
      <c r="A2592" s="1">
        <f>HYPERLINK("http://www.twitter.com/NathanBLawrence/status/990045883684171777", "990045883684171777")</f>
        <v/>
      </c>
      <c r="B2592" s="2" t="n">
        <v>43218.07762731481</v>
      </c>
      <c r="C2592" t="n">
        <v>6</v>
      </c>
      <c r="D2592" t="n">
        <v>2</v>
      </c>
      <c r="E2592" t="s">
        <v>2599</v>
      </c>
      <c r="F2592" t="s"/>
      <c r="G2592" t="s"/>
      <c r="H2592" t="s"/>
      <c r="I2592" t="s"/>
      <c r="J2592" t="n">
        <v>0.7783</v>
      </c>
      <c r="K2592" t="n">
        <v>0</v>
      </c>
      <c r="L2592" t="n">
        <v>0.673</v>
      </c>
      <c r="M2592" t="n">
        <v>0.327</v>
      </c>
    </row>
    <row r="2593" spans="1:13">
      <c r="A2593" s="1">
        <f>HYPERLINK("http://www.twitter.com/NathanBLawrence/status/990045438416863233", "990045438416863233")</f>
        <v/>
      </c>
      <c r="B2593" s="2" t="n">
        <v>43218.07640046296</v>
      </c>
      <c r="C2593" t="n">
        <v>4</v>
      </c>
      <c r="D2593" t="n">
        <v>2</v>
      </c>
      <c r="E2593" t="s">
        <v>2600</v>
      </c>
      <c r="F2593" t="s"/>
      <c r="G2593" t="s"/>
      <c r="H2593" t="s"/>
      <c r="I2593" t="s"/>
      <c r="J2593" t="n">
        <v>0.8374</v>
      </c>
      <c r="K2593" t="n">
        <v>0</v>
      </c>
      <c r="L2593" t="n">
        <v>0.6820000000000001</v>
      </c>
      <c r="M2593" t="n">
        <v>0.318</v>
      </c>
    </row>
    <row r="2594" spans="1:13">
      <c r="A2594" s="1">
        <f>HYPERLINK("http://www.twitter.com/NathanBLawrence/status/990019288323899392", "990019288323899392")</f>
        <v/>
      </c>
      <c r="B2594" s="2" t="n">
        <v>43218.00423611111</v>
      </c>
      <c r="C2594" t="n">
        <v>0</v>
      </c>
      <c r="D2594" t="n">
        <v>16602</v>
      </c>
      <c r="E2594" t="s">
        <v>2601</v>
      </c>
      <c r="F2594" t="s"/>
      <c r="G2594" t="s"/>
      <c r="H2594" t="s"/>
      <c r="I2594" t="s"/>
      <c r="J2594" t="n">
        <v>0.0772</v>
      </c>
      <c r="K2594" t="n">
        <v>0</v>
      </c>
      <c r="L2594" t="n">
        <v>0.92</v>
      </c>
      <c r="M2594" t="n">
        <v>0.08</v>
      </c>
    </row>
    <row r="2595" spans="1:13">
      <c r="A2595" s="1">
        <f>HYPERLINK("http://www.twitter.com/NathanBLawrence/status/990019226843824128", "990019226843824128")</f>
        <v/>
      </c>
      <c r="B2595" s="2" t="n">
        <v>43218.00407407407</v>
      </c>
      <c r="C2595" t="n">
        <v>0</v>
      </c>
      <c r="D2595" t="n">
        <v>8921</v>
      </c>
      <c r="E2595" t="s">
        <v>2602</v>
      </c>
      <c r="F2595" t="s"/>
      <c r="G2595" t="s"/>
      <c r="H2595" t="s"/>
      <c r="I2595" t="s"/>
      <c r="J2595" t="n">
        <v>-0.4019</v>
      </c>
      <c r="K2595" t="n">
        <v>0.199</v>
      </c>
      <c r="L2595" t="n">
        <v>0.701</v>
      </c>
      <c r="M2595" t="n">
        <v>0.1</v>
      </c>
    </row>
    <row r="2596" spans="1:13">
      <c r="A2596" s="1">
        <f>HYPERLINK("http://www.twitter.com/NathanBLawrence/status/990019150394212352", "990019150394212352")</f>
        <v/>
      </c>
      <c r="B2596" s="2" t="n">
        <v>43218.00385416667</v>
      </c>
      <c r="C2596" t="n">
        <v>0</v>
      </c>
      <c r="D2596" t="n">
        <v>4684</v>
      </c>
      <c r="E2596" t="s">
        <v>2603</v>
      </c>
      <c r="F2596" t="s"/>
      <c r="G2596" t="s"/>
      <c r="H2596" t="s"/>
      <c r="I2596" t="s"/>
      <c r="J2596" t="n">
        <v>0.6696</v>
      </c>
      <c r="K2596" t="n">
        <v>0</v>
      </c>
      <c r="L2596" t="n">
        <v>0.837</v>
      </c>
      <c r="M2596" t="n">
        <v>0.163</v>
      </c>
    </row>
    <row r="2597" spans="1:13">
      <c r="A2597" s="1">
        <f>HYPERLINK("http://www.twitter.com/NathanBLawrence/status/990019008488329217", "990019008488329217")</f>
        <v/>
      </c>
      <c r="B2597" s="2" t="n">
        <v>43218.00346064815</v>
      </c>
      <c r="C2597" t="n">
        <v>4</v>
      </c>
      <c r="D2597" t="n">
        <v>6</v>
      </c>
      <c r="E2597" t="s">
        <v>2604</v>
      </c>
      <c r="F2597" t="s"/>
      <c r="G2597" t="s"/>
      <c r="H2597" t="s"/>
      <c r="I2597" t="s"/>
      <c r="J2597" t="n">
        <v>-0.5399</v>
      </c>
      <c r="K2597" t="n">
        <v>0.17</v>
      </c>
      <c r="L2597" t="n">
        <v>0.83</v>
      </c>
      <c r="M2597" t="n">
        <v>0</v>
      </c>
    </row>
    <row r="2598" spans="1:13">
      <c r="A2598" s="1">
        <f>HYPERLINK("http://www.twitter.com/NathanBLawrence/status/990018665113268224", "990018665113268224")</f>
        <v/>
      </c>
      <c r="B2598" s="2" t="n">
        <v>43218.00252314815</v>
      </c>
      <c r="C2598" t="n">
        <v>0</v>
      </c>
      <c r="D2598" t="n">
        <v>6637</v>
      </c>
      <c r="E2598" t="s">
        <v>2605</v>
      </c>
      <c r="F2598">
        <f>HYPERLINK("https://video.twimg.com/amplify_video/989684557141209088/vid/1280x720/zlX3m2HV2YONunST.mp4?tag=2", "https://video.twimg.com/amplify_video/989684557141209088/vid/1280x720/zlX3m2HV2YONunST.mp4?tag=2")</f>
        <v/>
      </c>
      <c r="G2598" t="s"/>
      <c r="H2598" t="s"/>
      <c r="I2598" t="s"/>
      <c r="J2598" t="n">
        <v>0.4019</v>
      </c>
      <c r="K2598" t="n">
        <v>0</v>
      </c>
      <c r="L2598" t="n">
        <v>0.881</v>
      </c>
      <c r="M2598" t="n">
        <v>0.119</v>
      </c>
    </row>
    <row r="2599" spans="1:13">
      <c r="A2599" s="1">
        <f>HYPERLINK("http://www.twitter.com/NathanBLawrence/status/990018552479367168", "990018552479367168")</f>
        <v/>
      </c>
      <c r="B2599" s="2" t="n">
        <v>43218.00221064815</v>
      </c>
      <c r="C2599" t="n">
        <v>0</v>
      </c>
      <c r="D2599" t="n">
        <v>2787</v>
      </c>
      <c r="E2599" t="s">
        <v>2606</v>
      </c>
      <c r="F2599">
        <f>HYPERLINK("https://video.twimg.com/amplify_video/989683184827863045/vid/1280x720/FKTifUETWDwzJ_Ea.mp4?tag=2", "https://video.twimg.com/amplify_video/989683184827863045/vid/1280x720/FKTifUETWDwzJ_Ea.mp4?tag=2")</f>
        <v/>
      </c>
      <c r="G2599" t="s"/>
      <c r="H2599" t="s"/>
      <c r="I2599" t="s"/>
      <c r="J2599" t="n">
        <v>-0.5994</v>
      </c>
      <c r="K2599" t="n">
        <v>0.157</v>
      </c>
      <c r="L2599" t="n">
        <v>0.843</v>
      </c>
      <c r="M2599" t="n">
        <v>0</v>
      </c>
    </row>
    <row r="2600" spans="1:13">
      <c r="A2600" s="1">
        <f>HYPERLINK("http://www.twitter.com/NathanBLawrence/status/990018318110081024", "990018318110081024")</f>
        <v/>
      </c>
      <c r="B2600" s="2" t="n">
        <v>43218.0015625</v>
      </c>
      <c r="C2600" t="n">
        <v>20</v>
      </c>
      <c r="D2600" t="n">
        <v>10</v>
      </c>
      <c r="E2600" t="s">
        <v>2607</v>
      </c>
      <c r="F2600" t="s"/>
      <c r="G2600" t="s"/>
      <c r="H2600" t="s"/>
      <c r="I2600" t="s"/>
      <c r="J2600" t="n">
        <v>0.6074000000000001</v>
      </c>
      <c r="K2600" t="n">
        <v>0.065</v>
      </c>
      <c r="L2600" t="n">
        <v>0.765</v>
      </c>
      <c r="M2600" t="n">
        <v>0.17</v>
      </c>
    </row>
    <row r="2601" spans="1:13">
      <c r="A2601" s="1">
        <f>HYPERLINK("http://www.twitter.com/NathanBLawrence/status/990017035580014593", "990017035580014593")</f>
        <v/>
      </c>
      <c r="B2601" s="2" t="n">
        <v>43217.99802083334</v>
      </c>
      <c r="C2601" t="n">
        <v>0</v>
      </c>
      <c r="D2601" t="n">
        <v>8106</v>
      </c>
      <c r="E2601" t="s">
        <v>2608</v>
      </c>
      <c r="F2601" t="s"/>
      <c r="G2601" t="s"/>
      <c r="H2601" t="s"/>
      <c r="I2601" t="s"/>
      <c r="J2601" t="n">
        <v>0.7875</v>
      </c>
      <c r="K2601" t="n">
        <v>0</v>
      </c>
      <c r="L2601" t="n">
        <v>0.641</v>
      </c>
      <c r="M2601" t="n">
        <v>0.359</v>
      </c>
    </row>
    <row r="2602" spans="1:13">
      <c r="A2602" s="1">
        <f>HYPERLINK("http://www.twitter.com/NathanBLawrence/status/990015657990275072", "990015657990275072")</f>
        <v/>
      </c>
      <c r="B2602" s="2" t="n">
        <v>43217.99422453704</v>
      </c>
      <c r="C2602" t="n">
        <v>13</v>
      </c>
      <c r="D2602" t="n">
        <v>0</v>
      </c>
      <c r="E2602" t="s">
        <v>2609</v>
      </c>
      <c r="F2602" t="s"/>
      <c r="G2602" t="s"/>
      <c r="H2602" t="s"/>
      <c r="I2602" t="s"/>
      <c r="J2602" t="n">
        <v>-0.8823</v>
      </c>
      <c r="K2602" t="n">
        <v>0.261</v>
      </c>
      <c r="L2602" t="n">
        <v>0.703</v>
      </c>
      <c r="M2602" t="n">
        <v>0.036</v>
      </c>
    </row>
    <row r="2603" spans="1:13">
      <c r="A2603" s="1">
        <f>HYPERLINK("http://www.twitter.com/NathanBLawrence/status/990002982610550785", "990002982610550785")</f>
        <v/>
      </c>
      <c r="B2603" s="2" t="n">
        <v>43217.95924768518</v>
      </c>
      <c r="C2603" t="n">
        <v>12</v>
      </c>
      <c r="D2603" t="n">
        <v>7</v>
      </c>
      <c r="E2603" t="s">
        <v>2610</v>
      </c>
      <c r="F2603" t="s"/>
      <c r="G2603" t="s"/>
      <c r="H2603" t="s"/>
      <c r="I2603" t="s"/>
      <c r="J2603" t="n">
        <v>-0.2023</v>
      </c>
      <c r="K2603" t="n">
        <v>0.123</v>
      </c>
      <c r="L2603" t="n">
        <v>0.784</v>
      </c>
      <c r="M2603" t="n">
        <v>0.093</v>
      </c>
    </row>
    <row r="2604" spans="1:13">
      <c r="A2604" s="1">
        <f>HYPERLINK("http://www.twitter.com/NathanBLawrence/status/989997198652813312", "989997198652813312")</f>
        <v/>
      </c>
      <c r="B2604" s="2" t="n">
        <v>43217.94328703704</v>
      </c>
      <c r="C2604" t="n">
        <v>5</v>
      </c>
      <c r="D2604" t="n">
        <v>4</v>
      </c>
      <c r="E2604" t="s">
        <v>2611</v>
      </c>
      <c r="F2604" t="s"/>
      <c r="G2604" t="s"/>
      <c r="H2604" t="s"/>
      <c r="I2604" t="s"/>
      <c r="J2604" t="n">
        <v>-0.4019</v>
      </c>
      <c r="K2604" t="n">
        <v>0.244</v>
      </c>
      <c r="L2604" t="n">
        <v>0.538</v>
      </c>
      <c r="M2604" t="n">
        <v>0.219</v>
      </c>
    </row>
    <row r="2605" spans="1:13">
      <c r="A2605" s="1">
        <f>HYPERLINK("http://www.twitter.com/NathanBLawrence/status/989996837783322624", "989996837783322624")</f>
        <v/>
      </c>
      <c r="B2605" s="2" t="n">
        <v>43217.94229166667</v>
      </c>
      <c r="C2605" t="n">
        <v>9</v>
      </c>
      <c r="D2605" t="n">
        <v>4</v>
      </c>
      <c r="E2605" t="s">
        <v>2612</v>
      </c>
      <c r="F2605" t="s"/>
      <c r="G2605" t="s"/>
      <c r="H2605" t="s"/>
      <c r="I2605" t="s"/>
      <c r="J2605" t="n">
        <v>-0.8139</v>
      </c>
      <c r="K2605" t="n">
        <v>0.452</v>
      </c>
      <c r="L2605" t="n">
        <v>0.548</v>
      </c>
      <c r="M2605" t="n">
        <v>0</v>
      </c>
    </row>
    <row r="2606" spans="1:13">
      <c r="A2606" s="1">
        <f>HYPERLINK("http://www.twitter.com/NathanBLawrence/status/989996687996338176", "989996687996338176")</f>
        <v/>
      </c>
      <c r="B2606" s="2" t="n">
        <v>43217.941875</v>
      </c>
      <c r="C2606" t="n">
        <v>3</v>
      </c>
      <c r="D2606" t="n">
        <v>2</v>
      </c>
      <c r="E2606" t="s">
        <v>2613</v>
      </c>
      <c r="F2606" t="s"/>
      <c r="G2606" t="s"/>
      <c r="H2606" t="s"/>
      <c r="I2606" t="s"/>
      <c r="J2606" t="n">
        <v>0.8555</v>
      </c>
      <c r="K2606" t="n">
        <v>0</v>
      </c>
      <c r="L2606" t="n">
        <v>0.6909999999999999</v>
      </c>
      <c r="M2606" t="n">
        <v>0.309</v>
      </c>
    </row>
    <row r="2607" spans="1:13">
      <c r="A2607" s="1">
        <f>HYPERLINK("http://www.twitter.com/NathanBLawrence/status/989996367622815744", "989996367622815744")</f>
        <v/>
      </c>
      <c r="B2607" s="2" t="n">
        <v>43217.9409837963</v>
      </c>
      <c r="C2607" t="n">
        <v>11</v>
      </c>
      <c r="D2607" t="n">
        <v>2</v>
      </c>
      <c r="E2607" t="s">
        <v>2614</v>
      </c>
      <c r="F2607" t="s"/>
      <c r="G2607" t="s"/>
      <c r="H2607" t="s"/>
      <c r="I2607" t="s"/>
      <c r="J2607" t="n">
        <v>0.8506</v>
      </c>
      <c r="K2607" t="n">
        <v>0</v>
      </c>
      <c r="L2607" t="n">
        <v>0.659</v>
      </c>
      <c r="M2607" t="n">
        <v>0.341</v>
      </c>
    </row>
    <row r="2608" spans="1:13">
      <c r="A2608" s="1">
        <f>HYPERLINK("http://www.twitter.com/NathanBLawrence/status/989990301560332288", "989990301560332288")</f>
        <v/>
      </c>
      <c r="B2608" s="2" t="n">
        <v>43217.92424768519</v>
      </c>
      <c r="C2608" t="n">
        <v>0</v>
      </c>
      <c r="D2608" t="n">
        <v>193</v>
      </c>
      <c r="E2608" t="s">
        <v>2615</v>
      </c>
      <c r="F2608">
        <f>HYPERLINK("http://pbs.twimg.com/media/DbypWE3V0AEph3Y.jpg", "http://pbs.twimg.com/media/DbypWE3V0AEph3Y.jpg")</f>
        <v/>
      </c>
      <c r="G2608" t="s"/>
      <c r="H2608" t="s"/>
      <c r="I2608" t="s"/>
      <c r="J2608" t="n">
        <v>-0.6981000000000001</v>
      </c>
      <c r="K2608" t="n">
        <v>0.219</v>
      </c>
      <c r="L2608" t="n">
        <v>0.781</v>
      </c>
      <c r="M2608" t="n">
        <v>0</v>
      </c>
    </row>
    <row r="2609" spans="1:13">
      <c r="A2609" s="1">
        <f>HYPERLINK("http://www.twitter.com/NathanBLawrence/status/989990022378962944", "989990022378962944")</f>
        <v/>
      </c>
      <c r="B2609" s="2" t="n">
        <v>43217.92348379629</v>
      </c>
      <c r="C2609" t="n">
        <v>0</v>
      </c>
      <c r="D2609" t="n">
        <v>9</v>
      </c>
      <c r="E2609" t="s">
        <v>2616</v>
      </c>
      <c r="F2609">
        <f>HYPERLINK("http://pbs.twimg.com/media/Db0kCSXWsAI0sYl.jpg", "http://pbs.twimg.com/media/Db0kCSXWsAI0sYl.jpg")</f>
        <v/>
      </c>
      <c r="G2609" t="s"/>
      <c r="H2609" t="s"/>
      <c r="I2609" t="s"/>
      <c r="J2609" t="n">
        <v>0.2238</v>
      </c>
      <c r="K2609" t="n">
        <v>0</v>
      </c>
      <c r="L2609" t="n">
        <v>0.873</v>
      </c>
      <c r="M2609" t="n">
        <v>0.127</v>
      </c>
    </row>
    <row r="2610" spans="1:13">
      <c r="A2610" s="1">
        <f>HYPERLINK("http://www.twitter.com/NathanBLawrence/status/989989919807356928", "989989919807356928")</f>
        <v/>
      </c>
      <c r="B2610" s="2" t="n">
        <v>43217.92319444445</v>
      </c>
      <c r="C2610" t="n">
        <v>2</v>
      </c>
      <c r="D2610" t="n">
        <v>0</v>
      </c>
      <c r="E2610" t="s">
        <v>2617</v>
      </c>
      <c r="F2610" t="s"/>
      <c r="G2610" t="s"/>
      <c r="H2610" t="s"/>
      <c r="I2610" t="s"/>
      <c r="J2610" t="n">
        <v>0</v>
      </c>
      <c r="K2610" t="n">
        <v>0</v>
      </c>
      <c r="L2610" t="n">
        <v>1</v>
      </c>
      <c r="M2610" t="n">
        <v>0</v>
      </c>
    </row>
    <row r="2611" spans="1:13">
      <c r="A2611" s="1">
        <f>HYPERLINK("http://www.twitter.com/NathanBLawrence/status/989989787284066304", "989989787284066304")</f>
        <v/>
      </c>
      <c r="B2611" s="2" t="n">
        <v>43217.92283564815</v>
      </c>
      <c r="C2611" t="n">
        <v>10</v>
      </c>
      <c r="D2611" t="n">
        <v>2</v>
      </c>
      <c r="E2611" t="s">
        <v>2618</v>
      </c>
      <c r="F2611" t="s"/>
      <c r="G2611" t="s"/>
      <c r="H2611" t="s"/>
      <c r="I2611" t="s"/>
      <c r="J2611" t="n">
        <v>0.636</v>
      </c>
      <c r="K2611" t="n">
        <v>0</v>
      </c>
      <c r="L2611" t="n">
        <v>0.656</v>
      </c>
      <c r="M2611" t="n">
        <v>0.344</v>
      </c>
    </row>
    <row r="2612" spans="1:13">
      <c r="A2612" s="1">
        <f>HYPERLINK("http://www.twitter.com/NathanBLawrence/status/989989591972106240", "989989591972106240")</f>
        <v/>
      </c>
      <c r="B2612" s="2" t="n">
        <v>43217.92229166667</v>
      </c>
      <c r="C2612" t="n">
        <v>29</v>
      </c>
      <c r="D2612" t="n">
        <v>28</v>
      </c>
      <c r="E2612" t="s">
        <v>2619</v>
      </c>
      <c r="F2612" t="s"/>
      <c r="G2612" t="s"/>
      <c r="H2612" t="s"/>
      <c r="I2612" t="s"/>
      <c r="J2612" t="n">
        <v>-0.2732</v>
      </c>
      <c r="K2612" t="n">
        <v>0.057</v>
      </c>
      <c r="L2612" t="n">
        <v>0.9429999999999999</v>
      </c>
      <c r="M2612" t="n">
        <v>0</v>
      </c>
    </row>
    <row r="2613" spans="1:13">
      <c r="A2613" s="1">
        <f>HYPERLINK("http://www.twitter.com/NathanBLawrence/status/989988676296835072", "989988676296835072")</f>
        <v/>
      </c>
      <c r="B2613" s="2" t="n">
        <v>43217.91976851852</v>
      </c>
      <c r="C2613" t="n">
        <v>9</v>
      </c>
      <c r="D2613" t="n">
        <v>8</v>
      </c>
      <c r="E2613" t="s">
        <v>2620</v>
      </c>
      <c r="F2613" t="s"/>
      <c r="G2613" t="s"/>
      <c r="H2613" t="s"/>
      <c r="I2613" t="s"/>
      <c r="J2613" t="n">
        <v>-0.2023</v>
      </c>
      <c r="K2613" t="n">
        <v>0.172</v>
      </c>
      <c r="L2613" t="n">
        <v>0.714</v>
      </c>
      <c r="M2613" t="n">
        <v>0.114</v>
      </c>
    </row>
    <row r="2614" spans="1:13">
      <c r="A2614" s="1">
        <f>HYPERLINK("http://www.twitter.com/NathanBLawrence/status/989988269768171520", "989988269768171520")</f>
        <v/>
      </c>
      <c r="B2614" s="2" t="n">
        <v>43217.91864583334</v>
      </c>
      <c r="C2614" t="n">
        <v>3</v>
      </c>
      <c r="D2614" t="n">
        <v>1</v>
      </c>
      <c r="E2614" t="s">
        <v>2621</v>
      </c>
      <c r="F2614" t="s"/>
      <c r="G2614" t="s"/>
      <c r="H2614" t="s"/>
      <c r="I2614" t="s"/>
      <c r="J2614" t="n">
        <v>0</v>
      </c>
      <c r="K2614" t="n">
        <v>0</v>
      </c>
      <c r="L2614" t="n">
        <v>1</v>
      </c>
      <c r="M2614" t="n">
        <v>0</v>
      </c>
    </row>
    <row r="2615" spans="1:13">
      <c r="A2615" s="1">
        <f>HYPERLINK("http://www.twitter.com/NathanBLawrence/status/989983825630445569", "989983825630445569")</f>
        <v/>
      </c>
      <c r="B2615" s="2" t="n">
        <v>43217.90637731482</v>
      </c>
      <c r="C2615" t="n">
        <v>8</v>
      </c>
      <c r="D2615" t="n">
        <v>4</v>
      </c>
      <c r="E2615" t="s">
        <v>2622</v>
      </c>
      <c r="F2615" t="s"/>
      <c r="G2615" t="s"/>
      <c r="H2615" t="s"/>
      <c r="I2615" t="s"/>
      <c r="J2615" t="n">
        <v>-0.8233</v>
      </c>
      <c r="K2615" t="n">
        <v>0.404</v>
      </c>
      <c r="L2615" t="n">
        <v>0.428</v>
      </c>
      <c r="M2615" t="n">
        <v>0.168</v>
      </c>
    </row>
    <row r="2616" spans="1:13">
      <c r="A2616" s="1">
        <f>HYPERLINK("http://www.twitter.com/NathanBLawrence/status/989983561724841984", "989983561724841984")</f>
        <v/>
      </c>
      <c r="B2616" s="2" t="n">
        <v>43217.90564814815</v>
      </c>
      <c r="C2616" t="n">
        <v>6</v>
      </c>
      <c r="D2616" t="n">
        <v>4</v>
      </c>
      <c r="E2616" t="s">
        <v>2623</v>
      </c>
      <c r="F2616" t="s"/>
      <c r="G2616" t="s"/>
      <c r="H2616" t="s"/>
      <c r="I2616" t="s"/>
      <c r="J2616" t="n">
        <v>0.3612</v>
      </c>
      <c r="K2616" t="n">
        <v>0.08</v>
      </c>
      <c r="L2616" t="n">
        <v>0.769</v>
      </c>
      <c r="M2616" t="n">
        <v>0.151</v>
      </c>
    </row>
    <row r="2617" spans="1:13">
      <c r="A2617" s="1">
        <f>HYPERLINK("http://www.twitter.com/NathanBLawrence/status/989978124535218176", "989978124535218176")</f>
        <v/>
      </c>
      <c r="B2617" s="2" t="n">
        <v>43217.89064814815</v>
      </c>
      <c r="C2617" t="n">
        <v>0</v>
      </c>
      <c r="D2617" t="n">
        <v>571</v>
      </c>
      <c r="E2617" t="s">
        <v>2624</v>
      </c>
      <c r="F2617" t="s"/>
      <c r="G2617" t="s"/>
      <c r="H2617" t="s"/>
      <c r="I2617" t="s"/>
      <c r="J2617" t="n">
        <v>-0.7149</v>
      </c>
      <c r="K2617" t="n">
        <v>0.199</v>
      </c>
      <c r="L2617" t="n">
        <v>0.801</v>
      </c>
      <c r="M2617" t="n">
        <v>0</v>
      </c>
    </row>
    <row r="2618" spans="1:13">
      <c r="A2618" s="1">
        <f>HYPERLINK("http://www.twitter.com/NathanBLawrence/status/989978078699962368", "989978078699962368")</f>
        <v/>
      </c>
      <c r="B2618" s="2" t="n">
        <v>43217.89052083333</v>
      </c>
      <c r="C2618" t="n">
        <v>0</v>
      </c>
      <c r="D2618" t="n">
        <v>356</v>
      </c>
      <c r="E2618" t="s">
        <v>2625</v>
      </c>
      <c r="F2618">
        <f>HYPERLINK("https://video.twimg.com/amplify_video/989952329905405952/vid/1280x720/DBHxLbAcZgMPfJ0w.mp4?tag=2", "https://video.twimg.com/amplify_video/989952329905405952/vid/1280x720/DBHxLbAcZgMPfJ0w.mp4?tag=2")</f>
        <v/>
      </c>
      <c r="G2618" t="s"/>
      <c r="H2618" t="s"/>
      <c r="I2618" t="s"/>
      <c r="J2618" t="n">
        <v>-0.5266999999999999</v>
      </c>
      <c r="K2618" t="n">
        <v>0.145</v>
      </c>
      <c r="L2618" t="n">
        <v>0.855</v>
      </c>
      <c r="M2618" t="n">
        <v>0</v>
      </c>
    </row>
    <row r="2619" spans="1:13">
      <c r="A2619" s="1">
        <f>HYPERLINK("http://www.twitter.com/NathanBLawrence/status/989978000853618689", "989978000853618689")</f>
        <v/>
      </c>
      <c r="B2619" s="2" t="n">
        <v>43217.89030092592</v>
      </c>
      <c r="C2619" t="n">
        <v>0</v>
      </c>
      <c r="D2619" t="n">
        <v>5355</v>
      </c>
      <c r="E2619" t="s">
        <v>2626</v>
      </c>
      <c r="F2619" t="s"/>
      <c r="G2619" t="s"/>
      <c r="H2619" t="s"/>
      <c r="I2619" t="s"/>
      <c r="J2619" t="n">
        <v>0.4382</v>
      </c>
      <c r="K2619" t="n">
        <v>0</v>
      </c>
      <c r="L2619" t="n">
        <v>0.837</v>
      </c>
      <c r="M2619" t="n">
        <v>0.163</v>
      </c>
    </row>
    <row r="2620" spans="1:13">
      <c r="A2620" s="1">
        <f>HYPERLINK("http://www.twitter.com/NathanBLawrence/status/989977699455090689", "989977699455090689")</f>
        <v/>
      </c>
      <c r="B2620" s="2" t="n">
        <v>43217.88947916667</v>
      </c>
      <c r="C2620" t="n">
        <v>0</v>
      </c>
      <c r="D2620" t="n">
        <v>1311</v>
      </c>
      <c r="E2620" t="s">
        <v>2627</v>
      </c>
      <c r="F2620" t="s"/>
      <c r="G2620" t="s"/>
      <c r="H2620" t="s"/>
      <c r="I2620" t="s"/>
      <c r="J2620" t="n">
        <v>0</v>
      </c>
      <c r="K2620" t="n">
        <v>0</v>
      </c>
      <c r="L2620" t="n">
        <v>1</v>
      </c>
      <c r="M2620" t="n">
        <v>0</v>
      </c>
    </row>
    <row r="2621" spans="1:13">
      <c r="A2621" s="1">
        <f>HYPERLINK("http://www.twitter.com/NathanBLawrence/status/989977650927042560", "989977650927042560")</f>
        <v/>
      </c>
      <c r="B2621" s="2" t="n">
        <v>43217.88934027778</v>
      </c>
      <c r="C2621" t="n">
        <v>5</v>
      </c>
      <c r="D2621" t="n">
        <v>1</v>
      </c>
      <c r="E2621" t="s">
        <v>2628</v>
      </c>
      <c r="F2621" t="s"/>
      <c r="G2621" t="s"/>
      <c r="H2621" t="s"/>
      <c r="I2621" t="s"/>
      <c r="J2621" t="n">
        <v>-0.0926</v>
      </c>
      <c r="K2621" t="n">
        <v>0.152</v>
      </c>
      <c r="L2621" t="n">
        <v>0.701</v>
      </c>
      <c r="M2621" t="n">
        <v>0.146</v>
      </c>
    </row>
    <row r="2622" spans="1:13">
      <c r="A2622" s="1">
        <f>HYPERLINK("http://www.twitter.com/NathanBLawrence/status/989977144989138944", "989977144989138944")</f>
        <v/>
      </c>
      <c r="B2622" s="2" t="n">
        <v>43217.88793981481</v>
      </c>
      <c r="C2622" t="n">
        <v>6</v>
      </c>
      <c r="D2622" t="n">
        <v>1</v>
      </c>
      <c r="E2622" t="s">
        <v>2629</v>
      </c>
      <c r="F2622" t="s"/>
      <c r="G2622" t="s"/>
      <c r="H2622" t="s"/>
      <c r="I2622" t="s"/>
      <c r="J2622" t="n">
        <v>-0.0644</v>
      </c>
      <c r="K2622" t="n">
        <v>0.034</v>
      </c>
      <c r="L2622" t="n">
        <v>0.966</v>
      </c>
      <c r="M2622" t="n">
        <v>0</v>
      </c>
    </row>
    <row r="2623" spans="1:13">
      <c r="A2623" s="1">
        <f>HYPERLINK("http://www.twitter.com/NathanBLawrence/status/989974009465864192", "989974009465864192")</f>
        <v/>
      </c>
      <c r="B2623" s="2" t="n">
        <v>43217.87929398148</v>
      </c>
      <c r="C2623" t="n">
        <v>1</v>
      </c>
      <c r="D2623" t="n">
        <v>1</v>
      </c>
      <c r="E2623" t="s">
        <v>2630</v>
      </c>
      <c r="F2623" t="s"/>
      <c r="G2623" t="s"/>
      <c r="H2623" t="s"/>
      <c r="I2623" t="s"/>
      <c r="J2623" t="n">
        <v>0.7262999999999999</v>
      </c>
      <c r="K2623" t="n">
        <v>0</v>
      </c>
      <c r="L2623" t="n">
        <v>0.779</v>
      </c>
      <c r="M2623" t="n">
        <v>0.221</v>
      </c>
    </row>
    <row r="2624" spans="1:13">
      <c r="A2624" s="1">
        <f>HYPERLINK("http://www.twitter.com/NathanBLawrence/status/989973918852108289", "989973918852108289")</f>
        <v/>
      </c>
      <c r="B2624" s="2" t="n">
        <v>43217.87903935185</v>
      </c>
      <c r="C2624" t="n">
        <v>0</v>
      </c>
      <c r="D2624" t="n">
        <v>0</v>
      </c>
      <c r="E2624" t="s">
        <v>2631</v>
      </c>
      <c r="F2624" t="s"/>
      <c r="G2624" t="s"/>
      <c r="H2624" t="s"/>
      <c r="I2624" t="s"/>
      <c r="J2624" t="n">
        <v>0.7262999999999999</v>
      </c>
      <c r="K2624" t="n">
        <v>0</v>
      </c>
      <c r="L2624" t="n">
        <v>0.779</v>
      </c>
      <c r="M2624" t="n">
        <v>0.221</v>
      </c>
    </row>
    <row r="2625" spans="1:13">
      <c r="A2625" s="1">
        <f>HYPERLINK("http://www.twitter.com/NathanBLawrence/status/989973286304952320", "989973286304952320")</f>
        <v/>
      </c>
      <c r="B2625" s="2" t="n">
        <v>43217.87729166666</v>
      </c>
      <c r="C2625" t="n">
        <v>1</v>
      </c>
      <c r="D2625" t="n">
        <v>1</v>
      </c>
      <c r="E2625" t="s">
        <v>2632</v>
      </c>
      <c r="F2625" t="s"/>
      <c r="G2625" t="s"/>
      <c r="H2625" t="s"/>
      <c r="I2625" t="s"/>
      <c r="J2625" t="n">
        <v>0.7262999999999999</v>
      </c>
      <c r="K2625" t="n">
        <v>0</v>
      </c>
      <c r="L2625" t="n">
        <v>0.779</v>
      </c>
      <c r="M2625" t="n">
        <v>0.221</v>
      </c>
    </row>
    <row r="2626" spans="1:13">
      <c r="A2626" s="1">
        <f>HYPERLINK("http://www.twitter.com/NathanBLawrence/status/989973206957084672", "989973206957084672")</f>
        <v/>
      </c>
      <c r="B2626" s="2" t="n">
        <v>43217.87708333333</v>
      </c>
      <c r="C2626" t="n">
        <v>1</v>
      </c>
      <c r="D2626" t="n">
        <v>0</v>
      </c>
      <c r="E2626" t="s">
        <v>2633</v>
      </c>
      <c r="F2626" t="s"/>
      <c r="G2626" t="s"/>
      <c r="H2626" t="s"/>
      <c r="I2626" t="s"/>
      <c r="J2626" t="n">
        <v>0.7262999999999999</v>
      </c>
      <c r="K2626" t="n">
        <v>0</v>
      </c>
      <c r="L2626" t="n">
        <v>0.779</v>
      </c>
      <c r="M2626" t="n">
        <v>0.221</v>
      </c>
    </row>
    <row r="2627" spans="1:13">
      <c r="A2627" s="1">
        <f>HYPERLINK("http://www.twitter.com/NathanBLawrence/status/989973098265886721", "989973098265886721")</f>
        <v/>
      </c>
      <c r="B2627" s="2" t="n">
        <v>43217.87678240741</v>
      </c>
      <c r="C2627" t="n">
        <v>5</v>
      </c>
      <c r="D2627" t="n">
        <v>4</v>
      </c>
      <c r="E2627" t="s">
        <v>2634</v>
      </c>
      <c r="F2627" t="s"/>
      <c r="G2627" t="s"/>
      <c r="H2627" t="s"/>
      <c r="I2627" t="s"/>
      <c r="J2627" t="n">
        <v>0.7262999999999999</v>
      </c>
      <c r="K2627" t="n">
        <v>0</v>
      </c>
      <c r="L2627" t="n">
        <v>0.779</v>
      </c>
      <c r="M2627" t="n">
        <v>0.221</v>
      </c>
    </row>
    <row r="2628" spans="1:13">
      <c r="A2628" s="1">
        <f>HYPERLINK("http://www.twitter.com/NathanBLawrence/status/989973011305385985", "989973011305385985")</f>
        <v/>
      </c>
      <c r="B2628" s="2" t="n">
        <v>43217.87653935186</v>
      </c>
      <c r="C2628" t="n">
        <v>2</v>
      </c>
      <c r="D2628" t="n">
        <v>0</v>
      </c>
      <c r="E2628" t="s">
        <v>2635</v>
      </c>
      <c r="F2628" t="s"/>
      <c r="G2628" t="s"/>
      <c r="H2628" t="s"/>
      <c r="I2628" t="s"/>
      <c r="J2628" t="n">
        <v>0.7262999999999999</v>
      </c>
      <c r="K2628" t="n">
        <v>0</v>
      </c>
      <c r="L2628" t="n">
        <v>0.779</v>
      </c>
      <c r="M2628" t="n">
        <v>0.221</v>
      </c>
    </row>
    <row r="2629" spans="1:13">
      <c r="A2629" s="1">
        <f>HYPERLINK("http://www.twitter.com/NathanBLawrence/status/989972909266321408", "989972909266321408")</f>
        <v/>
      </c>
      <c r="B2629" s="2" t="n">
        <v>43217.87626157407</v>
      </c>
      <c r="C2629" t="n">
        <v>5</v>
      </c>
      <c r="D2629" t="n">
        <v>2</v>
      </c>
      <c r="E2629" t="s">
        <v>2636</v>
      </c>
      <c r="F2629" t="s"/>
      <c r="G2629" t="s"/>
      <c r="H2629" t="s"/>
      <c r="I2629" t="s"/>
      <c r="J2629" t="n">
        <v>0.7262999999999999</v>
      </c>
      <c r="K2629" t="n">
        <v>0</v>
      </c>
      <c r="L2629" t="n">
        <v>0.779</v>
      </c>
      <c r="M2629" t="n">
        <v>0.221</v>
      </c>
    </row>
    <row r="2630" spans="1:13">
      <c r="A2630" s="1">
        <f>HYPERLINK("http://www.twitter.com/NathanBLawrence/status/989965006463647744", "989965006463647744")</f>
        <v/>
      </c>
      <c r="B2630" s="2" t="n">
        <v>43217.85444444444</v>
      </c>
      <c r="C2630" t="n">
        <v>7</v>
      </c>
      <c r="D2630" t="n">
        <v>9</v>
      </c>
      <c r="E2630" t="s">
        <v>2637</v>
      </c>
      <c r="F2630" t="s"/>
      <c r="G2630" t="s"/>
      <c r="H2630" t="s"/>
      <c r="I2630" t="s"/>
      <c r="J2630" t="n">
        <v>-0.6833</v>
      </c>
      <c r="K2630" t="n">
        <v>0.325</v>
      </c>
      <c r="L2630" t="n">
        <v>0.444</v>
      </c>
      <c r="M2630" t="n">
        <v>0.231</v>
      </c>
    </row>
    <row r="2631" spans="1:13">
      <c r="A2631" s="1">
        <f>HYPERLINK("http://www.twitter.com/NathanBLawrence/status/989930042409996289", "989930042409996289")</f>
        <v/>
      </c>
      <c r="B2631" s="2" t="n">
        <v>43217.75796296296</v>
      </c>
      <c r="C2631" t="n">
        <v>3</v>
      </c>
      <c r="D2631" t="n">
        <v>2</v>
      </c>
      <c r="E2631" t="s">
        <v>2638</v>
      </c>
      <c r="F2631" t="s"/>
      <c r="G2631" t="s"/>
      <c r="H2631" t="s"/>
      <c r="I2631" t="s"/>
      <c r="J2631" t="n">
        <v>0.2732</v>
      </c>
      <c r="K2631" t="n">
        <v>0.113</v>
      </c>
      <c r="L2631" t="n">
        <v>0.718</v>
      </c>
      <c r="M2631" t="n">
        <v>0.169</v>
      </c>
    </row>
    <row r="2632" spans="1:13">
      <c r="A2632" s="1">
        <f>HYPERLINK("http://www.twitter.com/NathanBLawrence/status/989929844300382208", "989929844300382208")</f>
        <v/>
      </c>
      <c r="B2632" s="2" t="n">
        <v>43217.75741898148</v>
      </c>
      <c r="C2632" t="n">
        <v>4</v>
      </c>
      <c r="D2632" t="n">
        <v>2</v>
      </c>
      <c r="E2632" t="s">
        <v>2639</v>
      </c>
      <c r="F2632" t="s"/>
      <c r="G2632" t="s"/>
      <c r="H2632" t="s"/>
      <c r="I2632" t="s"/>
      <c r="J2632" t="n">
        <v>0.3937</v>
      </c>
      <c r="K2632" t="n">
        <v>0.098</v>
      </c>
      <c r="L2632" t="n">
        <v>0.77</v>
      </c>
      <c r="M2632" t="n">
        <v>0.132</v>
      </c>
    </row>
    <row r="2633" spans="1:13">
      <c r="A2633" s="1">
        <f>HYPERLINK("http://www.twitter.com/NathanBLawrence/status/989929366267117568", "989929366267117568")</f>
        <v/>
      </c>
      <c r="B2633" s="2" t="n">
        <v>43217.75609953704</v>
      </c>
      <c r="C2633" t="n">
        <v>0</v>
      </c>
      <c r="D2633" t="n">
        <v>1041</v>
      </c>
      <c r="E2633" t="s">
        <v>2640</v>
      </c>
      <c r="F2633">
        <f>HYPERLINK("http://pbs.twimg.com/media/Dby83dZWAAAYuhC.jpg", "http://pbs.twimg.com/media/Dby83dZWAAAYuhC.jpg")</f>
        <v/>
      </c>
      <c r="G2633" t="s"/>
      <c r="H2633" t="s"/>
      <c r="I2633" t="s"/>
      <c r="J2633" t="n">
        <v>0</v>
      </c>
      <c r="K2633" t="n">
        <v>0</v>
      </c>
      <c r="L2633" t="n">
        <v>1</v>
      </c>
      <c r="M2633" t="n">
        <v>0</v>
      </c>
    </row>
    <row r="2634" spans="1:13">
      <c r="A2634" s="1">
        <f>HYPERLINK("http://www.twitter.com/NathanBLawrence/status/989925908642320384", "989925908642320384")</f>
        <v/>
      </c>
      <c r="B2634" s="2" t="n">
        <v>43217.7465625</v>
      </c>
      <c r="C2634" t="n">
        <v>5</v>
      </c>
      <c r="D2634" t="n">
        <v>1</v>
      </c>
      <c r="E2634" t="s">
        <v>2641</v>
      </c>
      <c r="F2634" t="s"/>
      <c r="G2634" t="s"/>
      <c r="H2634" t="s"/>
      <c r="I2634" t="s"/>
      <c r="J2634" t="n">
        <v>0.5707</v>
      </c>
      <c r="K2634" t="n">
        <v>0</v>
      </c>
      <c r="L2634" t="n">
        <v>0.887</v>
      </c>
      <c r="M2634" t="n">
        <v>0.113</v>
      </c>
    </row>
    <row r="2635" spans="1:13">
      <c r="A2635" s="1">
        <f>HYPERLINK("http://www.twitter.com/NathanBLawrence/status/989925408891006976", "989925408891006976")</f>
        <v/>
      </c>
      <c r="B2635" s="2" t="n">
        <v>43217.74518518519</v>
      </c>
      <c r="C2635" t="n">
        <v>2</v>
      </c>
      <c r="D2635" t="n">
        <v>0</v>
      </c>
      <c r="E2635" t="s">
        <v>2642</v>
      </c>
      <c r="F2635" t="s"/>
      <c r="G2635" t="s"/>
      <c r="H2635" t="s"/>
      <c r="I2635" t="s"/>
      <c r="J2635" t="n">
        <v>0</v>
      </c>
      <c r="K2635" t="n">
        <v>0</v>
      </c>
      <c r="L2635" t="n">
        <v>1</v>
      </c>
      <c r="M2635" t="n">
        <v>0</v>
      </c>
    </row>
    <row r="2636" spans="1:13">
      <c r="A2636" s="1">
        <f>HYPERLINK("http://www.twitter.com/NathanBLawrence/status/989925079189405696", "989925079189405696")</f>
        <v/>
      </c>
      <c r="B2636" s="2" t="n">
        <v>43217.74427083333</v>
      </c>
      <c r="C2636" t="n">
        <v>2</v>
      </c>
      <c r="D2636" t="n">
        <v>1</v>
      </c>
      <c r="E2636" t="s">
        <v>2643</v>
      </c>
      <c r="F2636" t="s"/>
      <c r="G2636" t="s"/>
      <c r="H2636" t="s"/>
      <c r="I2636" t="s"/>
      <c r="J2636" t="n">
        <v>0</v>
      </c>
      <c r="K2636" t="n">
        <v>0</v>
      </c>
      <c r="L2636" t="n">
        <v>1</v>
      </c>
      <c r="M2636" t="n">
        <v>0</v>
      </c>
    </row>
    <row r="2637" spans="1:13">
      <c r="A2637" s="1">
        <f>HYPERLINK("http://www.twitter.com/NathanBLawrence/status/989925051460763649", "989925051460763649")</f>
        <v/>
      </c>
      <c r="B2637" s="2" t="n">
        <v>43217.74418981482</v>
      </c>
      <c r="C2637" t="n">
        <v>0</v>
      </c>
      <c r="D2637" t="n">
        <v>6</v>
      </c>
      <c r="E2637" t="s">
        <v>2644</v>
      </c>
      <c r="F2637" t="s"/>
      <c r="G2637" t="s"/>
      <c r="H2637" t="s"/>
      <c r="I2637" t="s"/>
      <c r="J2637" t="n">
        <v>0.6884</v>
      </c>
      <c r="K2637" t="n">
        <v>0</v>
      </c>
      <c r="L2637" t="n">
        <v>0.725</v>
      </c>
      <c r="M2637" t="n">
        <v>0.275</v>
      </c>
    </row>
    <row r="2638" spans="1:13">
      <c r="A2638" s="1">
        <f>HYPERLINK("http://www.twitter.com/NathanBLawrence/status/989917791653216261", "989917791653216261")</f>
        <v/>
      </c>
      <c r="B2638" s="2" t="n">
        <v>43217.72415509259</v>
      </c>
      <c r="C2638" t="n">
        <v>5</v>
      </c>
      <c r="D2638" t="n">
        <v>5</v>
      </c>
      <c r="E2638" t="s">
        <v>2645</v>
      </c>
      <c r="F2638" t="s"/>
      <c r="G2638" t="s"/>
      <c r="H2638" t="s"/>
      <c r="I2638" t="s"/>
      <c r="J2638" t="n">
        <v>0</v>
      </c>
      <c r="K2638" t="n">
        <v>0</v>
      </c>
      <c r="L2638" t="n">
        <v>1</v>
      </c>
      <c r="M2638" t="n">
        <v>0</v>
      </c>
    </row>
    <row r="2639" spans="1:13">
      <c r="A2639" s="1">
        <f>HYPERLINK("http://www.twitter.com/NathanBLawrence/status/989917562879160321", "989917562879160321")</f>
        <v/>
      </c>
      <c r="B2639" s="2" t="n">
        <v>43217.72353009259</v>
      </c>
      <c r="C2639" t="n">
        <v>0</v>
      </c>
      <c r="D2639" t="n">
        <v>1220</v>
      </c>
      <c r="E2639" t="s">
        <v>2646</v>
      </c>
      <c r="F2639">
        <f>HYPERLINK("https://video.twimg.com/ext_tw_video/972625565722136576/pu/vid/640x360/xViYfUrJV4Dc1rbd.mp4", "https://video.twimg.com/ext_tw_video/972625565722136576/pu/vid/640x360/xViYfUrJV4Dc1rbd.mp4")</f>
        <v/>
      </c>
      <c r="G2639" t="s"/>
      <c r="H2639" t="s"/>
      <c r="I2639" t="s"/>
      <c r="J2639" t="n">
        <v>0.296</v>
      </c>
      <c r="K2639" t="n">
        <v>0.147</v>
      </c>
      <c r="L2639" t="n">
        <v>0.633</v>
      </c>
      <c r="M2639" t="n">
        <v>0.22</v>
      </c>
    </row>
    <row r="2640" spans="1:13">
      <c r="A2640" s="1">
        <f>HYPERLINK("http://www.twitter.com/NathanBLawrence/status/989909327291940864", "989909327291940864")</f>
        <v/>
      </c>
      <c r="B2640" s="2" t="n">
        <v>43217.70079861111</v>
      </c>
      <c r="C2640" t="n">
        <v>2</v>
      </c>
      <c r="D2640" t="n">
        <v>0</v>
      </c>
      <c r="E2640" t="s">
        <v>2647</v>
      </c>
      <c r="F2640" t="s"/>
      <c r="G2640" t="s"/>
      <c r="H2640" t="s"/>
      <c r="I2640" t="s"/>
      <c r="J2640" t="n">
        <v>-0.1511</v>
      </c>
      <c r="K2640" t="n">
        <v>0.299</v>
      </c>
      <c r="L2640" t="n">
        <v>0.455</v>
      </c>
      <c r="M2640" t="n">
        <v>0.246</v>
      </c>
    </row>
    <row r="2641" spans="1:13">
      <c r="A2641" s="1">
        <f>HYPERLINK("http://www.twitter.com/NathanBLawrence/status/989909138401456129", "989909138401456129")</f>
        <v/>
      </c>
      <c r="B2641" s="2" t="n">
        <v>43217.70027777777</v>
      </c>
      <c r="C2641" t="n">
        <v>1</v>
      </c>
      <c r="D2641" t="n">
        <v>0</v>
      </c>
      <c r="E2641" t="s">
        <v>2648</v>
      </c>
      <c r="F2641" t="s"/>
      <c r="G2641" t="s"/>
      <c r="H2641" t="s"/>
      <c r="I2641" t="s"/>
      <c r="J2641" t="n">
        <v>0</v>
      </c>
      <c r="K2641" t="n">
        <v>0</v>
      </c>
      <c r="L2641" t="n">
        <v>1</v>
      </c>
      <c r="M2641" t="n">
        <v>0</v>
      </c>
    </row>
    <row r="2642" spans="1:13">
      <c r="A2642" s="1">
        <f>HYPERLINK("http://www.twitter.com/NathanBLawrence/status/989909020830875650", "989909020830875650")</f>
        <v/>
      </c>
      <c r="B2642" s="2" t="n">
        <v>43217.6999537037</v>
      </c>
      <c r="C2642" t="n">
        <v>0</v>
      </c>
      <c r="D2642" t="n">
        <v>1</v>
      </c>
      <c r="E2642" t="s">
        <v>2649</v>
      </c>
      <c r="F2642" t="s"/>
      <c r="G2642" t="s"/>
      <c r="H2642" t="s"/>
      <c r="I2642" t="s"/>
      <c r="J2642" t="n">
        <v>0.5984</v>
      </c>
      <c r="K2642" t="n">
        <v>0</v>
      </c>
      <c r="L2642" t="n">
        <v>0.727</v>
      </c>
      <c r="M2642" t="n">
        <v>0.273</v>
      </c>
    </row>
    <row r="2643" spans="1:13">
      <c r="A2643" s="1">
        <f>HYPERLINK("http://www.twitter.com/NathanBLawrence/status/989908422500872193", "989908422500872193")</f>
        <v/>
      </c>
      <c r="B2643" s="2" t="n">
        <v>43217.69831018519</v>
      </c>
      <c r="C2643" t="n">
        <v>4</v>
      </c>
      <c r="D2643" t="n">
        <v>3</v>
      </c>
      <c r="E2643" t="s">
        <v>2650</v>
      </c>
      <c r="F2643" t="s"/>
      <c r="G2643" t="s"/>
      <c r="H2643" t="s"/>
      <c r="I2643" t="s"/>
      <c r="J2643" t="n">
        <v>-0.6027</v>
      </c>
      <c r="K2643" t="n">
        <v>0.198</v>
      </c>
      <c r="L2643" t="n">
        <v>0.802</v>
      </c>
      <c r="M2643" t="n">
        <v>0</v>
      </c>
    </row>
    <row r="2644" spans="1:13">
      <c r="A2644" s="1">
        <f>HYPERLINK("http://www.twitter.com/NathanBLawrence/status/989908235371986944", "989908235371986944")</f>
        <v/>
      </c>
      <c r="B2644" s="2" t="n">
        <v>43217.69778935185</v>
      </c>
      <c r="C2644" t="n">
        <v>4</v>
      </c>
      <c r="D2644" t="n">
        <v>3</v>
      </c>
      <c r="E2644" t="s">
        <v>2651</v>
      </c>
      <c r="F2644" t="s"/>
      <c r="G2644" t="s"/>
      <c r="H2644" t="s"/>
      <c r="I2644" t="s"/>
      <c r="J2644" t="n">
        <v>-0.9156</v>
      </c>
      <c r="K2644" t="n">
        <v>0.268</v>
      </c>
      <c r="L2644" t="n">
        <v>0.732</v>
      </c>
      <c r="M2644" t="n">
        <v>0</v>
      </c>
    </row>
    <row r="2645" spans="1:13">
      <c r="A2645" s="1">
        <f>HYPERLINK("http://www.twitter.com/NathanBLawrence/status/989907957100953600", "989907957100953600")</f>
        <v/>
      </c>
      <c r="B2645" s="2" t="n">
        <v>43217.69702546296</v>
      </c>
      <c r="C2645" t="n">
        <v>8</v>
      </c>
      <c r="D2645" t="n">
        <v>4</v>
      </c>
      <c r="E2645" t="s">
        <v>2652</v>
      </c>
      <c r="F2645" t="s"/>
      <c r="G2645" t="s"/>
      <c r="H2645" t="s"/>
      <c r="I2645" t="s"/>
      <c r="J2645" t="n">
        <v>-0.9156</v>
      </c>
      <c r="K2645" t="n">
        <v>0.268</v>
      </c>
      <c r="L2645" t="n">
        <v>0.732</v>
      </c>
      <c r="M2645" t="n">
        <v>0</v>
      </c>
    </row>
    <row r="2646" spans="1:13">
      <c r="A2646" s="1">
        <f>HYPERLINK("http://www.twitter.com/NathanBLawrence/status/989907587662430209", "989907587662430209")</f>
        <v/>
      </c>
      <c r="B2646" s="2" t="n">
        <v>43217.69600694445</v>
      </c>
      <c r="C2646" t="n">
        <v>4</v>
      </c>
      <c r="D2646" t="n">
        <v>1</v>
      </c>
      <c r="E2646" t="s">
        <v>2653</v>
      </c>
      <c r="F2646" t="s"/>
      <c r="G2646" t="s"/>
      <c r="H2646" t="s"/>
      <c r="I2646" t="s"/>
      <c r="J2646" t="n">
        <v>-0.5147</v>
      </c>
      <c r="K2646" t="n">
        <v>0.131</v>
      </c>
      <c r="L2646" t="n">
        <v>0.869</v>
      </c>
      <c r="M2646" t="n">
        <v>0</v>
      </c>
    </row>
    <row r="2647" spans="1:13">
      <c r="A2647" s="1">
        <f>HYPERLINK("http://www.twitter.com/NathanBLawrence/status/989907300671373312", "989907300671373312")</f>
        <v/>
      </c>
      <c r="B2647" s="2" t="n">
        <v>43217.69520833333</v>
      </c>
      <c r="C2647" t="n">
        <v>0</v>
      </c>
      <c r="D2647" t="n">
        <v>318</v>
      </c>
      <c r="E2647" t="s">
        <v>2654</v>
      </c>
      <c r="F2647" t="s"/>
      <c r="G2647" t="s"/>
      <c r="H2647" t="s"/>
      <c r="I2647" t="s"/>
      <c r="J2647" t="n">
        <v>-0.296</v>
      </c>
      <c r="K2647" t="n">
        <v>0.104</v>
      </c>
      <c r="L2647" t="n">
        <v>0.896</v>
      </c>
      <c r="M2647" t="n">
        <v>0</v>
      </c>
    </row>
    <row r="2648" spans="1:13">
      <c r="A2648" s="1">
        <f>HYPERLINK("http://www.twitter.com/NathanBLawrence/status/989907256597659648", "989907256597659648")</f>
        <v/>
      </c>
      <c r="B2648" s="2" t="n">
        <v>43217.69509259259</v>
      </c>
      <c r="C2648" t="n">
        <v>2</v>
      </c>
      <c r="D2648" t="n">
        <v>3</v>
      </c>
      <c r="E2648" t="s">
        <v>2655</v>
      </c>
      <c r="F2648" t="s"/>
      <c r="G2648" t="s"/>
      <c r="H2648" t="s"/>
      <c r="I2648" t="s"/>
      <c r="J2648" t="n">
        <v>-0.8070000000000001</v>
      </c>
      <c r="K2648" t="n">
        <v>0.342</v>
      </c>
      <c r="L2648" t="n">
        <v>0.658</v>
      </c>
      <c r="M2648" t="n">
        <v>0</v>
      </c>
    </row>
    <row r="2649" spans="1:13">
      <c r="A2649" s="1">
        <f>HYPERLINK("http://www.twitter.com/NathanBLawrence/status/989907072438300672", "989907072438300672")</f>
        <v/>
      </c>
      <c r="B2649" s="2" t="n">
        <v>43217.69458333333</v>
      </c>
      <c r="C2649" t="n">
        <v>0</v>
      </c>
      <c r="D2649" t="n">
        <v>6259</v>
      </c>
      <c r="E2649" t="s">
        <v>2656</v>
      </c>
      <c r="F2649" t="s"/>
      <c r="G2649" t="s"/>
      <c r="H2649" t="s"/>
      <c r="I2649" t="s"/>
      <c r="J2649" t="n">
        <v>-0.3593</v>
      </c>
      <c r="K2649" t="n">
        <v>0.163</v>
      </c>
      <c r="L2649" t="n">
        <v>0.6909999999999999</v>
      </c>
      <c r="M2649" t="n">
        <v>0.146</v>
      </c>
    </row>
    <row r="2650" spans="1:13">
      <c r="A2650" s="1">
        <f>HYPERLINK("http://www.twitter.com/NathanBLawrence/status/989907005778280448", "989907005778280448")</f>
        <v/>
      </c>
      <c r="B2650" s="2" t="n">
        <v>43217.69439814815</v>
      </c>
      <c r="C2650" t="n">
        <v>7</v>
      </c>
      <c r="D2650" t="n">
        <v>7</v>
      </c>
      <c r="E2650" t="s">
        <v>2657</v>
      </c>
      <c r="F2650" t="s"/>
      <c r="G2650" t="s"/>
      <c r="H2650" t="s"/>
      <c r="I2650" t="s"/>
      <c r="J2650" t="n">
        <v>0.3365</v>
      </c>
      <c r="K2650" t="n">
        <v>0.077</v>
      </c>
      <c r="L2650" t="n">
        <v>0.8149999999999999</v>
      </c>
      <c r="M2650" t="n">
        <v>0.108</v>
      </c>
    </row>
    <row r="2651" spans="1:13">
      <c r="A2651" s="1">
        <f>HYPERLINK("http://www.twitter.com/NathanBLawrence/status/989906629188468736", "989906629188468736")</f>
        <v/>
      </c>
      <c r="B2651" s="2" t="n">
        <v>43217.69335648148</v>
      </c>
      <c r="C2651" t="n">
        <v>18</v>
      </c>
      <c r="D2651" t="n">
        <v>9</v>
      </c>
      <c r="E2651" t="s">
        <v>2658</v>
      </c>
      <c r="F2651" t="s"/>
      <c r="G2651" t="s"/>
      <c r="H2651" t="s"/>
      <c r="I2651" t="s"/>
      <c r="J2651" t="n">
        <v>-0.3578</v>
      </c>
      <c r="K2651" t="n">
        <v>0.053</v>
      </c>
      <c r="L2651" t="n">
        <v>0.947</v>
      </c>
      <c r="M2651" t="n">
        <v>0</v>
      </c>
    </row>
    <row r="2652" spans="1:13">
      <c r="A2652" s="1">
        <f>HYPERLINK("http://www.twitter.com/NathanBLawrence/status/989906172562960385", "989906172562960385")</f>
        <v/>
      </c>
      <c r="B2652" s="2" t="n">
        <v>43217.6920949074</v>
      </c>
      <c r="C2652" t="n">
        <v>3</v>
      </c>
      <c r="D2652" t="n">
        <v>1</v>
      </c>
      <c r="E2652" t="s">
        <v>2659</v>
      </c>
      <c r="F2652" t="s"/>
      <c r="G2652" t="s"/>
      <c r="H2652" t="s"/>
      <c r="I2652" t="s"/>
      <c r="J2652" t="n">
        <v>-0.8268</v>
      </c>
      <c r="K2652" t="n">
        <v>0.239</v>
      </c>
      <c r="L2652" t="n">
        <v>0.663</v>
      </c>
      <c r="M2652" t="n">
        <v>0.098</v>
      </c>
    </row>
    <row r="2653" spans="1:13">
      <c r="A2653" s="1">
        <f>HYPERLINK("http://www.twitter.com/NathanBLawrence/status/989905650732826625", "989905650732826625")</f>
        <v/>
      </c>
      <c r="B2653" s="2" t="n">
        <v>43217.69065972222</v>
      </c>
      <c r="C2653" t="n">
        <v>6</v>
      </c>
      <c r="D2653" t="n">
        <v>4</v>
      </c>
      <c r="E2653" t="s">
        <v>2660</v>
      </c>
      <c r="F2653" t="s"/>
      <c r="G2653" t="s"/>
      <c r="H2653" t="s"/>
      <c r="I2653" t="s"/>
      <c r="J2653" t="n">
        <v>0.4902</v>
      </c>
      <c r="K2653" t="n">
        <v>0.043</v>
      </c>
      <c r="L2653" t="n">
        <v>0.839</v>
      </c>
      <c r="M2653" t="n">
        <v>0.119</v>
      </c>
    </row>
    <row r="2654" spans="1:13">
      <c r="A2654" s="1">
        <f>HYPERLINK("http://www.twitter.com/NathanBLawrence/status/989905476287512577", "989905476287512577")</f>
        <v/>
      </c>
      <c r="B2654" s="2" t="n">
        <v>43217.69017361111</v>
      </c>
      <c r="C2654" t="n">
        <v>4</v>
      </c>
      <c r="D2654" t="n">
        <v>5</v>
      </c>
      <c r="E2654" t="s">
        <v>2661</v>
      </c>
      <c r="F2654" t="s"/>
      <c r="G2654" t="s"/>
      <c r="H2654" t="s"/>
      <c r="I2654" t="s"/>
      <c r="J2654" t="n">
        <v>0.3164</v>
      </c>
      <c r="K2654" t="n">
        <v>0</v>
      </c>
      <c r="L2654" t="n">
        <v>0.897</v>
      </c>
      <c r="M2654" t="n">
        <v>0.103</v>
      </c>
    </row>
    <row r="2655" spans="1:13">
      <c r="A2655" s="1">
        <f>HYPERLINK("http://www.twitter.com/NathanBLawrence/status/989904985000312832", "989904985000312832")</f>
        <v/>
      </c>
      <c r="B2655" s="2" t="n">
        <v>43217.68881944445</v>
      </c>
      <c r="C2655" t="n">
        <v>3</v>
      </c>
      <c r="D2655" t="n">
        <v>1</v>
      </c>
      <c r="E2655" t="s">
        <v>2662</v>
      </c>
      <c r="F2655" t="s"/>
      <c r="G2655" t="s"/>
      <c r="H2655" t="s"/>
      <c r="I2655" t="s"/>
      <c r="J2655" t="n">
        <v>0.5574</v>
      </c>
      <c r="K2655" t="n">
        <v>0.048</v>
      </c>
      <c r="L2655" t="n">
        <v>0.8120000000000001</v>
      </c>
      <c r="M2655" t="n">
        <v>0.14</v>
      </c>
    </row>
    <row r="2656" spans="1:13">
      <c r="A2656" s="1">
        <f>HYPERLINK("http://www.twitter.com/NathanBLawrence/status/989904157602598913", "989904157602598913")</f>
        <v/>
      </c>
      <c r="B2656" s="2" t="n">
        <v>43217.68653935185</v>
      </c>
      <c r="C2656" t="n">
        <v>6</v>
      </c>
      <c r="D2656" t="n">
        <v>2</v>
      </c>
      <c r="E2656" t="s">
        <v>2663</v>
      </c>
      <c r="F2656" t="s"/>
      <c r="G2656" t="s"/>
      <c r="H2656" t="s"/>
      <c r="I2656" t="s"/>
      <c r="J2656" t="n">
        <v>0</v>
      </c>
      <c r="K2656" t="n">
        <v>0</v>
      </c>
      <c r="L2656" t="n">
        <v>1</v>
      </c>
      <c r="M2656" t="n">
        <v>0</v>
      </c>
    </row>
    <row r="2657" spans="1:13">
      <c r="A2657" s="1">
        <f>HYPERLINK("http://www.twitter.com/NathanBLawrence/status/989904074173595649", "989904074173595649")</f>
        <v/>
      </c>
      <c r="B2657" s="2" t="n">
        <v>43217.68630787037</v>
      </c>
      <c r="C2657" t="n">
        <v>0</v>
      </c>
      <c r="D2657" t="n">
        <v>171</v>
      </c>
      <c r="E2657" t="s">
        <v>2664</v>
      </c>
      <c r="F2657" t="s"/>
      <c r="G2657" t="s"/>
      <c r="H2657" t="s"/>
      <c r="I2657" t="s"/>
      <c r="J2657" t="n">
        <v>0.2263</v>
      </c>
      <c r="K2657" t="n">
        <v>0.144</v>
      </c>
      <c r="L2657" t="n">
        <v>0.654</v>
      </c>
      <c r="M2657" t="n">
        <v>0.203</v>
      </c>
    </row>
    <row r="2658" spans="1:13">
      <c r="A2658" s="1">
        <f>HYPERLINK("http://www.twitter.com/NathanBLawrence/status/989904035678371840", "989904035678371840")</f>
        <v/>
      </c>
      <c r="B2658" s="2" t="n">
        <v>43217.68620370371</v>
      </c>
      <c r="C2658" t="n">
        <v>18</v>
      </c>
      <c r="D2658" t="n">
        <v>11</v>
      </c>
      <c r="E2658" t="s">
        <v>2665</v>
      </c>
      <c r="F2658" t="s"/>
      <c r="G2658" t="s"/>
      <c r="H2658" t="s"/>
      <c r="I2658" t="s"/>
      <c r="J2658" t="n">
        <v>-0.7793</v>
      </c>
      <c r="K2658" t="n">
        <v>0.14</v>
      </c>
      <c r="L2658" t="n">
        <v>0.8110000000000001</v>
      </c>
      <c r="M2658" t="n">
        <v>0.049</v>
      </c>
    </row>
    <row r="2659" spans="1:13">
      <c r="A2659" s="1">
        <f>HYPERLINK("http://www.twitter.com/NathanBLawrence/status/989903525273526274", "989903525273526274")</f>
        <v/>
      </c>
      <c r="B2659" s="2" t="n">
        <v>43217.68479166667</v>
      </c>
      <c r="C2659" t="n">
        <v>6</v>
      </c>
      <c r="D2659" t="n">
        <v>1</v>
      </c>
      <c r="E2659" t="s">
        <v>2666</v>
      </c>
      <c r="F2659" t="s"/>
      <c r="G2659" t="s"/>
      <c r="H2659" t="s"/>
      <c r="I2659" t="s"/>
      <c r="J2659" t="n">
        <v>0.3182</v>
      </c>
      <c r="K2659" t="n">
        <v>0</v>
      </c>
      <c r="L2659" t="n">
        <v>0.913</v>
      </c>
      <c r="M2659" t="n">
        <v>0.08699999999999999</v>
      </c>
    </row>
    <row r="2660" spans="1:13">
      <c r="A2660" s="1">
        <f>HYPERLINK("http://www.twitter.com/NathanBLawrence/status/989903440846336001", "989903440846336001")</f>
        <v/>
      </c>
      <c r="B2660" s="2" t="n">
        <v>43217.68456018518</v>
      </c>
      <c r="C2660" t="n">
        <v>11</v>
      </c>
      <c r="D2660" t="n">
        <v>7</v>
      </c>
      <c r="E2660" t="s">
        <v>2667</v>
      </c>
      <c r="F2660" t="s"/>
      <c r="G2660" t="s"/>
      <c r="H2660" t="s"/>
      <c r="I2660" t="s"/>
      <c r="J2660" t="n">
        <v>-0.5994</v>
      </c>
      <c r="K2660" t="n">
        <v>0.15</v>
      </c>
      <c r="L2660" t="n">
        <v>0.804</v>
      </c>
      <c r="M2660" t="n">
        <v>0.046</v>
      </c>
    </row>
    <row r="2661" spans="1:13">
      <c r="A2661" s="1">
        <f>HYPERLINK("http://www.twitter.com/NathanBLawrence/status/989895575976853504", "989895575976853504")</f>
        <v/>
      </c>
      <c r="B2661" s="2" t="n">
        <v>43217.6628587963</v>
      </c>
      <c r="C2661" t="n">
        <v>8</v>
      </c>
      <c r="D2661" t="n">
        <v>1</v>
      </c>
      <c r="E2661" t="s">
        <v>2668</v>
      </c>
      <c r="F2661" t="s"/>
      <c r="G2661" t="s"/>
      <c r="H2661" t="s"/>
      <c r="I2661" t="s"/>
      <c r="J2661" t="n">
        <v>0.2263</v>
      </c>
      <c r="K2661" t="n">
        <v>0.055</v>
      </c>
      <c r="L2661" t="n">
        <v>0.868</v>
      </c>
      <c r="M2661" t="n">
        <v>0.077</v>
      </c>
    </row>
    <row r="2662" spans="1:13">
      <c r="A2662" s="1">
        <f>HYPERLINK("http://www.twitter.com/NathanBLawrence/status/989895325820174336", "989895325820174336")</f>
        <v/>
      </c>
      <c r="B2662" s="2" t="n">
        <v>43217.66216435185</v>
      </c>
      <c r="C2662" t="n">
        <v>6</v>
      </c>
      <c r="D2662" t="n">
        <v>1</v>
      </c>
      <c r="E2662" t="s">
        <v>2669</v>
      </c>
      <c r="F2662" t="s"/>
      <c r="G2662" t="s"/>
      <c r="H2662" t="s"/>
      <c r="I2662" t="s"/>
      <c r="J2662" t="n">
        <v>0.0772</v>
      </c>
      <c r="K2662" t="n">
        <v>0</v>
      </c>
      <c r="L2662" t="n">
        <v>0.874</v>
      </c>
      <c r="M2662" t="n">
        <v>0.126</v>
      </c>
    </row>
    <row r="2663" spans="1:13">
      <c r="A2663" s="1">
        <f>HYPERLINK("http://www.twitter.com/NathanBLawrence/status/989893859634176001", "989893859634176001")</f>
        <v/>
      </c>
      <c r="B2663" s="2" t="n">
        <v>43217.658125</v>
      </c>
      <c r="C2663" t="n">
        <v>10</v>
      </c>
      <c r="D2663" t="n">
        <v>6</v>
      </c>
      <c r="E2663" t="s">
        <v>2670</v>
      </c>
      <c r="F2663" t="s"/>
      <c r="G2663" t="s"/>
      <c r="H2663" t="s"/>
      <c r="I2663" t="s"/>
      <c r="J2663" t="n">
        <v>-0.75</v>
      </c>
      <c r="K2663" t="n">
        <v>0.246</v>
      </c>
      <c r="L2663" t="n">
        <v>0.674</v>
      </c>
      <c r="M2663" t="n">
        <v>0.08</v>
      </c>
    </row>
    <row r="2664" spans="1:13">
      <c r="A2664" s="1">
        <f>HYPERLINK("http://www.twitter.com/NathanBLawrence/status/989891464401334272", "989891464401334272")</f>
        <v/>
      </c>
      <c r="B2664" s="2" t="n">
        <v>43217.6515162037</v>
      </c>
      <c r="C2664" t="n">
        <v>10</v>
      </c>
      <c r="D2664" t="n">
        <v>5</v>
      </c>
      <c r="E2664" t="s">
        <v>2671</v>
      </c>
      <c r="F2664" t="s"/>
      <c r="G2664" t="s"/>
      <c r="H2664" t="s"/>
      <c r="I2664" t="s"/>
      <c r="J2664" t="n">
        <v>-0.9041</v>
      </c>
      <c r="K2664" t="n">
        <v>0.258</v>
      </c>
      <c r="L2664" t="n">
        <v>0.742</v>
      </c>
      <c r="M2664" t="n">
        <v>0</v>
      </c>
    </row>
    <row r="2665" spans="1:13">
      <c r="A2665" s="1">
        <f>HYPERLINK("http://www.twitter.com/NathanBLawrence/status/989733339429912577", "989733339429912577")</f>
        <v/>
      </c>
      <c r="B2665" s="2" t="n">
        <v>43217.21517361111</v>
      </c>
      <c r="C2665" t="n">
        <v>0</v>
      </c>
      <c r="D2665" t="n">
        <v>219</v>
      </c>
      <c r="E2665" t="s">
        <v>2672</v>
      </c>
      <c r="F2665">
        <f>HYPERLINK("http://pbs.twimg.com/media/Dbu_n-zUwAAnVXh.jpg", "http://pbs.twimg.com/media/Dbu_n-zUwAAnVXh.jpg")</f>
        <v/>
      </c>
      <c r="G2665" t="s"/>
      <c r="H2665" t="s"/>
      <c r="I2665" t="s"/>
      <c r="J2665" t="n">
        <v>-0.3818</v>
      </c>
      <c r="K2665" t="n">
        <v>0.12</v>
      </c>
      <c r="L2665" t="n">
        <v>0.88</v>
      </c>
      <c r="M2665" t="n">
        <v>0</v>
      </c>
    </row>
    <row r="2666" spans="1:13">
      <c r="A2666" s="1">
        <f>HYPERLINK("http://www.twitter.com/NathanBLawrence/status/989733289563901952", "989733289563901952")</f>
        <v/>
      </c>
      <c r="B2666" s="2" t="n">
        <v>43217.21503472222</v>
      </c>
      <c r="C2666" t="n">
        <v>0</v>
      </c>
      <c r="D2666" t="n">
        <v>61</v>
      </c>
      <c r="E2666" t="s">
        <v>2673</v>
      </c>
      <c r="F2666">
        <f>HYPERLINK("http://pbs.twimg.com/media/Dbw1PKDU8AILYHx.jpg", "http://pbs.twimg.com/media/Dbw1PKDU8AILYHx.jpg")</f>
        <v/>
      </c>
      <c r="G2666" t="s"/>
      <c r="H2666" t="s"/>
      <c r="I2666" t="s"/>
      <c r="J2666" t="n">
        <v>-0.296</v>
      </c>
      <c r="K2666" t="n">
        <v>0.104</v>
      </c>
      <c r="L2666" t="n">
        <v>0.896</v>
      </c>
      <c r="M2666" t="n">
        <v>0</v>
      </c>
    </row>
    <row r="2667" spans="1:13">
      <c r="A2667" s="1">
        <f>HYPERLINK("http://www.twitter.com/NathanBLawrence/status/989732826953076737", "989732826953076737")</f>
        <v/>
      </c>
      <c r="B2667" s="2" t="n">
        <v>43217.21375</v>
      </c>
      <c r="C2667" t="n">
        <v>0</v>
      </c>
      <c r="D2667" t="n">
        <v>1036</v>
      </c>
      <c r="E2667" t="s">
        <v>2674</v>
      </c>
      <c r="F2667">
        <f>HYPERLINK("http://pbs.twimg.com/media/Dbwio-TVQAINiTu.jpg", "http://pbs.twimg.com/media/Dbwio-TVQAINiTu.jpg")</f>
        <v/>
      </c>
      <c r="G2667" t="s"/>
      <c r="H2667" t="s"/>
      <c r="I2667" t="s"/>
      <c r="J2667" t="n">
        <v>0</v>
      </c>
      <c r="K2667" t="n">
        <v>0</v>
      </c>
      <c r="L2667" t="n">
        <v>1</v>
      </c>
      <c r="M2667" t="n">
        <v>0</v>
      </c>
    </row>
    <row r="2668" spans="1:13">
      <c r="A2668" s="1">
        <f>HYPERLINK("http://www.twitter.com/NathanBLawrence/status/989731531429048320", "989731531429048320")</f>
        <v/>
      </c>
      <c r="B2668" s="2" t="n">
        <v>43217.21018518518</v>
      </c>
      <c r="C2668" t="n">
        <v>0</v>
      </c>
      <c r="D2668" t="n">
        <v>547</v>
      </c>
      <c r="E2668" t="s">
        <v>2675</v>
      </c>
      <c r="F2668" t="s"/>
      <c r="G2668" t="s"/>
      <c r="H2668" t="s"/>
      <c r="I2668" t="s"/>
      <c r="J2668" t="n">
        <v>-0.3612</v>
      </c>
      <c r="K2668" t="n">
        <v>0.116</v>
      </c>
      <c r="L2668" t="n">
        <v>0.884</v>
      </c>
      <c r="M2668" t="n">
        <v>0</v>
      </c>
    </row>
    <row r="2669" spans="1:13">
      <c r="A2669" s="1">
        <f>HYPERLINK("http://www.twitter.com/NathanBLawrence/status/989731426089091073", "989731426089091073")</f>
        <v/>
      </c>
      <c r="B2669" s="2" t="n">
        <v>43217.20988425926</v>
      </c>
      <c r="C2669" t="n">
        <v>0</v>
      </c>
      <c r="D2669" t="n">
        <v>1465</v>
      </c>
      <c r="E2669" t="s">
        <v>2676</v>
      </c>
      <c r="F2669">
        <f>HYPERLINK("https://video.twimg.com/ext_tw_video/989362689754435584/pu/vid/1280x720/nxobyLd9m3bszowR.mp4?tag=3", "https://video.twimg.com/ext_tw_video/989362689754435584/pu/vid/1280x720/nxobyLd9m3bszowR.mp4?tag=3")</f>
        <v/>
      </c>
      <c r="G2669" t="s"/>
      <c r="H2669" t="s"/>
      <c r="I2669" t="s"/>
      <c r="J2669" t="n">
        <v>0.93</v>
      </c>
      <c r="K2669" t="n">
        <v>0</v>
      </c>
      <c r="L2669" t="n">
        <v>0.5659999999999999</v>
      </c>
      <c r="M2669" t="n">
        <v>0.434</v>
      </c>
    </row>
    <row r="2670" spans="1:13">
      <c r="A2670" s="1">
        <f>HYPERLINK("http://www.twitter.com/NathanBLawrence/status/989731265032040448", "989731265032040448")</f>
        <v/>
      </c>
      <c r="B2670" s="2" t="n">
        <v>43217.20944444444</v>
      </c>
      <c r="C2670" t="n">
        <v>0</v>
      </c>
      <c r="D2670" t="n">
        <v>10649</v>
      </c>
      <c r="E2670" t="s">
        <v>2677</v>
      </c>
      <c r="F2670" t="s"/>
      <c r="G2670" t="s"/>
      <c r="H2670" t="s"/>
      <c r="I2670" t="s"/>
      <c r="J2670" t="n">
        <v>0.9360000000000001</v>
      </c>
      <c r="K2670" t="n">
        <v>0</v>
      </c>
      <c r="L2670" t="n">
        <v>0.543</v>
      </c>
      <c r="M2670" t="n">
        <v>0.457</v>
      </c>
    </row>
    <row r="2671" spans="1:13">
      <c r="A2671" s="1">
        <f>HYPERLINK("http://www.twitter.com/NathanBLawrence/status/989731191686283265", "989731191686283265")</f>
        <v/>
      </c>
      <c r="B2671" s="2" t="n">
        <v>43217.20924768518</v>
      </c>
      <c r="C2671" t="n">
        <v>0</v>
      </c>
      <c r="D2671" t="n">
        <v>9313</v>
      </c>
      <c r="E2671" t="s">
        <v>2678</v>
      </c>
      <c r="F2671" t="s"/>
      <c r="G2671" t="s"/>
      <c r="H2671" t="s"/>
      <c r="I2671" t="s"/>
      <c r="J2671" t="n">
        <v>0.6956</v>
      </c>
      <c r="K2671" t="n">
        <v>0</v>
      </c>
      <c r="L2671" t="n">
        <v>0.8159999999999999</v>
      </c>
      <c r="M2671" t="n">
        <v>0.184</v>
      </c>
    </row>
    <row r="2672" spans="1:13">
      <c r="A2672" s="1">
        <f>HYPERLINK("http://www.twitter.com/NathanBLawrence/status/989730992653938689", "989730992653938689")</f>
        <v/>
      </c>
      <c r="B2672" s="2" t="n">
        <v>43217.20869212963</v>
      </c>
      <c r="C2672" t="n">
        <v>0</v>
      </c>
      <c r="D2672" t="n">
        <v>1377</v>
      </c>
      <c r="E2672" t="s">
        <v>2679</v>
      </c>
      <c r="F2672">
        <f>HYPERLINK("https://video.twimg.com/ext_tw_video/989650990021382147/pu/vid/1280x720/SN7u5LuWL3L8V1ot.mp4?tag=3", "https://video.twimg.com/ext_tw_video/989650990021382147/pu/vid/1280x720/SN7u5LuWL3L8V1ot.mp4?tag=3")</f>
        <v/>
      </c>
      <c r="G2672" t="s"/>
      <c r="H2672" t="s"/>
      <c r="I2672" t="s"/>
      <c r="J2672" t="n">
        <v>0.0372</v>
      </c>
      <c r="K2672" t="n">
        <v>0.063</v>
      </c>
      <c r="L2672" t="n">
        <v>0.868</v>
      </c>
      <c r="M2672" t="n">
        <v>0.07000000000000001</v>
      </c>
    </row>
    <row r="2673" spans="1:13">
      <c r="A2673" s="1">
        <f>HYPERLINK("http://www.twitter.com/NathanBLawrence/status/989730931668729857", "989730931668729857")</f>
        <v/>
      </c>
      <c r="B2673" s="2" t="n">
        <v>43217.20853009259</v>
      </c>
      <c r="C2673" t="n">
        <v>0</v>
      </c>
      <c r="D2673" t="n">
        <v>5295</v>
      </c>
      <c r="E2673" t="s">
        <v>2680</v>
      </c>
      <c r="F2673">
        <f>HYPERLINK("http://pbs.twimg.com/media/DbwUjr2X4AAUyep.jpg", "http://pbs.twimg.com/media/DbwUjr2X4AAUyep.jpg")</f>
        <v/>
      </c>
      <c r="G2673" t="s"/>
      <c r="H2673" t="s"/>
      <c r="I2673" t="s"/>
      <c r="J2673" t="n">
        <v>0.1007</v>
      </c>
      <c r="K2673" t="n">
        <v>0.307</v>
      </c>
      <c r="L2673" t="n">
        <v>0.455</v>
      </c>
      <c r="M2673" t="n">
        <v>0.239</v>
      </c>
    </row>
    <row r="2674" spans="1:13">
      <c r="A2674" s="1">
        <f>HYPERLINK("http://www.twitter.com/NathanBLawrence/status/989730813603233794", "989730813603233794")</f>
        <v/>
      </c>
      <c r="B2674" s="2" t="n">
        <v>43217.20819444444</v>
      </c>
      <c r="C2674" t="n">
        <v>0</v>
      </c>
      <c r="D2674" t="n">
        <v>1121</v>
      </c>
      <c r="E2674" t="s">
        <v>2681</v>
      </c>
      <c r="F2674" t="s"/>
      <c r="G2674" t="s"/>
      <c r="H2674" t="s"/>
      <c r="I2674" t="s"/>
      <c r="J2674" t="n">
        <v>-0.5994</v>
      </c>
      <c r="K2674" t="n">
        <v>0.135</v>
      </c>
      <c r="L2674" t="n">
        <v>0.865</v>
      </c>
      <c r="M2674" t="n">
        <v>0</v>
      </c>
    </row>
    <row r="2675" spans="1:13">
      <c r="A2675" s="1">
        <f>HYPERLINK("http://www.twitter.com/NathanBLawrence/status/989730739376697344", "989730739376697344")</f>
        <v/>
      </c>
      <c r="B2675" s="2" t="n">
        <v>43217.20799768518</v>
      </c>
      <c r="C2675" t="n">
        <v>0</v>
      </c>
      <c r="D2675" t="n">
        <v>6577</v>
      </c>
      <c r="E2675" t="s">
        <v>2682</v>
      </c>
      <c r="F2675" t="s"/>
      <c r="G2675" t="s"/>
      <c r="H2675" t="s"/>
      <c r="I2675" t="s"/>
      <c r="J2675" t="n">
        <v>0.8807</v>
      </c>
      <c r="K2675" t="n">
        <v>0</v>
      </c>
      <c r="L2675" t="n">
        <v>0.227</v>
      </c>
      <c r="M2675" t="n">
        <v>0.773</v>
      </c>
    </row>
    <row r="2676" spans="1:13">
      <c r="A2676" s="1">
        <f>HYPERLINK("http://www.twitter.com/NathanBLawrence/status/989730530550628353", "989730530550628353")</f>
        <v/>
      </c>
      <c r="B2676" s="2" t="n">
        <v>43217.20741898148</v>
      </c>
      <c r="C2676" t="n">
        <v>0</v>
      </c>
      <c r="D2676" t="n">
        <v>520</v>
      </c>
      <c r="E2676" t="s">
        <v>2683</v>
      </c>
      <c r="F2676" t="s"/>
      <c r="G2676" t="s"/>
      <c r="H2676" t="s"/>
      <c r="I2676" t="s"/>
      <c r="J2676" t="n">
        <v>0.296</v>
      </c>
      <c r="K2676" t="n">
        <v>0</v>
      </c>
      <c r="L2676" t="n">
        <v>0.905</v>
      </c>
      <c r="M2676" t="n">
        <v>0.095</v>
      </c>
    </row>
    <row r="2677" spans="1:13">
      <c r="A2677" s="1">
        <f>HYPERLINK("http://www.twitter.com/NathanBLawrence/status/989730208021278720", "989730208021278720")</f>
        <v/>
      </c>
      <c r="B2677" s="2" t="n">
        <v>43217.20652777778</v>
      </c>
      <c r="C2677" t="n">
        <v>0</v>
      </c>
      <c r="D2677" t="n">
        <v>7</v>
      </c>
      <c r="E2677" t="s">
        <v>2684</v>
      </c>
      <c r="F2677" t="s"/>
      <c r="G2677" t="s"/>
      <c r="H2677" t="s"/>
      <c r="I2677" t="s"/>
      <c r="J2677" t="n">
        <v>0</v>
      </c>
      <c r="K2677" t="n">
        <v>0</v>
      </c>
      <c r="L2677" t="n">
        <v>1</v>
      </c>
      <c r="M2677" t="n">
        <v>0</v>
      </c>
    </row>
    <row r="2678" spans="1:13">
      <c r="A2678" s="1">
        <f>HYPERLINK("http://www.twitter.com/NathanBLawrence/status/989730006032048130", "989730006032048130")</f>
        <v/>
      </c>
      <c r="B2678" s="2" t="n">
        <v>43217.20597222223</v>
      </c>
      <c r="C2678" t="n">
        <v>0</v>
      </c>
      <c r="D2678" t="n">
        <v>6</v>
      </c>
      <c r="E2678" t="s">
        <v>2685</v>
      </c>
      <c r="F2678" t="s"/>
      <c r="G2678" t="s"/>
      <c r="H2678" t="s"/>
      <c r="I2678" t="s"/>
      <c r="J2678" t="n">
        <v>0.8415</v>
      </c>
      <c r="K2678" t="n">
        <v>0</v>
      </c>
      <c r="L2678" t="n">
        <v>0.639</v>
      </c>
      <c r="M2678" t="n">
        <v>0.361</v>
      </c>
    </row>
    <row r="2679" spans="1:13">
      <c r="A2679" s="1">
        <f>HYPERLINK("http://www.twitter.com/NathanBLawrence/status/989729960934821893", "989729960934821893")</f>
        <v/>
      </c>
      <c r="B2679" s="2" t="n">
        <v>43217.20584490741</v>
      </c>
      <c r="C2679" t="n">
        <v>0</v>
      </c>
      <c r="D2679" t="n">
        <v>190</v>
      </c>
      <c r="E2679" t="s">
        <v>2686</v>
      </c>
      <c r="F2679" t="s"/>
      <c r="G2679" t="s"/>
      <c r="H2679" t="s"/>
      <c r="I2679" t="s"/>
      <c r="J2679" t="n">
        <v>-0.296</v>
      </c>
      <c r="K2679" t="n">
        <v>0.136</v>
      </c>
      <c r="L2679" t="n">
        <v>0.864</v>
      </c>
      <c r="M2679" t="n">
        <v>0</v>
      </c>
    </row>
    <row r="2680" spans="1:13">
      <c r="A2680" s="1">
        <f>HYPERLINK("http://www.twitter.com/NathanBLawrence/status/989729914810073088", "989729914810073088")</f>
        <v/>
      </c>
      <c r="B2680" s="2" t="n">
        <v>43217.20571759259</v>
      </c>
      <c r="C2680" t="n">
        <v>0</v>
      </c>
      <c r="D2680" t="n">
        <v>3</v>
      </c>
      <c r="E2680" t="s">
        <v>2687</v>
      </c>
      <c r="F2680" t="s"/>
      <c r="G2680" t="s"/>
      <c r="H2680" t="s"/>
      <c r="I2680" t="s"/>
      <c r="J2680" t="n">
        <v>0.5994</v>
      </c>
      <c r="K2680" t="n">
        <v>0</v>
      </c>
      <c r="L2680" t="n">
        <v>0.671</v>
      </c>
      <c r="M2680" t="n">
        <v>0.329</v>
      </c>
    </row>
    <row r="2681" spans="1:13">
      <c r="A2681" s="1">
        <f>HYPERLINK("http://www.twitter.com/NathanBLawrence/status/989729711877013504", "989729711877013504")</f>
        <v/>
      </c>
      <c r="B2681" s="2" t="n">
        <v>43217.20516203704</v>
      </c>
      <c r="C2681" t="n">
        <v>0</v>
      </c>
      <c r="D2681" t="n">
        <v>608</v>
      </c>
      <c r="E2681" t="s">
        <v>2688</v>
      </c>
      <c r="F2681">
        <f>HYPERLINK("https://video.twimg.com/ext_tw_video/986993246172786688/pu/vid/1280x720/lo-bZglBXlrg1dlD.mp4?tag=3", "https://video.twimg.com/ext_tw_video/986993246172786688/pu/vid/1280x720/lo-bZglBXlrg1dlD.mp4?tag=3")</f>
        <v/>
      </c>
      <c r="G2681" t="s"/>
      <c r="H2681" t="s"/>
      <c r="I2681" t="s"/>
      <c r="J2681" t="n">
        <v>0.5411</v>
      </c>
      <c r="K2681" t="n">
        <v>0</v>
      </c>
      <c r="L2681" t="n">
        <v>0.857</v>
      </c>
      <c r="M2681" t="n">
        <v>0.143</v>
      </c>
    </row>
    <row r="2682" spans="1:13">
      <c r="A2682" s="1">
        <f>HYPERLINK("http://www.twitter.com/NathanBLawrence/status/989729463737843712", "989729463737843712")</f>
        <v/>
      </c>
      <c r="B2682" s="2" t="n">
        <v>43217.20447916666</v>
      </c>
      <c r="C2682" t="n">
        <v>0</v>
      </c>
      <c r="D2682" t="n">
        <v>709</v>
      </c>
      <c r="E2682" t="s">
        <v>2689</v>
      </c>
      <c r="F2682">
        <f>HYPERLINK("https://video.twimg.com/ext_tw_video/987366783035301888/pu/vid/318x180/Hk3ydk7x8m8-BH1z.mp4?tag=3", "https://video.twimg.com/ext_tw_video/987366783035301888/pu/vid/318x180/Hk3ydk7x8m8-BH1z.mp4?tag=3")</f>
        <v/>
      </c>
      <c r="G2682" t="s"/>
      <c r="H2682" t="s"/>
      <c r="I2682" t="s"/>
      <c r="J2682" t="n">
        <v>0.6329</v>
      </c>
      <c r="K2682" t="n">
        <v>0</v>
      </c>
      <c r="L2682" t="n">
        <v>0.8100000000000001</v>
      </c>
      <c r="M2682" t="n">
        <v>0.19</v>
      </c>
    </row>
    <row r="2683" spans="1:13">
      <c r="A2683" s="1">
        <f>HYPERLINK("http://www.twitter.com/NathanBLawrence/status/989729089907929089", "989729089907929089")</f>
        <v/>
      </c>
      <c r="B2683" s="2" t="n">
        <v>43217.2034375</v>
      </c>
      <c r="C2683" t="n">
        <v>5</v>
      </c>
      <c r="D2683" t="n">
        <v>3</v>
      </c>
      <c r="E2683" t="s">
        <v>2690</v>
      </c>
      <c r="F2683" t="s"/>
      <c r="G2683" t="s"/>
      <c r="H2683" t="s"/>
      <c r="I2683" t="s"/>
      <c r="J2683" t="n">
        <v>-0.2593</v>
      </c>
      <c r="K2683" t="n">
        <v>0.08599999999999999</v>
      </c>
      <c r="L2683" t="n">
        <v>0.799</v>
      </c>
      <c r="M2683" t="n">
        <v>0.115</v>
      </c>
    </row>
    <row r="2684" spans="1:13">
      <c r="A2684" s="1">
        <f>HYPERLINK("http://www.twitter.com/NathanBLawrence/status/989728687028297729", "989728687028297729")</f>
        <v/>
      </c>
      <c r="B2684" s="2" t="n">
        <v>43217.20232638889</v>
      </c>
      <c r="C2684" t="n">
        <v>0</v>
      </c>
      <c r="D2684" t="n">
        <v>488</v>
      </c>
      <c r="E2684" t="s">
        <v>2691</v>
      </c>
      <c r="F2684" t="s"/>
      <c r="G2684" t="s"/>
      <c r="H2684" t="s"/>
      <c r="I2684" t="s"/>
      <c r="J2684" t="n">
        <v>0</v>
      </c>
      <c r="K2684" t="n">
        <v>0.064</v>
      </c>
      <c r="L2684" t="n">
        <v>0.872</v>
      </c>
      <c r="M2684" t="n">
        <v>0.064</v>
      </c>
    </row>
    <row r="2685" spans="1:13">
      <c r="A2685" s="1">
        <f>HYPERLINK("http://www.twitter.com/NathanBLawrence/status/989728602877919237", "989728602877919237")</f>
        <v/>
      </c>
      <c r="B2685" s="2" t="n">
        <v>43217.20209490741</v>
      </c>
      <c r="C2685" t="n">
        <v>0</v>
      </c>
      <c r="D2685" t="n">
        <v>507</v>
      </c>
      <c r="E2685" t="s">
        <v>2692</v>
      </c>
      <c r="F2685" t="s"/>
      <c r="G2685" t="s"/>
      <c r="H2685" t="s"/>
      <c r="I2685" t="s"/>
      <c r="J2685" t="n">
        <v>-0.2023</v>
      </c>
      <c r="K2685" t="n">
        <v>0.079</v>
      </c>
      <c r="L2685" t="n">
        <v>0.921</v>
      </c>
      <c r="M2685" t="n">
        <v>0</v>
      </c>
    </row>
    <row r="2686" spans="1:13">
      <c r="A2686" s="1">
        <f>HYPERLINK("http://www.twitter.com/NathanBLawrence/status/989728561601769479", "989728561601769479")</f>
        <v/>
      </c>
      <c r="B2686" s="2" t="n">
        <v>43217.20199074074</v>
      </c>
      <c r="C2686" t="n">
        <v>0</v>
      </c>
      <c r="D2686" t="n">
        <v>394</v>
      </c>
      <c r="E2686" t="s">
        <v>2693</v>
      </c>
      <c r="F2686">
        <f>HYPERLINK("https://video.twimg.com/ext_tw_video/988838670026276866/pu/vid/1280x720/IVc0U5A05786Om-s.mp4?tag=3", "https://video.twimg.com/ext_tw_video/988838670026276866/pu/vid/1280x720/IVc0U5A05786Om-s.mp4?tag=3")</f>
        <v/>
      </c>
      <c r="G2686" t="s"/>
      <c r="H2686" t="s"/>
      <c r="I2686" t="s"/>
      <c r="J2686" t="n">
        <v>-0.0772</v>
      </c>
      <c r="K2686" t="n">
        <v>0.172</v>
      </c>
      <c r="L2686" t="n">
        <v>0.67</v>
      </c>
      <c r="M2686" t="n">
        <v>0.158</v>
      </c>
    </row>
    <row r="2687" spans="1:13">
      <c r="A2687" s="1">
        <f>HYPERLINK("http://www.twitter.com/NathanBLawrence/status/989728491074605056", "989728491074605056")</f>
        <v/>
      </c>
      <c r="B2687" s="2" t="n">
        <v>43217.20179398148</v>
      </c>
      <c r="C2687" t="n">
        <v>3</v>
      </c>
      <c r="D2687" t="n">
        <v>1</v>
      </c>
      <c r="E2687" t="s">
        <v>2694</v>
      </c>
      <c r="F2687" t="s"/>
      <c r="G2687" t="s"/>
      <c r="H2687" t="s"/>
      <c r="I2687" t="s"/>
      <c r="J2687" t="n">
        <v>-0.0062</v>
      </c>
      <c r="K2687" t="n">
        <v>0.07099999999999999</v>
      </c>
      <c r="L2687" t="n">
        <v>0.859</v>
      </c>
      <c r="M2687" t="n">
        <v>0.07000000000000001</v>
      </c>
    </row>
    <row r="2688" spans="1:13">
      <c r="A2688" s="1">
        <f>HYPERLINK("http://www.twitter.com/NathanBLawrence/status/989727943411683331", "989727943411683331")</f>
        <v/>
      </c>
      <c r="B2688" s="2" t="n">
        <v>43217.20027777777</v>
      </c>
      <c r="C2688" t="n">
        <v>0</v>
      </c>
      <c r="D2688" t="n">
        <v>1284</v>
      </c>
      <c r="E2688" t="s">
        <v>2695</v>
      </c>
      <c r="F2688" t="s"/>
      <c r="G2688" t="s"/>
      <c r="H2688" t="s"/>
      <c r="I2688" t="s"/>
      <c r="J2688" t="n">
        <v>-0.2732</v>
      </c>
      <c r="K2688" t="n">
        <v>0.188</v>
      </c>
      <c r="L2688" t="n">
        <v>0.667</v>
      </c>
      <c r="M2688" t="n">
        <v>0.145</v>
      </c>
    </row>
    <row r="2689" spans="1:13">
      <c r="A2689" s="1">
        <f>HYPERLINK("http://www.twitter.com/NathanBLawrence/status/989727770971328514", "989727770971328514")</f>
        <v/>
      </c>
      <c r="B2689" s="2" t="n">
        <v>43217.19980324074</v>
      </c>
      <c r="C2689" t="n">
        <v>0</v>
      </c>
      <c r="D2689" t="n">
        <v>240</v>
      </c>
      <c r="E2689" t="s">
        <v>2696</v>
      </c>
      <c r="F2689" t="s"/>
      <c r="G2689" t="s"/>
      <c r="H2689" t="s"/>
      <c r="I2689" t="s"/>
      <c r="J2689" t="n">
        <v>0.5707</v>
      </c>
      <c r="K2689" t="n">
        <v>0</v>
      </c>
      <c r="L2689" t="n">
        <v>0.6840000000000001</v>
      </c>
      <c r="M2689" t="n">
        <v>0.316</v>
      </c>
    </row>
    <row r="2690" spans="1:13">
      <c r="A2690" s="1">
        <f>HYPERLINK("http://www.twitter.com/NathanBLawrence/status/989727544168538112", "989727544168538112")</f>
        <v/>
      </c>
      <c r="B2690" s="2" t="n">
        <v>43217.19917824074</v>
      </c>
      <c r="C2690" t="n">
        <v>0</v>
      </c>
      <c r="D2690" t="n">
        <v>823</v>
      </c>
      <c r="E2690" t="s">
        <v>2697</v>
      </c>
      <c r="F2690" t="s"/>
      <c r="G2690" t="s"/>
      <c r="H2690" t="s"/>
      <c r="I2690" t="s"/>
      <c r="J2690" t="n">
        <v>0.128</v>
      </c>
      <c r="K2690" t="n">
        <v>0.127</v>
      </c>
      <c r="L2690" t="n">
        <v>0.724</v>
      </c>
      <c r="M2690" t="n">
        <v>0.149</v>
      </c>
    </row>
    <row r="2691" spans="1:13">
      <c r="A2691" s="1">
        <f>HYPERLINK("http://www.twitter.com/NathanBLawrence/status/989715874297794560", "989715874297794560")</f>
        <v/>
      </c>
      <c r="B2691" s="2" t="n">
        <v>43217.16697916666</v>
      </c>
      <c r="C2691" t="n">
        <v>6</v>
      </c>
      <c r="D2691" t="n">
        <v>1</v>
      </c>
      <c r="E2691" t="s">
        <v>2698</v>
      </c>
      <c r="F2691" t="s"/>
      <c r="G2691" t="s"/>
      <c r="H2691" t="s"/>
      <c r="I2691" t="s"/>
      <c r="J2691" t="n">
        <v>0.6369</v>
      </c>
      <c r="K2691" t="n">
        <v>0</v>
      </c>
      <c r="L2691" t="n">
        <v>0.769</v>
      </c>
      <c r="M2691" t="n">
        <v>0.231</v>
      </c>
    </row>
    <row r="2692" spans="1:13">
      <c r="A2692" s="1">
        <f>HYPERLINK("http://www.twitter.com/NathanBLawrence/status/989715824330981376", "989715824330981376")</f>
        <v/>
      </c>
      <c r="B2692" s="2" t="n">
        <v>43217.16684027778</v>
      </c>
      <c r="C2692" t="n">
        <v>6</v>
      </c>
      <c r="D2692" t="n">
        <v>5</v>
      </c>
      <c r="E2692" t="s">
        <v>2699</v>
      </c>
      <c r="F2692" t="s"/>
      <c r="G2692" t="s"/>
      <c r="H2692" t="s"/>
      <c r="I2692" t="s"/>
      <c r="J2692" t="n">
        <v>-0.2263</v>
      </c>
      <c r="K2692" t="n">
        <v>0.08699999999999999</v>
      </c>
      <c r="L2692" t="n">
        <v>0.913</v>
      </c>
      <c r="M2692" t="n">
        <v>0</v>
      </c>
    </row>
    <row r="2693" spans="1:13">
      <c r="A2693" s="1">
        <f>HYPERLINK("http://www.twitter.com/NathanBLawrence/status/989715367747452928", "989715367747452928")</f>
        <v/>
      </c>
      <c r="B2693" s="2" t="n">
        <v>43217.1655787037</v>
      </c>
      <c r="C2693" t="n">
        <v>7</v>
      </c>
      <c r="D2693" t="n">
        <v>2</v>
      </c>
      <c r="E2693" t="s">
        <v>2700</v>
      </c>
      <c r="F2693" t="s"/>
      <c r="G2693" t="s"/>
      <c r="H2693" t="s"/>
      <c r="I2693" t="s"/>
      <c r="J2693" t="n">
        <v>0.5106000000000001</v>
      </c>
      <c r="K2693" t="n">
        <v>0</v>
      </c>
      <c r="L2693" t="n">
        <v>0.858</v>
      </c>
      <c r="M2693" t="n">
        <v>0.142</v>
      </c>
    </row>
    <row r="2694" spans="1:13">
      <c r="A2694" s="1">
        <f>HYPERLINK("http://www.twitter.com/NathanBLawrence/status/989715294967877632", "989715294967877632")</f>
        <v/>
      </c>
      <c r="B2694" s="2" t="n">
        <v>43217.16537037037</v>
      </c>
      <c r="C2694" t="n">
        <v>8</v>
      </c>
      <c r="D2694" t="n">
        <v>8</v>
      </c>
      <c r="E2694" t="s">
        <v>2701</v>
      </c>
      <c r="F2694" t="s"/>
      <c r="G2694" t="s"/>
      <c r="H2694" t="s"/>
      <c r="I2694" t="s"/>
      <c r="J2694" t="n">
        <v>0.25</v>
      </c>
      <c r="K2694" t="n">
        <v>0</v>
      </c>
      <c r="L2694" t="n">
        <v>0.889</v>
      </c>
      <c r="M2694" t="n">
        <v>0.111</v>
      </c>
    </row>
    <row r="2695" spans="1:13">
      <c r="A2695" s="1">
        <f>HYPERLINK("http://www.twitter.com/NathanBLawrence/status/989715241817722886", "989715241817722886")</f>
        <v/>
      </c>
      <c r="B2695" s="2" t="n">
        <v>43217.16523148148</v>
      </c>
      <c r="C2695" t="n">
        <v>4</v>
      </c>
      <c r="D2695" t="n">
        <v>2</v>
      </c>
      <c r="E2695" t="s">
        <v>2702</v>
      </c>
      <c r="F2695" t="s"/>
      <c r="G2695" t="s"/>
      <c r="H2695" t="s"/>
      <c r="I2695" t="s"/>
      <c r="J2695" t="n">
        <v>0</v>
      </c>
      <c r="K2695" t="n">
        <v>0</v>
      </c>
      <c r="L2695" t="n">
        <v>1</v>
      </c>
      <c r="M2695" t="n">
        <v>0</v>
      </c>
    </row>
    <row r="2696" spans="1:13">
      <c r="A2696" s="1">
        <f>HYPERLINK("http://www.twitter.com/NathanBLawrence/status/989715177800065024", "989715177800065024")</f>
        <v/>
      </c>
      <c r="B2696" s="2" t="n">
        <v>43217.16505787037</v>
      </c>
      <c r="C2696" t="n">
        <v>10</v>
      </c>
      <c r="D2696" t="n">
        <v>6</v>
      </c>
      <c r="E2696" t="s">
        <v>2703</v>
      </c>
      <c r="F2696" t="s"/>
      <c r="G2696" t="s"/>
      <c r="H2696" t="s"/>
      <c r="I2696" t="s"/>
      <c r="J2696" t="n">
        <v>0</v>
      </c>
      <c r="K2696" t="n">
        <v>0</v>
      </c>
      <c r="L2696" t="n">
        <v>1</v>
      </c>
      <c r="M2696" t="n">
        <v>0</v>
      </c>
    </row>
    <row r="2697" spans="1:13">
      <c r="A2697" s="1">
        <f>HYPERLINK("http://www.twitter.com/NathanBLawrence/status/989715137165541377", "989715137165541377")</f>
        <v/>
      </c>
      <c r="B2697" s="2" t="n">
        <v>43217.16494212963</v>
      </c>
      <c r="C2697" t="n">
        <v>10</v>
      </c>
      <c r="D2697" t="n">
        <v>7</v>
      </c>
      <c r="E2697" t="s">
        <v>2704</v>
      </c>
      <c r="F2697" t="s"/>
      <c r="G2697" t="s"/>
      <c r="H2697" t="s"/>
      <c r="I2697" t="s"/>
      <c r="J2697" t="n">
        <v>0.7003</v>
      </c>
      <c r="K2697" t="n">
        <v>0.07099999999999999</v>
      </c>
      <c r="L2697" t="n">
        <v>0.669</v>
      </c>
      <c r="M2697" t="n">
        <v>0.26</v>
      </c>
    </row>
    <row r="2698" spans="1:13">
      <c r="A2698" s="1">
        <f>HYPERLINK("http://www.twitter.com/NathanBLawrence/status/989715090764005376", "989715090764005376")</f>
        <v/>
      </c>
      <c r="B2698" s="2" t="n">
        <v>43217.16481481482</v>
      </c>
      <c r="C2698" t="n">
        <v>7</v>
      </c>
      <c r="D2698" t="n">
        <v>1</v>
      </c>
      <c r="E2698" t="s">
        <v>2705</v>
      </c>
      <c r="F2698" t="s"/>
      <c r="G2698" t="s"/>
      <c r="H2698" t="s"/>
      <c r="I2698" t="s"/>
      <c r="J2698" t="n">
        <v>0</v>
      </c>
      <c r="K2698" t="n">
        <v>0</v>
      </c>
      <c r="L2698" t="n">
        <v>1</v>
      </c>
      <c r="M2698" t="n">
        <v>0</v>
      </c>
    </row>
    <row r="2699" spans="1:13">
      <c r="A2699" s="1">
        <f>HYPERLINK("http://www.twitter.com/NathanBLawrence/status/989714993401614337", "989714993401614337")</f>
        <v/>
      </c>
      <c r="B2699" s="2" t="n">
        <v>43217.16454861111</v>
      </c>
      <c r="C2699" t="n">
        <v>7</v>
      </c>
      <c r="D2699" t="n">
        <v>5</v>
      </c>
      <c r="E2699" t="s">
        <v>2706</v>
      </c>
      <c r="F2699" t="s"/>
      <c r="G2699" t="s"/>
      <c r="H2699" t="s"/>
      <c r="I2699" t="s"/>
      <c r="J2699" t="n">
        <v>-0.3182</v>
      </c>
      <c r="K2699" t="n">
        <v>0.119</v>
      </c>
      <c r="L2699" t="n">
        <v>0.881</v>
      </c>
      <c r="M2699" t="n">
        <v>0</v>
      </c>
    </row>
    <row r="2700" spans="1:13">
      <c r="A2700" s="1">
        <f>HYPERLINK("http://www.twitter.com/NathanBLawrence/status/989714892608294917", "989714892608294917")</f>
        <v/>
      </c>
      <c r="B2700" s="2" t="n">
        <v>43217.16427083333</v>
      </c>
      <c r="C2700" t="n">
        <v>5</v>
      </c>
      <c r="D2700" t="n">
        <v>0</v>
      </c>
      <c r="E2700" t="s">
        <v>2707</v>
      </c>
      <c r="F2700" t="s"/>
      <c r="G2700" t="s"/>
      <c r="H2700" t="s"/>
      <c r="I2700" t="s"/>
      <c r="J2700" t="n">
        <v>0.4003</v>
      </c>
      <c r="K2700" t="n">
        <v>0</v>
      </c>
      <c r="L2700" t="n">
        <v>0.8169999999999999</v>
      </c>
      <c r="M2700" t="n">
        <v>0.183</v>
      </c>
    </row>
    <row r="2701" spans="1:13">
      <c r="A2701" s="1">
        <f>HYPERLINK("http://www.twitter.com/NathanBLawrence/status/989714829278568450", "989714829278568450")</f>
        <v/>
      </c>
      <c r="B2701" s="2" t="n">
        <v>43217.16408564815</v>
      </c>
      <c r="C2701" t="n">
        <v>18</v>
      </c>
      <c r="D2701" t="n">
        <v>6</v>
      </c>
      <c r="E2701" t="s">
        <v>2708</v>
      </c>
      <c r="F2701" t="s"/>
      <c r="G2701" t="s"/>
      <c r="H2701" t="s"/>
      <c r="I2701" t="s"/>
      <c r="J2701" t="n">
        <v>0.4003</v>
      </c>
      <c r="K2701" t="n">
        <v>0</v>
      </c>
      <c r="L2701" t="n">
        <v>0.848</v>
      </c>
      <c r="M2701" t="n">
        <v>0.152</v>
      </c>
    </row>
    <row r="2702" spans="1:13">
      <c r="A2702" s="1">
        <f>HYPERLINK("http://www.twitter.com/NathanBLawrence/status/989714573623095298", "989714573623095298")</f>
        <v/>
      </c>
      <c r="B2702" s="2" t="n">
        <v>43217.16339120371</v>
      </c>
      <c r="C2702" t="n">
        <v>8</v>
      </c>
      <c r="D2702" t="n">
        <v>2</v>
      </c>
      <c r="E2702" t="s">
        <v>2709</v>
      </c>
      <c r="F2702" t="s"/>
      <c r="G2702" t="s"/>
      <c r="H2702" t="s"/>
      <c r="I2702" t="s"/>
      <c r="J2702" t="n">
        <v>0</v>
      </c>
      <c r="K2702" t="n">
        <v>0</v>
      </c>
      <c r="L2702" t="n">
        <v>1</v>
      </c>
      <c r="M2702" t="n">
        <v>0</v>
      </c>
    </row>
    <row r="2703" spans="1:13">
      <c r="A2703" s="1">
        <f>HYPERLINK("http://www.twitter.com/NathanBLawrence/status/989714540731367425", "989714540731367425")</f>
        <v/>
      </c>
      <c r="B2703" s="2" t="n">
        <v>43217.16329861111</v>
      </c>
      <c r="C2703" t="n">
        <v>6</v>
      </c>
      <c r="D2703" t="n">
        <v>1</v>
      </c>
      <c r="E2703" t="s">
        <v>2710</v>
      </c>
      <c r="F2703" t="s"/>
      <c r="G2703" t="s"/>
      <c r="H2703" t="s"/>
      <c r="I2703" t="s"/>
      <c r="J2703" t="n">
        <v>0.4404</v>
      </c>
      <c r="K2703" t="n">
        <v>0</v>
      </c>
      <c r="L2703" t="n">
        <v>0.8179999999999999</v>
      </c>
      <c r="M2703" t="n">
        <v>0.182</v>
      </c>
    </row>
    <row r="2704" spans="1:13">
      <c r="A2704" s="1">
        <f>HYPERLINK("http://www.twitter.com/NathanBLawrence/status/989714458392985601", "989714458392985601")</f>
        <v/>
      </c>
      <c r="B2704" s="2" t="n">
        <v>43217.16306712963</v>
      </c>
      <c r="C2704" t="n">
        <v>11</v>
      </c>
      <c r="D2704" t="n">
        <v>4</v>
      </c>
      <c r="E2704" t="s">
        <v>2711</v>
      </c>
      <c r="F2704" t="s"/>
      <c r="G2704" t="s"/>
      <c r="H2704" t="s"/>
      <c r="I2704" t="s"/>
      <c r="J2704" t="n">
        <v>0.8225</v>
      </c>
      <c r="K2704" t="n">
        <v>0</v>
      </c>
      <c r="L2704" t="n">
        <v>0.513</v>
      </c>
      <c r="M2704" t="n">
        <v>0.487</v>
      </c>
    </row>
    <row r="2705" spans="1:13">
      <c r="A2705" s="1">
        <f>HYPERLINK("http://www.twitter.com/NathanBLawrence/status/989714394400440325", "989714394400440325")</f>
        <v/>
      </c>
      <c r="B2705" s="2" t="n">
        <v>43217.16289351852</v>
      </c>
      <c r="C2705" t="n">
        <v>2</v>
      </c>
      <c r="D2705" t="n">
        <v>0</v>
      </c>
      <c r="E2705" t="s">
        <v>2712</v>
      </c>
      <c r="F2705" t="s"/>
      <c r="G2705" t="s"/>
      <c r="H2705" t="s"/>
      <c r="I2705" t="s"/>
      <c r="J2705" t="n">
        <v>0</v>
      </c>
      <c r="K2705" t="n">
        <v>0</v>
      </c>
      <c r="L2705" t="n">
        <v>1</v>
      </c>
      <c r="M2705" t="n">
        <v>0</v>
      </c>
    </row>
    <row r="2706" spans="1:13">
      <c r="A2706" s="1">
        <f>HYPERLINK("http://www.twitter.com/NathanBLawrence/status/989714329439158273", "989714329439158273")</f>
        <v/>
      </c>
      <c r="B2706" s="2" t="n">
        <v>43217.16270833334</v>
      </c>
      <c r="C2706" t="n">
        <v>2</v>
      </c>
      <c r="D2706" t="n">
        <v>0</v>
      </c>
      <c r="E2706" t="s">
        <v>2713</v>
      </c>
      <c r="F2706" t="s"/>
      <c r="G2706" t="s"/>
      <c r="H2706" t="s"/>
      <c r="I2706" t="s"/>
      <c r="J2706" t="n">
        <v>-0.0258</v>
      </c>
      <c r="K2706" t="n">
        <v>0.107</v>
      </c>
      <c r="L2706" t="n">
        <v>0.791</v>
      </c>
      <c r="M2706" t="n">
        <v>0.102</v>
      </c>
    </row>
    <row r="2707" spans="1:13">
      <c r="A2707" s="1">
        <f>HYPERLINK("http://www.twitter.com/NathanBLawrence/status/989714219883884544", "989714219883884544")</f>
        <v/>
      </c>
      <c r="B2707" s="2" t="n">
        <v>43217.16240740741</v>
      </c>
      <c r="C2707" t="n">
        <v>10</v>
      </c>
      <c r="D2707" t="n">
        <v>8</v>
      </c>
      <c r="E2707" t="s">
        <v>2714</v>
      </c>
      <c r="F2707" t="s"/>
      <c r="G2707" t="s"/>
      <c r="H2707" t="s"/>
      <c r="I2707" t="s"/>
      <c r="J2707" t="n">
        <v>0</v>
      </c>
      <c r="K2707" t="n">
        <v>0</v>
      </c>
      <c r="L2707" t="n">
        <v>1</v>
      </c>
      <c r="M2707" t="n">
        <v>0</v>
      </c>
    </row>
    <row r="2708" spans="1:13">
      <c r="A2708" s="1">
        <f>HYPERLINK("http://www.twitter.com/NathanBLawrence/status/989714093991903232", "989714093991903232")</f>
        <v/>
      </c>
      <c r="B2708" s="2" t="n">
        <v>43217.16206018518</v>
      </c>
      <c r="C2708" t="n">
        <v>4</v>
      </c>
      <c r="D2708" t="n">
        <v>1</v>
      </c>
      <c r="E2708" t="s">
        <v>2715</v>
      </c>
      <c r="F2708" t="s"/>
      <c r="G2708" t="s"/>
      <c r="H2708" t="s"/>
      <c r="I2708" t="s"/>
      <c r="J2708" t="n">
        <v>0</v>
      </c>
      <c r="K2708" t="n">
        <v>0</v>
      </c>
      <c r="L2708" t="n">
        <v>1</v>
      </c>
      <c r="M2708" t="n">
        <v>0</v>
      </c>
    </row>
    <row r="2709" spans="1:13">
      <c r="A2709" s="1">
        <f>HYPERLINK("http://www.twitter.com/NathanBLawrence/status/989713855667359744", "989713855667359744")</f>
        <v/>
      </c>
      <c r="B2709" s="2" t="n">
        <v>43217.16140046297</v>
      </c>
      <c r="C2709" t="n">
        <v>0</v>
      </c>
      <c r="D2709" t="n">
        <v>108132</v>
      </c>
      <c r="E2709" t="s">
        <v>2716</v>
      </c>
      <c r="F2709" t="s"/>
      <c r="G2709" t="s"/>
      <c r="H2709" t="s"/>
      <c r="I2709" t="s"/>
      <c r="J2709" t="n">
        <v>0.6581</v>
      </c>
      <c r="K2709" t="n">
        <v>0</v>
      </c>
      <c r="L2709" t="n">
        <v>0.527</v>
      </c>
      <c r="M2709" t="n">
        <v>0.473</v>
      </c>
    </row>
    <row r="2710" spans="1:13">
      <c r="A2710" s="1">
        <f>HYPERLINK("http://www.twitter.com/NathanBLawrence/status/989713830484688896", "989713830484688896")</f>
        <v/>
      </c>
      <c r="B2710" s="2" t="n">
        <v>43217.16133101852</v>
      </c>
      <c r="C2710" t="n">
        <v>0</v>
      </c>
      <c r="D2710" t="n">
        <v>60111</v>
      </c>
      <c r="E2710" t="s">
        <v>2717</v>
      </c>
      <c r="F2710" t="s"/>
      <c r="G2710" t="s"/>
      <c r="H2710" t="s"/>
      <c r="I2710" t="s"/>
      <c r="J2710" t="n">
        <v>0</v>
      </c>
      <c r="K2710" t="n">
        <v>0</v>
      </c>
      <c r="L2710" t="n">
        <v>1</v>
      </c>
      <c r="M2710" t="n">
        <v>0</v>
      </c>
    </row>
    <row r="2711" spans="1:13">
      <c r="A2711" s="1">
        <f>HYPERLINK("http://www.twitter.com/NathanBLawrence/status/989713421221281793", "989713421221281793")</f>
        <v/>
      </c>
      <c r="B2711" s="2" t="n">
        <v>43217.16020833333</v>
      </c>
      <c r="C2711" t="n">
        <v>9</v>
      </c>
      <c r="D2711" t="n">
        <v>5</v>
      </c>
      <c r="E2711" t="s">
        <v>2718</v>
      </c>
      <c r="F2711" t="s"/>
      <c r="G2711" t="s"/>
      <c r="H2711" t="s"/>
      <c r="I2711" t="s"/>
      <c r="J2711" t="n">
        <v>0</v>
      </c>
      <c r="K2711" t="n">
        <v>0</v>
      </c>
      <c r="L2711" t="n">
        <v>1</v>
      </c>
      <c r="M2711" t="n">
        <v>0</v>
      </c>
    </row>
    <row r="2712" spans="1:13">
      <c r="A2712" s="1">
        <f>HYPERLINK("http://www.twitter.com/NathanBLawrence/status/989713309522788352", "989713309522788352")</f>
        <v/>
      </c>
      <c r="B2712" s="2" t="n">
        <v>43217.15989583333</v>
      </c>
      <c r="C2712" t="n">
        <v>4</v>
      </c>
      <c r="D2712" t="n">
        <v>0</v>
      </c>
      <c r="E2712" t="s">
        <v>2719</v>
      </c>
      <c r="F2712" t="s"/>
      <c r="G2712" t="s"/>
      <c r="H2712" t="s"/>
      <c r="I2712" t="s"/>
      <c r="J2712" t="n">
        <v>0.4588</v>
      </c>
      <c r="K2712" t="n">
        <v>0</v>
      </c>
      <c r="L2712" t="n">
        <v>0.769</v>
      </c>
      <c r="M2712" t="n">
        <v>0.231</v>
      </c>
    </row>
    <row r="2713" spans="1:13">
      <c r="A2713" s="1">
        <f>HYPERLINK("http://www.twitter.com/NathanBLawrence/status/989712892139196417", "989712892139196417")</f>
        <v/>
      </c>
      <c r="B2713" s="2" t="n">
        <v>43217.15875</v>
      </c>
      <c r="C2713" t="n">
        <v>30</v>
      </c>
      <c r="D2713" t="n">
        <v>18</v>
      </c>
      <c r="E2713" t="s">
        <v>2720</v>
      </c>
      <c r="F2713" t="s"/>
      <c r="G2713" t="s"/>
      <c r="H2713" t="s"/>
      <c r="I2713" t="s"/>
      <c r="J2713" t="n">
        <v>0.6696</v>
      </c>
      <c r="K2713" t="n">
        <v>0</v>
      </c>
      <c r="L2713" t="n">
        <v>0.8</v>
      </c>
      <c r="M2713" t="n">
        <v>0.2</v>
      </c>
    </row>
    <row r="2714" spans="1:13">
      <c r="A2714" s="1">
        <f>HYPERLINK("http://www.twitter.com/NathanBLawrence/status/989711376284205058", "989711376284205058")</f>
        <v/>
      </c>
      <c r="B2714" s="2" t="n">
        <v>43217.15456018518</v>
      </c>
      <c r="C2714" t="n">
        <v>12</v>
      </c>
      <c r="D2714" t="n">
        <v>10</v>
      </c>
      <c r="E2714" t="s">
        <v>2721</v>
      </c>
      <c r="F2714" t="s"/>
      <c r="G2714" t="s"/>
      <c r="H2714" t="s"/>
      <c r="I2714" t="s"/>
      <c r="J2714" t="n">
        <v>-0.2732</v>
      </c>
      <c r="K2714" t="n">
        <v>0.123</v>
      </c>
      <c r="L2714" t="n">
        <v>0.877</v>
      </c>
      <c r="M2714" t="n">
        <v>0</v>
      </c>
    </row>
    <row r="2715" spans="1:13">
      <c r="A2715" s="1">
        <f>HYPERLINK("http://www.twitter.com/NathanBLawrence/status/989711205018161152", "989711205018161152")</f>
        <v/>
      </c>
      <c r="B2715" s="2" t="n">
        <v>43217.15408564815</v>
      </c>
      <c r="C2715" t="n">
        <v>0</v>
      </c>
      <c r="D2715" t="n">
        <v>8</v>
      </c>
      <c r="E2715" t="s">
        <v>2722</v>
      </c>
      <c r="F2715" t="s"/>
      <c r="G2715" t="s"/>
      <c r="H2715" t="s"/>
      <c r="I2715" t="s"/>
      <c r="J2715" t="n">
        <v>-0.2732</v>
      </c>
      <c r="K2715" t="n">
        <v>0.11</v>
      </c>
      <c r="L2715" t="n">
        <v>0.89</v>
      </c>
      <c r="M2715" t="n">
        <v>0</v>
      </c>
    </row>
    <row r="2716" spans="1:13">
      <c r="A2716" s="1">
        <f>HYPERLINK("http://www.twitter.com/NathanBLawrence/status/989702592383959040", "989702592383959040")</f>
        <v/>
      </c>
      <c r="B2716" s="2" t="n">
        <v>43217.13032407407</v>
      </c>
      <c r="C2716" t="n">
        <v>0</v>
      </c>
      <c r="D2716" t="n">
        <v>18854</v>
      </c>
      <c r="E2716" t="s">
        <v>2723</v>
      </c>
      <c r="F2716">
        <f>HYPERLINK("https://video.twimg.com/ext_tw_video/989198093819277315/pu/vid/1280x720/S_hXEvgT8gA8hQM-.mp4?tag=3", "https://video.twimg.com/ext_tw_video/989198093819277315/pu/vid/1280x720/S_hXEvgT8gA8hQM-.mp4?tag=3")</f>
        <v/>
      </c>
      <c r="G2716" t="s"/>
      <c r="H2716" t="s"/>
      <c r="I2716" t="s"/>
      <c r="J2716" t="n">
        <v>-0.2263</v>
      </c>
      <c r="K2716" t="n">
        <v>0.076</v>
      </c>
      <c r="L2716" t="n">
        <v>0.924</v>
      </c>
      <c r="M2716" t="n">
        <v>0</v>
      </c>
    </row>
    <row r="2717" spans="1:13">
      <c r="A2717" s="1">
        <f>HYPERLINK("http://www.twitter.com/NathanBLawrence/status/989702348200001538", "989702348200001538")</f>
        <v/>
      </c>
      <c r="B2717" s="2" t="n">
        <v>43217.12965277778</v>
      </c>
      <c r="C2717" t="n">
        <v>0</v>
      </c>
      <c r="D2717" t="n">
        <v>178</v>
      </c>
      <c r="E2717" t="s">
        <v>2724</v>
      </c>
      <c r="F2717">
        <f>HYPERLINK("http://pbs.twimg.com/media/Dbv7tfWUQAAtwih.jpg", "http://pbs.twimg.com/media/Dbv7tfWUQAAtwih.jpg")</f>
        <v/>
      </c>
      <c r="G2717" t="s"/>
      <c r="H2717" t="s"/>
      <c r="I2717" t="s"/>
      <c r="J2717" t="n">
        <v>0.7262999999999999</v>
      </c>
      <c r="K2717" t="n">
        <v>0</v>
      </c>
      <c r="L2717" t="n">
        <v>0.747</v>
      </c>
      <c r="M2717" t="n">
        <v>0.253</v>
      </c>
    </row>
    <row r="2718" spans="1:13">
      <c r="A2718" s="1">
        <f>HYPERLINK("http://www.twitter.com/NathanBLawrence/status/989688868453498882", "989688868453498882")</f>
        <v/>
      </c>
      <c r="B2718" s="2" t="n">
        <v>43217.09245370371</v>
      </c>
      <c r="C2718" t="n">
        <v>12</v>
      </c>
      <c r="D2718" t="n">
        <v>5</v>
      </c>
      <c r="E2718" t="s">
        <v>2725</v>
      </c>
      <c r="F2718" t="s"/>
      <c r="G2718" t="s"/>
      <c r="H2718" t="s"/>
      <c r="I2718" t="s"/>
      <c r="J2718" t="n">
        <v>0.6222</v>
      </c>
      <c r="K2718" t="n">
        <v>0.057</v>
      </c>
      <c r="L2718" t="n">
        <v>0.697</v>
      </c>
      <c r="M2718" t="n">
        <v>0.246</v>
      </c>
    </row>
    <row r="2719" spans="1:13">
      <c r="A2719" s="1">
        <f>HYPERLINK("http://www.twitter.com/NathanBLawrence/status/989687875338780674", "989687875338780674")</f>
        <v/>
      </c>
      <c r="B2719" s="2" t="n">
        <v>43217.08971064815</v>
      </c>
      <c r="C2719" t="n">
        <v>6</v>
      </c>
      <c r="D2719" t="n">
        <v>5</v>
      </c>
      <c r="E2719" t="s">
        <v>2726</v>
      </c>
      <c r="F2719" t="s"/>
      <c r="G2719" t="s"/>
      <c r="H2719" t="s"/>
      <c r="I2719" t="s"/>
      <c r="J2719" t="n">
        <v>0.8221000000000001</v>
      </c>
      <c r="K2719" t="n">
        <v>0</v>
      </c>
      <c r="L2719" t="n">
        <v>0.696</v>
      </c>
      <c r="M2719" t="n">
        <v>0.304</v>
      </c>
    </row>
    <row r="2720" spans="1:13">
      <c r="A2720" s="1">
        <f>HYPERLINK("http://www.twitter.com/NathanBLawrence/status/989686272087146496", "989686272087146496")</f>
        <v/>
      </c>
      <c r="B2720" s="2" t="n">
        <v>43217.08528935185</v>
      </c>
      <c r="C2720" t="n">
        <v>7</v>
      </c>
      <c r="D2720" t="n">
        <v>6</v>
      </c>
      <c r="E2720" t="s">
        <v>2727</v>
      </c>
      <c r="F2720" t="s"/>
      <c r="G2720" t="s"/>
      <c r="H2720" t="s"/>
      <c r="I2720" t="s"/>
      <c r="J2720" t="n">
        <v>0.0772</v>
      </c>
      <c r="K2720" t="n">
        <v>0</v>
      </c>
      <c r="L2720" t="n">
        <v>0.915</v>
      </c>
      <c r="M2720" t="n">
        <v>0.08500000000000001</v>
      </c>
    </row>
    <row r="2721" spans="1:13">
      <c r="A2721" s="1">
        <f>HYPERLINK("http://www.twitter.com/NathanBLawrence/status/989684311874924545", "989684311874924545")</f>
        <v/>
      </c>
      <c r="B2721" s="2" t="n">
        <v>43217.07988425926</v>
      </c>
      <c r="C2721" t="n">
        <v>13</v>
      </c>
      <c r="D2721" t="n">
        <v>12</v>
      </c>
      <c r="E2721" t="s">
        <v>2728</v>
      </c>
      <c r="F2721" t="s"/>
      <c r="G2721" t="s"/>
      <c r="H2721" t="s"/>
      <c r="I2721" t="s"/>
      <c r="J2721" t="n">
        <v>-0.3595</v>
      </c>
      <c r="K2721" t="n">
        <v>0.106</v>
      </c>
      <c r="L2721" t="n">
        <v>0.894</v>
      </c>
      <c r="M2721" t="n">
        <v>0</v>
      </c>
    </row>
    <row r="2722" spans="1:13">
      <c r="A2722" s="1">
        <f>HYPERLINK("http://www.twitter.com/NathanBLawrence/status/989683529276522496", "989683529276522496")</f>
        <v/>
      </c>
      <c r="B2722" s="2" t="n">
        <v>43217.07771990741</v>
      </c>
      <c r="C2722" t="n">
        <v>1</v>
      </c>
      <c r="D2722" t="n">
        <v>2</v>
      </c>
      <c r="E2722" t="s">
        <v>2729</v>
      </c>
      <c r="F2722" t="s"/>
      <c r="G2722" t="s"/>
      <c r="H2722" t="s"/>
      <c r="I2722" t="s"/>
      <c r="J2722" t="n">
        <v>-0.7783</v>
      </c>
      <c r="K2722" t="n">
        <v>0.444</v>
      </c>
      <c r="L2722" t="n">
        <v>0.404</v>
      </c>
      <c r="M2722" t="n">
        <v>0.152</v>
      </c>
    </row>
    <row r="2723" spans="1:13">
      <c r="A2723" s="1">
        <f>HYPERLINK("http://www.twitter.com/NathanBLawrence/status/989683447630151680", "989683447630151680")</f>
        <v/>
      </c>
      <c r="B2723" s="2" t="n">
        <v>43217.0775</v>
      </c>
      <c r="C2723" t="n">
        <v>6</v>
      </c>
      <c r="D2723" t="n">
        <v>6</v>
      </c>
      <c r="E2723" t="s">
        <v>2730</v>
      </c>
      <c r="F2723" t="s"/>
      <c r="G2723" t="s"/>
      <c r="H2723" t="s"/>
      <c r="I2723" t="s"/>
      <c r="J2723" t="n">
        <v>-0.9595</v>
      </c>
      <c r="K2723" t="n">
        <v>0.354</v>
      </c>
      <c r="L2723" t="n">
        <v>0.5580000000000001</v>
      </c>
      <c r="M2723" t="n">
        <v>0.089</v>
      </c>
    </row>
    <row r="2724" spans="1:13">
      <c r="A2724" s="1">
        <f>HYPERLINK("http://www.twitter.com/NathanBLawrence/status/989682882477084672", "989682882477084672")</f>
        <v/>
      </c>
      <c r="B2724" s="2" t="n">
        <v>43217.0759375</v>
      </c>
      <c r="C2724" t="n">
        <v>7</v>
      </c>
      <c r="D2724" t="n">
        <v>3</v>
      </c>
      <c r="E2724" t="s">
        <v>2731</v>
      </c>
      <c r="F2724" t="s"/>
      <c r="G2724" t="s"/>
      <c r="H2724" t="s"/>
      <c r="I2724" t="s"/>
      <c r="J2724" t="n">
        <v>0.6351</v>
      </c>
      <c r="K2724" t="n">
        <v>0</v>
      </c>
      <c r="L2724" t="n">
        <v>0.802</v>
      </c>
      <c r="M2724" t="n">
        <v>0.198</v>
      </c>
    </row>
    <row r="2725" spans="1:13">
      <c r="A2725" s="1">
        <f>HYPERLINK("http://www.twitter.com/NathanBLawrence/status/989682396848050176", "989682396848050176")</f>
        <v/>
      </c>
      <c r="B2725" s="2" t="n">
        <v>43217.0745949074</v>
      </c>
      <c r="C2725" t="n">
        <v>0</v>
      </c>
      <c r="D2725" t="n">
        <v>81</v>
      </c>
      <c r="E2725" t="s">
        <v>2732</v>
      </c>
      <c r="F2725">
        <f>HYPERLINK("http://pbs.twimg.com/media/DbwMiBXXcAABtES.jpg", "http://pbs.twimg.com/media/DbwMiBXXcAABtES.jpg")</f>
        <v/>
      </c>
      <c r="G2725" t="s"/>
      <c r="H2725" t="s"/>
      <c r="I2725" t="s"/>
      <c r="J2725" t="n">
        <v>-0.4019</v>
      </c>
      <c r="K2725" t="n">
        <v>0.252</v>
      </c>
      <c r="L2725" t="n">
        <v>0.748</v>
      </c>
      <c r="M2725" t="n">
        <v>0</v>
      </c>
    </row>
    <row r="2726" spans="1:13">
      <c r="A2726" s="1">
        <f>HYPERLINK("http://www.twitter.com/NathanBLawrence/status/989682283962515461", "989682283962515461")</f>
        <v/>
      </c>
      <c r="B2726" s="2" t="n">
        <v>43217.0742824074</v>
      </c>
      <c r="C2726" t="n">
        <v>0</v>
      </c>
      <c r="D2726" t="n">
        <v>477</v>
      </c>
      <c r="E2726" t="s">
        <v>2733</v>
      </c>
      <c r="F2726">
        <f>HYPERLINK("http://pbs.twimg.com/media/DbwBctLXUAEskp-.jpg", "http://pbs.twimg.com/media/DbwBctLXUAEskp-.jpg")</f>
        <v/>
      </c>
      <c r="G2726" t="s"/>
      <c r="H2726" t="s"/>
      <c r="I2726" t="s"/>
      <c r="J2726" t="n">
        <v>-0.6249</v>
      </c>
      <c r="K2726" t="n">
        <v>0.194</v>
      </c>
      <c r="L2726" t="n">
        <v>0.806</v>
      </c>
      <c r="M2726" t="n">
        <v>0</v>
      </c>
    </row>
    <row r="2727" spans="1:13">
      <c r="A2727" s="1">
        <f>HYPERLINK("http://www.twitter.com/NathanBLawrence/status/989682158288564224", "989682158288564224")</f>
        <v/>
      </c>
      <c r="B2727" s="2" t="n">
        <v>43217.07393518519</v>
      </c>
      <c r="C2727" t="n">
        <v>2</v>
      </c>
      <c r="D2727" t="n">
        <v>0</v>
      </c>
      <c r="E2727" t="s">
        <v>2734</v>
      </c>
      <c r="F2727" t="s"/>
      <c r="G2727" t="s"/>
      <c r="H2727" t="s"/>
      <c r="I2727" t="s"/>
      <c r="J2727" t="n">
        <v>0.4738</v>
      </c>
      <c r="K2727" t="n">
        <v>0</v>
      </c>
      <c r="L2727" t="n">
        <v>0.854</v>
      </c>
      <c r="M2727" t="n">
        <v>0.146</v>
      </c>
    </row>
    <row r="2728" spans="1:13">
      <c r="A2728" s="1">
        <f>HYPERLINK("http://www.twitter.com/NathanBLawrence/status/989681763961061376", "989681763961061376")</f>
        <v/>
      </c>
      <c r="B2728" s="2" t="n">
        <v>43217.07284722223</v>
      </c>
      <c r="C2728" t="n">
        <v>0</v>
      </c>
      <c r="D2728" t="n">
        <v>9</v>
      </c>
      <c r="E2728" t="s">
        <v>2735</v>
      </c>
      <c r="F2728" t="s"/>
      <c r="G2728" t="s"/>
      <c r="H2728" t="s"/>
      <c r="I2728" t="s"/>
      <c r="J2728" t="n">
        <v>-0.8689</v>
      </c>
      <c r="K2728" t="n">
        <v>0.34</v>
      </c>
      <c r="L2728" t="n">
        <v>0.66</v>
      </c>
      <c r="M2728" t="n">
        <v>0</v>
      </c>
    </row>
    <row r="2729" spans="1:13">
      <c r="A2729" s="1">
        <f>HYPERLINK("http://www.twitter.com/NathanBLawrence/status/989681613804945409", "989681613804945409")</f>
        <v/>
      </c>
      <c r="B2729" s="2" t="n">
        <v>43217.07243055556</v>
      </c>
      <c r="C2729" t="n">
        <v>8</v>
      </c>
      <c r="D2729" t="n">
        <v>9</v>
      </c>
      <c r="E2729" t="s">
        <v>2736</v>
      </c>
      <c r="F2729" t="s"/>
      <c r="G2729" t="s"/>
      <c r="H2729" t="s"/>
      <c r="I2729" t="s"/>
      <c r="J2729" t="n">
        <v>-0.2481</v>
      </c>
      <c r="K2729" t="n">
        <v>0.113</v>
      </c>
      <c r="L2729" t="n">
        <v>0.8070000000000001</v>
      </c>
      <c r="M2729" t="n">
        <v>0.081</v>
      </c>
    </row>
    <row r="2730" spans="1:13">
      <c r="A2730" s="1">
        <f>HYPERLINK("http://www.twitter.com/NathanBLawrence/status/989681111549661184", "989681111549661184")</f>
        <v/>
      </c>
      <c r="B2730" s="2" t="n">
        <v>43217.07105324074</v>
      </c>
      <c r="C2730" t="n">
        <v>13</v>
      </c>
      <c r="D2730" t="n">
        <v>11</v>
      </c>
      <c r="E2730" t="s">
        <v>2737</v>
      </c>
      <c r="F2730" t="s"/>
      <c r="G2730" t="s"/>
      <c r="H2730" t="s"/>
      <c r="I2730" t="s"/>
      <c r="J2730" t="n">
        <v>-0.8625</v>
      </c>
      <c r="K2730" t="n">
        <v>0.3</v>
      </c>
      <c r="L2730" t="n">
        <v>0.634</v>
      </c>
      <c r="M2730" t="n">
        <v>0.066</v>
      </c>
    </row>
    <row r="2731" spans="1:13">
      <c r="A2731" s="1">
        <f>HYPERLINK("http://www.twitter.com/NathanBLawrence/status/989680249620185088", "989680249620185088")</f>
        <v/>
      </c>
      <c r="B2731" s="2" t="n">
        <v>43217.06866898148</v>
      </c>
      <c r="C2731" t="n">
        <v>2</v>
      </c>
      <c r="D2731" t="n">
        <v>1</v>
      </c>
      <c r="E2731" t="s">
        <v>2738</v>
      </c>
      <c r="F2731" t="s"/>
      <c r="G2731" t="s"/>
      <c r="H2731" t="s"/>
      <c r="I2731" t="s"/>
      <c r="J2731" t="n">
        <v>-0.2225</v>
      </c>
      <c r="K2731" t="n">
        <v>0.17</v>
      </c>
      <c r="L2731" t="n">
        <v>0.722</v>
      </c>
      <c r="M2731" t="n">
        <v>0.108</v>
      </c>
    </row>
    <row r="2732" spans="1:13">
      <c r="A2732" s="1">
        <f>HYPERLINK("http://www.twitter.com/NathanBLawrence/status/989679026120740865", "989679026120740865")</f>
        <v/>
      </c>
      <c r="B2732" s="2" t="n">
        <v>43217.06528935185</v>
      </c>
      <c r="C2732" t="n">
        <v>16</v>
      </c>
      <c r="D2732" t="n">
        <v>9</v>
      </c>
      <c r="E2732" t="s">
        <v>2739</v>
      </c>
      <c r="F2732" t="s"/>
      <c r="G2732" t="s"/>
      <c r="H2732" t="s"/>
      <c r="I2732" t="s"/>
      <c r="J2732" t="n">
        <v>-0.9438</v>
      </c>
      <c r="K2732" t="n">
        <v>0.35</v>
      </c>
      <c r="L2732" t="n">
        <v>0.587</v>
      </c>
      <c r="M2732" t="n">
        <v>0.064</v>
      </c>
    </row>
    <row r="2733" spans="1:13">
      <c r="A2733" s="1">
        <f>HYPERLINK("http://www.twitter.com/NathanBLawrence/status/989678440960942081", "989678440960942081")</f>
        <v/>
      </c>
      <c r="B2733" s="2" t="n">
        <v>43217.06368055556</v>
      </c>
      <c r="C2733" t="n">
        <v>25</v>
      </c>
      <c r="D2733" t="n">
        <v>12</v>
      </c>
      <c r="E2733" t="s">
        <v>2740</v>
      </c>
      <c r="F2733" t="s"/>
      <c r="G2733" t="s"/>
      <c r="H2733" t="s"/>
      <c r="I2733" t="s"/>
      <c r="J2733" t="n">
        <v>-0.7097</v>
      </c>
      <c r="K2733" t="n">
        <v>0.289</v>
      </c>
      <c r="L2733" t="n">
        <v>0.549</v>
      </c>
      <c r="M2733" t="n">
        <v>0.162</v>
      </c>
    </row>
    <row r="2734" spans="1:13">
      <c r="A2734" s="1">
        <f>HYPERLINK("http://www.twitter.com/NathanBLawrence/status/989677864587952128", "989677864587952128")</f>
        <v/>
      </c>
      <c r="B2734" s="2" t="n">
        <v>43217.06208333333</v>
      </c>
      <c r="C2734" t="n">
        <v>7</v>
      </c>
      <c r="D2734" t="n">
        <v>3</v>
      </c>
      <c r="E2734" t="s">
        <v>2741</v>
      </c>
      <c r="F2734" t="s"/>
      <c r="G2734" t="s"/>
      <c r="H2734" t="s"/>
      <c r="I2734" t="s"/>
      <c r="J2734" t="n">
        <v>0</v>
      </c>
      <c r="K2734" t="n">
        <v>0</v>
      </c>
      <c r="L2734" t="n">
        <v>1</v>
      </c>
      <c r="M2734" t="n">
        <v>0</v>
      </c>
    </row>
    <row r="2735" spans="1:13">
      <c r="A2735" s="1">
        <f>HYPERLINK("http://www.twitter.com/NathanBLawrence/status/989677637017657344", "989677637017657344")</f>
        <v/>
      </c>
      <c r="B2735" s="2" t="n">
        <v>43217.06145833333</v>
      </c>
      <c r="C2735" t="n">
        <v>0</v>
      </c>
      <c r="D2735" t="n">
        <v>9</v>
      </c>
      <c r="E2735" t="s">
        <v>2742</v>
      </c>
      <c r="F2735" t="s"/>
      <c r="G2735" t="s"/>
      <c r="H2735" t="s"/>
      <c r="I2735" t="s"/>
      <c r="J2735" t="n">
        <v>0.2924</v>
      </c>
      <c r="K2735" t="n">
        <v>0.093</v>
      </c>
      <c r="L2735" t="n">
        <v>0.763</v>
      </c>
      <c r="M2735" t="n">
        <v>0.143</v>
      </c>
    </row>
    <row r="2736" spans="1:13">
      <c r="A2736" s="1">
        <f>HYPERLINK("http://www.twitter.com/NathanBLawrence/status/989677421652721664", "989677421652721664")</f>
        <v/>
      </c>
      <c r="B2736" s="2" t="n">
        <v>43217.06086805555</v>
      </c>
      <c r="C2736" t="n">
        <v>3</v>
      </c>
      <c r="D2736" t="n">
        <v>1</v>
      </c>
      <c r="E2736" t="s">
        <v>2743</v>
      </c>
      <c r="F2736" t="s"/>
      <c r="G2736" t="s"/>
      <c r="H2736" t="s"/>
      <c r="I2736" t="s"/>
      <c r="J2736" t="n">
        <v>-0.8453000000000001</v>
      </c>
      <c r="K2736" t="n">
        <v>0.395</v>
      </c>
      <c r="L2736" t="n">
        <v>0.605</v>
      </c>
      <c r="M2736" t="n">
        <v>0</v>
      </c>
    </row>
    <row r="2737" spans="1:13">
      <c r="A2737" s="1">
        <f>HYPERLINK("http://www.twitter.com/NathanBLawrence/status/989677089430290433", "989677089430290433")</f>
        <v/>
      </c>
      <c r="B2737" s="2" t="n">
        <v>43217.05995370371</v>
      </c>
      <c r="C2737" t="n">
        <v>17</v>
      </c>
      <c r="D2737" t="n">
        <v>13</v>
      </c>
      <c r="E2737" t="s">
        <v>2744</v>
      </c>
      <c r="F2737" t="s"/>
      <c r="G2737" t="s"/>
      <c r="H2737" t="s"/>
      <c r="I2737" t="s"/>
      <c r="J2737" t="n">
        <v>-0.8874</v>
      </c>
      <c r="K2737" t="n">
        <v>0.266</v>
      </c>
      <c r="L2737" t="n">
        <v>0.635</v>
      </c>
      <c r="M2737" t="n">
        <v>0.099</v>
      </c>
    </row>
    <row r="2738" spans="1:13">
      <c r="A2738" s="1">
        <f>HYPERLINK("http://www.twitter.com/NathanBLawrence/status/989676287370264576", "989676287370264576")</f>
        <v/>
      </c>
      <c r="B2738" s="2" t="n">
        <v>43217.05773148148</v>
      </c>
      <c r="C2738" t="n">
        <v>5</v>
      </c>
      <c r="D2738" t="n">
        <v>0</v>
      </c>
      <c r="E2738" t="s">
        <v>2745</v>
      </c>
      <c r="F2738" t="s"/>
      <c r="G2738" t="s"/>
      <c r="H2738" t="s"/>
      <c r="I2738" t="s"/>
      <c r="J2738" t="n">
        <v>-0.5591</v>
      </c>
      <c r="K2738" t="n">
        <v>0.146</v>
      </c>
      <c r="L2738" t="n">
        <v>0.758</v>
      </c>
      <c r="M2738" t="n">
        <v>0.097</v>
      </c>
    </row>
    <row r="2739" spans="1:13">
      <c r="A2739" s="1">
        <f>HYPERLINK("http://www.twitter.com/NathanBLawrence/status/989675776688582656", "989675776688582656")</f>
        <v/>
      </c>
      <c r="B2739" s="2" t="n">
        <v>43217.05633101852</v>
      </c>
      <c r="C2739" t="n">
        <v>0</v>
      </c>
      <c r="D2739" t="n">
        <v>29036</v>
      </c>
      <c r="E2739" t="s">
        <v>2746</v>
      </c>
      <c r="F2739" t="s"/>
      <c r="G2739" t="s"/>
      <c r="H2739" t="s"/>
      <c r="I2739" t="s"/>
      <c r="J2739" t="n">
        <v>0.4523</v>
      </c>
      <c r="K2739" t="n">
        <v>0</v>
      </c>
      <c r="L2739" t="n">
        <v>0.827</v>
      </c>
      <c r="M2739" t="n">
        <v>0.173</v>
      </c>
    </row>
    <row r="2740" spans="1:13">
      <c r="A2740" s="1">
        <f>HYPERLINK("http://www.twitter.com/NathanBLawrence/status/989675570198806528", "989675570198806528")</f>
        <v/>
      </c>
      <c r="B2740" s="2" t="n">
        <v>43217.05575231482</v>
      </c>
      <c r="C2740" t="n">
        <v>5</v>
      </c>
      <c r="D2740" t="n">
        <v>1</v>
      </c>
      <c r="E2740" t="s">
        <v>2747</v>
      </c>
      <c r="F2740" t="s"/>
      <c r="G2740" t="s"/>
      <c r="H2740" t="s"/>
      <c r="I2740" t="s"/>
      <c r="J2740" t="n">
        <v>0.8016</v>
      </c>
      <c r="K2740" t="n">
        <v>0</v>
      </c>
      <c r="L2740" t="n">
        <v>0.791</v>
      </c>
      <c r="M2740" t="n">
        <v>0.209</v>
      </c>
    </row>
    <row r="2741" spans="1:13">
      <c r="A2741" s="1">
        <f>HYPERLINK("http://www.twitter.com/NathanBLawrence/status/989675274013835264", "989675274013835264")</f>
        <v/>
      </c>
      <c r="B2741" s="2" t="n">
        <v>43217.05494212963</v>
      </c>
      <c r="C2741" t="n">
        <v>0</v>
      </c>
      <c r="D2741" t="n">
        <v>6251</v>
      </c>
      <c r="E2741" t="s">
        <v>2748</v>
      </c>
      <c r="F2741" t="s"/>
      <c r="G2741" t="s"/>
      <c r="H2741" t="s"/>
      <c r="I2741" t="s"/>
      <c r="J2741" t="n">
        <v>-0.4939</v>
      </c>
      <c r="K2741" t="n">
        <v>0.186</v>
      </c>
      <c r="L2741" t="n">
        <v>0.8139999999999999</v>
      </c>
      <c r="M2741" t="n">
        <v>0</v>
      </c>
    </row>
    <row r="2742" spans="1:13">
      <c r="A2742" s="1">
        <f>HYPERLINK("http://www.twitter.com/NathanBLawrence/status/989674911848321024", "989674911848321024")</f>
        <v/>
      </c>
      <c r="B2742" s="2" t="n">
        <v>43217.05393518518</v>
      </c>
      <c r="C2742" t="n">
        <v>8</v>
      </c>
      <c r="D2742" t="n">
        <v>1</v>
      </c>
      <c r="E2742" t="s">
        <v>2749</v>
      </c>
      <c r="F2742" t="s"/>
      <c r="G2742" t="s"/>
      <c r="H2742" t="s"/>
      <c r="I2742" t="s"/>
      <c r="J2742" t="n">
        <v>0.5983000000000001</v>
      </c>
      <c r="K2742" t="n">
        <v>0</v>
      </c>
      <c r="L2742" t="n">
        <v>0.204</v>
      </c>
      <c r="M2742" t="n">
        <v>0.796</v>
      </c>
    </row>
    <row r="2743" spans="1:13">
      <c r="A2743" s="1">
        <f>HYPERLINK("http://www.twitter.com/NathanBLawrence/status/989674616393158656", "989674616393158656")</f>
        <v/>
      </c>
      <c r="B2743" s="2" t="n">
        <v>43217.053125</v>
      </c>
      <c r="C2743" t="n">
        <v>0</v>
      </c>
      <c r="D2743" t="n">
        <v>6199</v>
      </c>
      <c r="E2743" t="s">
        <v>2750</v>
      </c>
      <c r="F2743">
        <f>HYPERLINK("http://pbs.twimg.com/media/DbqVlECVQAAQqpj.jpg", "http://pbs.twimg.com/media/DbqVlECVQAAQqpj.jpg")</f>
        <v/>
      </c>
      <c r="G2743" t="s"/>
      <c r="H2743" t="s"/>
      <c r="I2743" t="s"/>
      <c r="J2743" t="n">
        <v>0</v>
      </c>
      <c r="K2743" t="n">
        <v>0</v>
      </c>
      <c r="L2743" t="n">
        <v>1</v>
      </c>
      <c r="M2743" t="n">
        <v>0</v>
      </c>
    </row>
    <row r="2744" spans="1:13">
      <c r="A2744" s="1">
        <f>HYPERLINK("http://www.twitter.com/NathanBLawrence/status/989673870654296065", "989673870654296065")</f>
        <v/>
      </c>
      <c r="B2744" s="2" t="n">
        <v>43217.05106481481</v>
      </c>
      <c r="C2744" t="n">
        <v>0</v>
      </c>
      <c r="D2744" t="n">
        <v>32008</v>
      </c>
      <c r="E2744" t="s">
        <v>2751</v>
      </c>
      <c r="F2744" t="s"/>
      <c r="G2744" t="s"/>
      <c r="H2744" t="s"/>
      <c r="I2744" t="s"/>
      <c r="J2744" t="n">
        <v>-0.4973</v>
      </c>
      <c r="K2744" t="n">
        <v>0.277</v>
      </c>
      <c r="L2744" t="n">
        <v>0.723</v>
      </c>
      <c r="M2744" t="n">
        <v>0</v>
      </c>
    </row>
    <row r="2745" spans="1:13">
      <c r="A2745" s="1">
        <f>HYPERLINK("http://www.twitter.com/NathanBLawrence/status/989673815968858112", "989673815968858112")</f>
        <v/>
      </c>
      <c r="B2745" s="2" t="n">
        <v>43217.05091435185</v>
      </c>
      <c r="C2745" t="n">
        <v>0</v>
      </c>
      <c r="D2745" t="n">
        <v>14823</v>
      </c>
      <c r="E2745" t="s">
        <v>2752</v>
      </c>
      <c r="F2745" t="s"/>
      <c r="G2745" t="s"/>
      <c r="H2745" t="s"/>
      <c r="I2745" t="s"/>
      <c r="J2745" t="n">
        <v>0.128</v>
      </c>
      <c r="K2745" t="n">
        <v>0.094</v>
      </c>
      <c r="L2745" t="n">
        <v>0.794</v>
      </c>
      <c r="M2745" t="n">
        <v>0.112</v>
      </c>
    </row>
    <row r="2746" spans="1:13">
      <c r="A2746" s="1">
        <f>HYPERLINK("http://www.twitter.com/NathanBLawrence/status/989673690995474433", "989673690995474433")</f>
        <v/>
      </c>
      <c r="B2746" s="2" t="n">
        <v>43217.05056712963</v>
      </c>
      <c r="C2746" t="n">
        <v>0</v>
      </c>
      <c r="D2746" t="n">
        <v>60304</v>
      </c>
      <c r="E2746" t="s">
        <v>2753</v>
      </c>
      <c r="F2746" t="s"/>
      <c r="G2746" t="s"/>
      <c r="H2746" t="s"/>
      <c r="I2746" t="s"/>
      <c r="J2746" t="n">
        <v>0.4818</v>
      </c>
      <c r="K2746" t="n">
        <v>0.152</v>
      </c>
      <c r="L2746" t="n">
        <v>0.635</v>
      </c>
      <c r="M2746" t="n">
        <v>0.213</v>
      </c>
    </row>
    <row r="2747" spans="1:13">
      <c r="A2747" s="1">
        <f>HYPERLINK("http://www.twitter.com/NathanBLawrence/status/989673616630398976", "989673616630398976")</f>
        <v/>
      </c>
      <c r="B2747" s="2" t="n">
        <v>43217.05037037037</v>
      </c>
      <c r="C2747" t="n">
        <v>0</v>
      </c>
      <c r="D2747" t="n">
        <v>4125</v>
      </c>
      <c r="E2747" t="s">
        <v>2754</v>
      </c>
      <c r="F2747">
        <f>HYPERLINK("http://pbs.twimg.com/media/DbufsaqUwAAM5oE.jpg", "http://pbs.twimg.com/media/DbufsaqUwAAM5oE.jpg")</f>
        <v/>
      </c>
      <c r="G2747" t="s"/>
      <c r="H2747" t="s"/>
      <c r="I2747" t="s"/>
      <c r="J2747" t="n">
        <v>0</v>
      </c>
      <c r="K2747" t="n">
        <v>0</v>
      </c>
      <c r="L2747" t="n">
        <v>1</v>
      </c>
      <c r="M2747" t="n">
        <v>0</v>
      </c>
    </row>
    <row r="2748" spans="1:13">
      <c r="A2748" s="1">
        <f>HYPERLINK("http://www.twitter.com/NathanBLawrence/status/989673426125078528", "989673426125078528")</f>
        <v/>
      </c>
      <c r="B2748" s="2" t="n">
        <v>43217.04983796296</v>
      </c>
      <c r="C2748" t="n">
        <v>0</v>
      </c>
      <c r="D2748" t="n">
        <v>2934</v>
      </c>
      <c r="E2748" t="s">
        <v>2755</v>
      </c>
      <c r="F2748">
        <f>HYPERLINK("http://pbs.twimg.com/media/Dbuf2KXUwAA22Pl.jpg", "http://pbs.twimg.com/media/Dbuf2KXUwAA22Pl.jpg")</f>
        <v/>
      </c>
      <c r="G2748" t="s"/>
      <c r="H2748" t="s"/>
      <c r="I2748" t="s"/>
      <c r="J2748" t="n">
        <v>0</v>
      </c>
      <c r="K2748" t="n">
        <v>0</v>
      </c>
      <c r="L2748" t="n">
        <v>1</v>
      </c>
      <c r="M2748" t="n">
        <v>0</v>
      </c>
    </row>
    <row r="2749" spans="1:13">
      <c r="A2749" s="1">
        <f>HYPERLINK("http://www.twitter.com/NathanBLawrence/status/989672869058654209", "989672869058654209")</f>
        <v/>
      </c>
      <c r="B2749" s="2" t="n">
        <v>43217.04829861111</v>
      </c>
      <c r="C2749" t="n">
        <v>0</v>
      </c>
      <c r="D2749" t="n">
        <v>8</v>
      </c>
      <c r="E2749" t="s">
        <v>2756</v>
      </c>
      <c r="F2749" t="s"/>
      <c r="G2749" t="s"/>
      <c r="H2749" t="s"/>
      <c r="I2749" t="s"/>
      <c r="J2749" t="n">
        <v>0.3612</v>
      </c>
      <c r="K2749" t="n">
        <v>0</v>
      </c>
      <c r="L2749" t="n">
        <v>0.894</v>
      </c>
      <c r="M2749" t="n">
        <v>0.106</v>
      </c>
    </row>
    <row r="2750" spans="1:13">
      <c r="A2750" s="1">
        <f>HYPERLINK("http://www.twitter.com/NathanBLawrence/status/989672619057209344", "989672619057209344")</f>
        <v/>
      </c>
      <c r="B2750" s="2" t="n">
        <v>43217.04761574074</v>
      </c>
      <c r="C2750" t="n">
        <v>0</v>
      </c>
      <c r="D2750" t="n">
        <v>2981</v>
      </c>
      <c r="E2750" t="s">
        <v>2757</v>
      </c>
      <c r="F2750" t="s"/>
      <c r="G2750" t="s"/>
      <c r="H2750" t="s"/>
      <c r="I2750" t="s"/>
      <c r="J2750" t="n">
        <v>-0.6705</v>
      </c>
      <c r="K2750" t="n">
        <v>0.278</v>
      </c>
      <c r="L2750" t="n">
        <v>0.633</v>
      </c>
      <c r="M2750" t="n">
        <v>0.089</v>
      </c>
    </row>
    <row r="2751" spans="1:13">
      <c r="A2751" s="1">
        <f>HYPERLINK("http://www.twitter.com/NathanBLawrence/status/989671420769652737", "989671420769652737")</f>
        <v/>
      </c>
      <c r="B2751" s="2" t="n">
        <v>43217.04430555556</v>
      </c>
      <c r="C2751" t="n">
        <v>0</v>
      </c>
      <c r="D2751" t="n">
        <v>1048</v>
      </c>
      <c r="E2751" t="s">
        <v>2758</v>
      </c>
      <c r="F2751" t="s"/>
      <c r="G2751" t="s"/>
      <c r="H2751" t="s"/>
      <c r="I2751" t="s"/>
      <c r="J2751" t="n">
        <v>-0.6597</v>
      </c>
      <c r="K2751" t="n">
        <v>0.206</v>
      </c>
      <c r="L2751" t="n">
        <v>0.794</v>
      </c>
      <c r="M2751" t="n">
        <v>0</v>
      </c>
    </row>
    <row r="2752" spans="1:13">
      <c r="A2752" s="1">
        <f>HYPERLINK("http://www.twitter.com/NathanBLawrence/status/989670923576852480", "989670923576852480")</f>
        <v/>
      </c>
      <c r="B2752" s="2" t="n">
        <v>43217.04293981481</v>
      </c>
      <c r="C2752" t="n">
        <v>18</v>
      </c>
      <c r="D2752" t="n">
        <v>9</v>
      </c>
      <c r="E2752" t="s">
        <v>2759</v>
      </c>
      <c r="F2752" t="s"/>
      <c r="G2752" t="s"/>
      <c r="H2752" t="s"/>
      <c r="I2752" t="s"/>
      <c r="J2752" t="n">
        <v>-0.576</v>
      </c>
      <c r="K2752" t="n">
        <v>0.227</v>
      </c>
      <c r="L2752" t="n">
        <v>0.656</v>
      </c>
      <c r="M2752" t="n">
        <v>0.116</v>
      </c>
    </row>
    <row r="2753" spans="1:13">
      <c r="A2753" s="1">
        <f>HYPERLINK("http://www.twitter.com/NathanBLawrence/status/989670600405794816", "989670600405794816")</f>
        <v/>
      </c>
      <c r="B2753" s="2" t="n">
        <v>43217.04203703703</v>
      </c>
      <c r="C2753" t="n">
        <v>6</v>
      </c>
      <c r="D2753" t="n">
        <v>1</v>
      </c>
      <c r="E2753" t="s">
        <v>2760</v>
      </c>
      <c r="F2753" t="s"/>
      <c r="G2753" t="s"/>
      <c r="H2753" t="s"/>
      <c r="I2753" t="s"/>
      <c r="J2753" t="n">
        <v>0</v>
      </c>
      <c r="K2753" t="n">
        <v>0</v>
      </c>
      <c r="L2753" t="n">
        <v>1</v>
      </c>
      <c r="M2753" t="n">
        <v>0</v>
      </c>
    </row>
    <row r="2754" spans="1:13">
      <c r="A2754" s="1">
        <f>HYPERLINK("http://www.twitter.com/NathanBLawrence/status/989670250634346496", "989670250634346496")</f>
        <v/>
      </c>
      <c r="B2754" s="2" t="n">
        <v>43217.04107638889</v>
      </c>
      <c r="C2754" t="n">
        <v>5</v>
      </c>
      <c r="D2754" t="n">
        <v>1</v>
      </c>
      <c r="E2754" t="s">
        <v>2761</v>
      </c>
      <c r="F2754" t="s"/>
      <c r="G2754" t="s"/>
      <c r="H2754" t="s"/>
      <c r="I2754" t="s"/>
      <c r="J2754" t="n">
        <v>0.6696</v>
      </c>
      <c r="K2754" t="n">
        <v>0</v>
      </c>
      <c r="L2754" t="n">
        <v>0.8</v>
      </c>
      <c r="M2754" t="n">
        <v>0.2</v>
      </c>
    </row>
    <row r="2755" spans="1:13">
      <c r="A2755" s="1">
        <f>HYPERLINK("http://www.twitter.com/NathanBLawrence/status/989670100784496640", "989670100784496640")</f>
        <v/>
      </c>
      <c r="B2755" s="2" t="n">
        <v>43217.04065972222</v>
      </c>
      <c r="C2755" t="n">
        <v>11</v>
      </c>
      <c r="D2755" t="n">
        <v>4</v>
      </c>
      <c r="E2755" t="s">
        <v>2762</v>
      </c>
      <c r="F2755" t="s"/>
      <c r="G2755" t="s"/>
      <c r="H2755" t="s"/>
      <c r="I2755" t="s"/>
      <c r="J2755" t="n">
        <v>0.5994</v>
      </c>
      <c r="K2755" t="n">
        <v>0.094</v>
      </c>
      <c r="L2755" t="n">
        <v>0.601</v>
      </c>
      <c r="M2755" t="n">
        <v>0.305</v>
      </c>
    </row>
    <row r="2756" spans="1:13">
      <c r="A2756" s="1">
        <f>HYPERLINK("http://www.twitter.com/NathanBLawrence/status/989669920387448832", "989669920387448832")</f>
        <v/>
      </c>
      <c r="B2756" s="2" t="n">
        <v>43217.04016203704</v>
      </c>
      <c r="C2756" t="n">
        <v>0</v>
      </c>
      <c r="D2756" t="n">
        <v>2304</v>
      </c>
      <c r="E2756" t="s">
        <v>2763</v>
      </c>
      <c r="F2756" t="s"/>
      <c r="G2756" t="s"/>
      <c r="H2756" t="s"/>
      <c r="I2756" t="s"/>
      <c r="J2756" t="n">
        <v>0.5423</v>
      </c>
      <c r="K2756" t="n">
        <v>0</v>
      </c>
      <c r="L2756" t="n">
        <v>0.837</v>
      </c>
      <c r="M2756" t="n">
        <v>0.163</v>
      </c>
    </row>
    <row r="2757" spans="1:13">
      <c r="A2757" s="1">
        <f>HYPERLINK("http://www.twitter.com/NathanBLawrence/status/989669579562500096", "989669579562500096")</f>
        <v/>
      </c>
      <c r="B2757" s="2" t="n">
        <v>43217.03922453704</v>
      </c>
      <c r="C2757" t="n">
        <v>0</v>
      </c>
      <c r="D2757" t="n">
        <v>2223</v>
      </c>
      <c r="E2757" t="s">
        <v>2764</v>
      </c>
      <c r="F2757">
        <f>HYPERLINK("https://video.twimg.com/ext_tw_video/989647710440640513/pu/vid/1280x720/BkvkjbSXJwMl5kMZ.mp4?tag=3", "https://video.twimg.com/ext_tw_video/989647710440640513/pu/vid/1280x720/BkvkjbSXJwMl5kMZ.mp4?tag=3")</f>
        <v/>
      </c>
      <c r="G2757" t="s"/>
      <c r="H2757" t="s"/>
      <c r="I2757" t="s"/>
      <c r="J2757" t="n">
        <v>0</v>
      </c>
      <c r="K2757" t="n">
        <v>0</v>
      </c>
      <c r="L2757" t="n">
        <v>1</v>
      </c>
      <c r="M2757" t="n">
        <v>0</v>
      </c>
    </row>
    <row r="2758" spans="1:13">
      <c r="A2758" s="1">
        <f>HYPERLINK("http://www.twitter.com/NathanBLawrence/status/989598990017617920", "989598990017617920")</f>
        <v/>
      </c>
      <c r="B2758" s="2" t="n">
        <v>43216.84443287037</v>
      </c>
      <c r="C2758" t="n">
        <v>5</v>
      </c>
      <c r="D2758" t="n">
        <v>5</v>
      </c>
      <c r="E2758" t="s">
        <v>2765</v>
      </c>
      <c r="F2758" t="s"/>
      <c r="G2758" t="s"/>
      <c r="H2758" t="s"/>
      <c r="I2758" t="s"/>
      <c r="J2758" t="n">
        <v>0.8074</v>
      </c>
      <c r="K2758" t="n">
        <v>0.049</v>
      </c>
      <c r="L2758" t="n">
        <v>0.753</v>
      </c>
      <c r="M2758" t="n">
        <v>0.198</v>
      </c>
    </row>
    <row r="2759" spans="1:13">
      <c r="A2759" s="1">
        <f>HYPERLINK("http://www.twitter.com/NathanBLawrence/status/989598105220800512", "989598105220800512")</f>
        <v/>
      </c>
      <c r="B2759" s="2" t="n">
        <v>43216.84199074074</v>
      </c>
      <c r="C2759" t="n">
        <v>4</v>
      </c>
      <c r="D2759" t="n">
        <v>4</v>
      </c>
      <c r="E2759" t="s">
        <v>2766</v>
      </c>
      <c r="F2759" t="s"/>
      <c r="G2759" t="s"/>
      <c r="H2759" t="s"/>
      <c r="I2759" t="s"/>
      <c r="J2759" t="n">
        <v>-0.8233</v>
      </c>
      <c r="K2759" t="n">
        <v>0.365</v>
      </c>
      <c r="L2759" t="n">
        <v>0.635</v>
      </c>
      <c r="M2759" t="n">
        <v>0</v>
      </c>
    </row>
    <row r="2760" spans="1:13">
      <c r="A2760" s="1">
        <f>HYPERLINK("http://www.twitter.com/NathanBLawrence/status/989597603032543232", "989597603032543232")</f>
        <v/>
      </c>
      <c r="B2760" s="2" t="n">
        <v>43216.84061342593</v>
      </c>
      <c r="C2760" t="n">
        <v>4</v>
      </c>
      <c r="D2760" t="n">
        <v>4</v>
      </c>
      <c r="E2760" t="s">
        <v>2767</v>
      </c>
      <c r="F2760" t="s"/>
      <c r="G2760" t="s"/>
      <c r="H2760" t="s"/>
      <c r="I2760" t="s"/>
      <c r="J2760" t="n">
        <v>-0.2359</v>
      </c>
      <c r="K2760" t="n">
        <v>0.146</v>
      </c>
      <c r="L2760" t="n">
        <v>0.74</v>
      </c>
      <c r="M2760" t="n">
        <v>0.114</v>
      </c>
    </row>
    <row r="2761" spans="1:13">
      <c r="A2761" s="1">
        <f>HYPERLINK("http://www.twitter.com/NathanBLawrence/status/989597044212826112", "989597044212826112")</f>
        <v/>
      </c>
      <c r="B2761" s="2" t="n">
        <v>43216.8390625</v>
      </c>
      <c r="C2761" t="n">
        <v>23</v>
      </c>
      <c r="D2761" t="n">
        <v>8</v>
      </c>
      <c r="E2761" t="s">
        <v>2768</v>
      </c>
      <c r="F2761" t="s"/>
      <c r="G2761" t="s"/>
      <c r="H2761" t="s"/>
      <c r="I2761" t="s"/>
      <c r="J2761" t="n">
        <v>-0.8516</v>
      </c>
      <c r="K2761" t="n">
        <v>0.284</v>
      </c>
      <c r="L2761" t="n">
        <v>0.613</v>
      </c>
      <c r="M2761" t="n">
        <v>0.103</v>
      </c>
    </row>
    <row r="2762" spans="1:13">
      <c r="A2762" s="1">
        <f>HYPERLINK("http://www.twitter.com/NathanBLawrence/status/989596689823551488", "989596689823551488")</f>
        <v/>
      </c>
      <c r="B2762" s="2" t="n">
        <v>43216.83809027778</v>
      </c>
      <c r="C2762" t="n">
        <v>0</v>
      </c>
      <c r="D2762" t="n">
        <v>669</v>
      </c>
      <c r="E2762" t="s">
        <v>2769</v>
      </c>
      <c r="F2762" t="s"/>
      <c r="G2762" t="s"/>
      <c r="H2762" t="s"/>
      <c r="I2762" t="s"/>
      <c r="J2762" t="n">
        <v>-0.1027</v>
      </c>
      <c r="K2762" t="n">
        <v>0.275</v>
      </c>
      <c r="L2762" t="n">
        <v>0.49</v>
      </c>
      <c r="M2762" t="n">
        <v>0.235</v>
      </c>
    </row>
    <row r="2763" spans="1:13">
      <c r="A2763" s="1">
        <f>HYPERLINK("http://www.twitter.com/NathanBLawrence/status/989596623729643521", "989596623729643521")</f>
        <v/>
      </c>
      <c r="B2763" s="2" t="n">
        <v>43216.83790509259</v>
      </c>
      <c r="C2763" t="n">
        <v>19</v>
      </c>
      <c r="D2763" t="n">
        <v>12</v>
      </c>
      <c r="E2763" t="s">
        <v>2770</v>
      </c>
      <c r="F2763" t="s"/>
      <c r="G2763" t="s"/>
      <c r="H2763" t="s"/>
      <c r="I2763" t="s"/>
      <c r="J2763" t="n">
        <v>0.2714</v>
      </c>
      <c r="K2763" t="n">
        <v>0.074</v>
      </c>
      <c r="L2763" t="n">
        <v>0.828</v>
      </c>
      <c r="M2763" t="n">
        <v>0.098</v>
      </c>
    </row>
    <row r="2764" spans="1:13">
      <c r="A2764" s="1">
        <f>HYPERLINK("http://www.twitter.com/NathanBLawrence/status/989596347375353856", "989596347375353856")</f>
        <v/>
      </c>
      <c r="B2764" s="2" t="n">
        <v>43216.8371412037</v>
      </c>
      <c r="C2764" t="n">
        <v>0</v>
      </c>
      <c r="D2764" t="n">
        <v>73</v>
      </c>
      <c r="E2764" t="s">
        <v>2771</v>
      </c>
      <c r="F2764" t="s"/>
      <c r="G2764" t="s"/>
      <c r="H2764" t="s"/>
      <c r="I2764" t="s"/>
      <c r="J2764" t="n">
        <v>-0.1531</v>
      </c>
      <c r="K2764" t="n">
        <v>0.348</v>
      </c>
      <c r="L2764" t="n">
        <v>0.652</v>
      </c>
      <c r="M2764" t="n">
        <v>0</v>
      </c>
    </row>
    <row r="2765" spans="1:13">
      <c r="A2765" s="1">
        <f>HYPERLINK("http://www.twitter.com/NathanBLawrence/status/989596315054063617", "989596315054063617")</f>
        <v/>
      </c>
      <c r="B2765" s="2" t="n">
        <v>43216.83704861111</v>
      </c>
      <c r="C2765" t="n">
        <v>7</v>
      </c>
      <c r="D2765" t="n">
        <v>4</v>
      </c>
      <c r="E2765" t="s">
        <v>2772</v>
      </c>
      <c r="F2765" t="s"/>
      <c r="G2765" t="s"/>
      <c r="H2765" t="s"/>
      <c r="I2765" t="s"/>
      <c r="J2765" t="n">
        <v>0</v>
      </c>
      <c r="K2765" t="n">
        <v>0</v>
      </c>
      <c r="L2765" t="n">
        <v>1</v>
      </c>
      <c r="M2765" t="n">
        <v>0</v>
      </c>
    </row>
    <row r="2766" spans="1:13">
      <c r="A2766" s="1">
        <f>HYPERLINK("http://www.twitter.com/NathanBLawrence/status/989596135177175040", "989596135177175040")</f>
        <v/>
      </c>
      <c r="B2766" s="2" t="n">
        <v>43216.8365625</v>
      </c>
      <c r="C2766" t="n">
        <v>12</v>
      </c>
      <c r="D2766" t="n">
        <v>3</v>
      </c>
      <c r="E2766" t="s">
        <v>2773</v>
      </c>
      <c r="F2766" t="s"/>
      <c r="G2766" t="s"/>
      <c r="H2766" t="s"/>
      <c r="I2766" t="s"/>
      <c r="J2766" t="n">
        <v>0.6588000000000001</v>
      </c>
      <c r="K2766" t="n">
        <v>0.139</v>
      </c>
      <c r="L2766" t="n">
        <v>0.637</v>
      </c>
      <c r="M2766" t="n">
        <v>0.224</v>
      </c>
    </row>
    <row r="2767" spans="1:13">
      <c r="A2767" s="1">
        <f>HYPERLINK("http://www.twitter.com/NathanBLawrence/status/989539106588844032", "989539106588844032")</f>
        <v/>
      </c>
      <c r="B2767" s="2" t="n">
        <v>43216.67918981481</v>
      </c>
      <c r="C2767" t="n">
        <v>3</v>
      </c>
      <c r="D2767" t="n">
        <v>3</v>
      </c>
      <c r="E2767" t="s">
        <v>2774</v>
      </c>
      <c r="F2767" t="s"/>
      <c r="G2767" t="s"/>
      <c r="H2767" t="s"/>
      <c r="I2767" t="s"/>
      <c r="J2767" t="n">
        <v>-0.6514</v>
      </c>
      <c r="K2767" t="n">
        <v>0.419</v>
      </c>
      <c r="L2767" t="n">
        <v>0.581</v>
      </c>
      <c r="M2767" t="n">
        <v>0</v>
      </c>
    </row>
    <row r="2768" spans="1:13">
      <c r="A2768" s="1">
        <f>HYPERLINK("http://www.twitter.com/NathanBLawrence/status/989538731311882240", "989538731311882240")</f>
        <v/>
      </c>
      <c r="B2768" s="2" t="n">
        <v>43216.67814814814</v>
      </c>
      <c r="C2768" t="n">
        <v>0</v>
      </c>
      <c r="D2768" t="n">
        <v>164</v>
      </c>
      <c r="E2768" t="s">
        <v>2775</v>
      </c>
      <c r="F2768" t="s"/>
      <c r="G2768" t="s"/>
      <c r="H2768" t="s"/>
      <c r="I2768" t="s"/>
      <c r="J2768" t="n">
        <v>0</v>
      </c>
      <c r="K2768" t="n">
        <v>0</v>
      </c>
      <c r="L2768" t="n">
        <v>1</v>
      </c>
      <c r="M2768" t="n">
        <v>0</v>
      </c>
    </row>
    <row r="2769" spans="1:13">
      <c r="A2769" s="1">
        <f>HYPERLINK("http://www.twitter.com/NathanBLawrence/status/989538632221392896", "989538632221392896")</f>
        <v/>
      </c>
      <c r="B2769" s="2" t="n">
        <v>43216.67788194444</v>
      </c>
      <c r="C2769" t="n">
        <v>8</v>
      </c>
      <c r="D2769" t="n">
        <v>3</v>
      </c>
      <c r="E2769" t="s">
        <v>2776</v>
      </c>
      <c r="F2769" t="s"/>
      <c r="G2769" t="s"/>
      <c r="H2769" t="s"/>
      <c r="I2769" t="s"/>
      <c r="J2769" t="n">
        <v>0</v>
      </c>
      <c r="K2769" t="n">
        <v>0</v>
      </c>
      <c r="L2769" t="n">
        <v>1</v>
      </c>
      <c r="M2769" t="n">
        <v>0</v>
      </c>
    </row>
    <row r="2770" spans="1:13">
      <c r="A2770" s="1">
        <f>HYPERLINK("http://www.twitter.com/NathanBLawrence/status/989538178418655232", "989538178418655232")</f>
        <v/>
      </c>
      <c r="B2770" s="2" t="n">
        <v>43216.67663194444</v>
      </c>
      <c r="C2770" t="n">
        <v>0</v>
      </c>
      <c r="D2770" t="n">
        <v>1341</v>
      </c>
      <c r="E2770" t="s">
        <v>2777</v>
      </c>
      <c r="F2770">
        <f>HYPERLINK("http://pbs.twimg.com/media/DbtV-qdXkAA1lIU.jpg", "http://pbs.twimg.com/media/DbtV-qdXkAA1lIU.jpg")</f>
        <v/>
      </c>
      <c r="G2770" t="s"/>
      <c r="H2770" t="s"/>
      <c r="I2770" t="s"/>
      <c r="J2770" t="n">
        <v>-0.296</v>
      </c>
      <c r="K2770" t="n">
        <v>0.091</v>
      </c>
      <c r="L2770" t="n">
        <v>0.909</v>
      </c>
      <c r="M2770" t="n">
        <v>0</v>
      </c>
    </row>
    <row r="2771" spans="1:13">
      <c r="A2771" s="1">
        <f>HYPERLINK("http://www.twitter.com/NathanBLawrence/status/989538126258319360", "989538126258319360")</f>
        <v/>
      </c>
      <c r="B2771" s="2" t="n">
        <v>43216.67648148148</v>
      </c>
      <c r="C2771" t="n">
        <v>4</v>
      </c>
      <c r="D2771" t="n">
        <v>1</v>
      </c>
      <c r="E2771" t="s">
        <v>2778</v>
      </c>
      <c r="F2771" t="s"/>
      <c r="G2771" t="s"/>
      <c r="H2771" t="s"/>
      <c r="I2771" t="s"/>
      <c r="J2771" t="n">
        <v>-0.7219</v>
      </c>
      <c r="K2771" t="n">
        <v>0.159</v>
      </c>
      <c r="L2771" t="n">
        <v>0.841</v>
      </c>
      <c r="M2771" t="n">
        <v>0</v>
      </c>
    </row>
    <row r="2772" spans="1:13">
      <c r="A2772" s="1">
        <f>HYPERLINK("http://www.twitter.com/NathanBLawrence/status/989537672052985856", "989537672052985856")</f>
        <v/>
      </c>
      <c r="B2772" s="2" t="n">
        <v>43216.67523148148</v>
      </c>
      <c r="C2772" t="n">
        <v>5</v>
      </c>
      <c r="D2772" t="n">
        <v>3</v>
      </c>
      <c r="E2772" t="s">
        <v>2779</v>
      </c>
      <c r="F2772" t="s"/>
      <c r="G2772" t="s"/>
      <c r="H2772" t="s"/>
      <c r="I2772" t="s"/>
      <c r="J2772" t="n">
        <v>-0.4981</v>
      </c>
      <c r="K2772" t="n">
        <v>0.168</v>
      </c>
      <c r="L2772" t="n">
        <v>0.832</v>
      </c>
      <c r="M2772" t="n">
        <v>0</v>
      </c>
    </row>
    <row r="2773" spans="1:13">
      <c r="A2773" s="1">
        <f>HYPERLINK("http://www.twitter.com/NathanBLawrence/status/989535188190355456", "989535188190355456")</f>
        <v/>
      </c>
      <c r="B2773" s="2" t="n">
        <v>43216.66837962963</v>
      </c>
      <c r="C2773" t="n">
        <v>3</v>
      </c>
      <c r="D2773" t="n">
        <v>1</v>
      </c>
      <c r="E2773" t="s">
        <v>2780</v>
      </c>
      <c r="F2773" t="s"/>
      <c r="G2773" t="s"/>
      <c r="H2773" t="s"/>
      <c r="I2773" t="s"/>
      <c r="J2773" t="n">
        <v>0.7088</v>
      </c>
      <c r="K2773" t="n">
        <v>0.142</v>
      </c>
      <c r="L2773" t="n">
        <v>0.531</v>
      </c>
      <c r="M2773" t="n">
        <v>0.327</v>
      </c>
    </row>
    <row r="2774" spans="1:13">
      <c r="A2774" s="1">
        <f>HYPERLINK("http://www.twitter.com/NathanBLawrence/status/989534788989014017", "989534788989014017")</f>
        <v/>
      </c>
      <c r="B2774" s="2" t="n">
        <v>43216.6672800926</v>
      </c>
      <c r="C2774" t="n">
        <v>5</v>
      </c>
      <c r="D2774" t="n">
        <v>2</v>
      </c>
      <c r="E2774" t="s">
        <v>2781</v>
      </c>
      <c r="F2774" t="s"/>
      <c r="G2774" t="s"/>
      <c r="H2774" t="s"/>
      <c r="I2774" t="s"/>
      <c r="J2774" t="n">
        <v>-0.4389</v>
      </c>
      <c r="K2774" t="n">
        <v>0.224</v>
      </c>
      <c r="L2774" t="n">
        <v>0.776</v>
      </c>
      <c r="M2774" t="n">
        <v>0</v>
      </c>
    </row>
    <row r="2775" spans="1:13">
      <c r="A2775" s="1">
        <f>HYPERLINK("http://www.twitter.com/NathanBLawrence/status/989352688264466432", "989352688264466432")</f>
        <v/>
      </c>
      <c r="B2775" s="2" t="n">
        <v>43216.16476851852</v>
      </c>
      <c r="C2775" t="n">
        <v>0</v>
      </c>
      <c r="D2775" t="n">
        <v>318</v>
      </c>
      <c r="E2775" t="s">
        <v>2782</v>
      </c>
      <c r="F2775">
        <f>HYPERLINK("http://pbs.twimg.com/media/DblL7ZLW0AAR88K.jpg", "http://pbs.twimg.com/media/DblL7ZLW0AAR88K.jpg")</f>
        <v/>
      </c>
      <c r="G2775" t="s"/>
      <c r="H2775" t="s"/>
      <c r="I2775" t="s"/>
      <c r="J2775" t="n">
        <v>0.8172</v>
      </c>
      <c r="K2775" t="n">
        <v>0</v>
      </c>
      <c r="L2775" t="n">
        <v>0.706</v>
      </c>
      <c r="M2775" t="n">
        <v>0.294</v>
      </c>
    </row>
    <row r="2776" spans="1:13">
      <c r="A2776" s="1">
        <f>HYPERLINK("http://www.twitter.com/NathanBLawrence/status/989351917317865472", "989351917317865472")</f>
        <v/>
      </c>
      <c r="B2776" s="2" t="n">
        <v>43216.16265046296</v>
      </c>
      <c r="C2776" t="n">
        <v>18</v>
      </c>
      <c r="D2776" t="n">
        <v>4</v>
      </c>
      <c r="E2776" t="s">
        <v>2783</v>
      </c>
      <c r="F2776" t="s"/>
      <c r="G2776" t="s"/>
      <c r="H2776" t="s"/>
      <c r="I2776" t="s"/>
      <c r="J2776" t="n">
        <v>0.4003</v>
      </c>
      <c r="K2776" t="n">
        <v>0.121</v>
      </c>
      <c r="L2776" t="n">
        <v>0.704</v>
      </c>
      <c r="M2776" t="n">
        <v>0.175</v>
      </c>
    </row>
    <row r="2777" spans="1:13">
      <c r="A2777" s="1">
        <f>HYPERLINK("http://www.twitter.com/NathanBLawrence/status/989351567982673920", "989351567982673920")</f>
        <v/>
      </c>
      <c r="B2777" s="2" t="n">
        <v>43216.16167824074</v>
      </c>
      <c r="C2777" t="n">
        <v>0</v>
      </c>
      <c r="D2777" t="n">
        <v>920</v>
      </c>
      <c r="E2777" t="s">
        <v>2784</v>
      </c>
      <c r="F2777">
        <f>HYPERLINK("http://pbs.twimg.com/media/Dbld4ffXkAYtYPZ.jpg", "http://pbs.twimg.com/media/Dbld4ffXkAYtYPZ.jpg")</f>
        <v/>
      </c>
      <c r="G2777" t="s"/>
      <c r="H2777" t="s"/>
      <c r="I2777" t="s"/>
      <c r="J2777" t="n">
        <v>0.2023</v>
      </c>
      <c r="K2777" t="n">
        <v>0</v>
      </c>
      <c r="L2777" t="n">
        <v>0.921</v>
      </c>
      <c r="M2777" t="n">
        <v>0.079</v>
      </c>
    </row>
    <row r="2778" spans="1:13">
      <c r="A2778" s="1">
        <f>HYPERLINK("http://www.twitter.com/NathanBLawrence/status/989351441272786944", "989351441272786944")</f>
        <v/>
      </c>
      <c r="B2778" s="2" t="n">
        <v>43216.16133101852</v>
      </c>
      <c r="C2778" t="n">
        <v>0</v>
      </c>
      <c r="D2778" t="n">
        <v>2000</v>
      </c>
      <c r="E2778" t="s">
        <v>2785</v>
      </c>
      <c r="F2778" t="s"/>
      <c r="G2778" t="s"/>
      <c r="H2778" t="s"/>
      <c r="I2778" t="s"/>
      <c r="J2778" t="n">
        <v>0.4215</v>
      </c>
      <c r="K2778" t="n">
        <v>0</v>
      </c>
      <c r="L2778" t="n">
        <v>0.896</v>
      </c>
      <c r="M2778" t="n">
        <v>0.104</v>
      </c>
    </row>
    <row r="2779" spans="1:13">
      <c r="A2779" s="1">
        <f>HYPERLINK("http://www.twitter.com/NathanBLawrence/status/989351388109914112", "989351388109914112")</f>
        <v/>
      </c>
      <c r="B2779" s="2" t="n">
        <v>43216.16118055556</v>
      </c>
      <c r="C2779" t="n">
        <v>0</v>
      </c>
      <c r="D2779" t="n">
        <v>716</v>
      </c>
      <c r="E2779" t="s">
        <v>2786</v>
      </c>
      <c r="F2779">
        <f>HYPERLINK("https://video.twimg.com/ext_tw_video/989285215687331840/pu/vid/1280x720/Q25SOQ94pl09GjhA.mp4?tag=3", "https://video.twimg.com/ext_tw_video/989285215687331840/pu/vid/1280x720/Q25SOQ94pl09GjhA.mp4?tag=3")</f>
        <v/>
      </c>
      <c r="G2779" t="s"/>
      <c r="H2779" t="s"/>
      <c r="I2779" t="s"/>
      <c r="J2779" t="n">
        <v>-0.7506</v>
      </c>
      <c r="K2779" t="n">
        <v>0.225</v>
      </c>
      <c r="L2779" t="n">
        <v>0.775</v>
      </c>
      <c r="M2779" t="n">
        <v>0</v>
      </c>
    </row>
    <row r="2780" spans="1:13">
      <c r="A2780" s="1">
        <f>HYPERLINK("http://www.twitter.com/NathanBLawrence/status/989349320863371264", "989349320863371264")</f>
        <v/>
      </c>
      <c r="B2780" s="2" t="n">
        <v>43216.15547453704</v>
      </c>
      <c r="C2780" t="n">
        <v>43</v>
      </c>
      <c r="D2780" t="n">
        <v>18</v>
      </c>
      <c r="E2780" t="s">
        <v>2787</v>
      </c>
      <c r="F2780" t="s"/>
      <c r="G2780" t="s"/>
      <c r="H2780" t="s"/>
      <c r="I2780" t="s"/>
      <c r="J2780" t="n">
        <v>-0.8401999999999999</v>
      </c>
      <c r="K2780" t="n">
        <v>0.286</v>
      </c>
      <c r="L2780" t="n">
        <v>0.608</v>
      </c>
      <c r="M2780" t="n">
        <v>0.106</v>
      </c>
    </row>
    <row r="2781" spans="1:13">
      <c r="A2781" s="1">
        <f>HYPERLINK("http://www.twitter.com/NathanBLawrence/status/989345309879762944", "989345309879762944")</f>
        <v/>
      </c>
      <c r="B2781" s="2" t="n">
        <v>43216.14440972222</v>
      </c>
      <c r="C2781" t="n">
        <v>6</v>
      </c>
      <c r="D2781" t="n">
        <v>1</v>
      </c>
      <c r="E2781" t="s">
        <v>2788</v>
      </c>
      <c r="F2781" t="s"/>
      <c r="G2781" t="s"/>
      <c r="H2781" t="s"/>
      <c r="I2781" t="s"/>
      <c r="J2781" t="n">
        <v>-0.6731</v>
      </c>
      <c r="K2781" t="n">
        <v>0.22</v>
      </c>
      <c r="L2781" t="n">
        <v>0.78</v>
      </c>
      <c r="M2781" t="n">
        <v>0</v>
      </c>
    </row>
    <row r="2782" spans="1:13">
      <c r="A2782" s="1">
        <f>HYPERLINK("http://www.twitter.com/NathanBLawrence/status/989345047177920513", "989345047177920513")</f>
        <v/>
      </c>
      <c r="B2782" s="2" t="n">
        <v>43216.14369212963</v>
      </c>
      <c r="C2782" t="n">
        <v>9</v>
      </c>
      <c r="D2782" t="n">
        <v>2</v>
      </c>
      <c r="E2782" t="s">
        <v>2789</v>
      </c>
      <c r="F2782" t="s"/>
      <c r="G2782" t="s"/>
      <c r="H2782" t="s"/>
      <c r="I2782" t="s"/>
      <c r="J2782" t="n">
        <v>-0.2177</v>
      </c>
      <c r="K2782" t="n">
        <v>0.194</v>
      </c>
      <c r="L2782" t="n">
        <v>0.67</v>
      </c>
      <c r="M2782" t="n">
        <v>0.136</v>
      </c>
    </row>
    <row r="2783" spans="1:13">
      <c r="A2783" s="1">
        <f>HYPERLINK("http://www.twitter.com/NathanBLawrence/status/989344233797529600", "989344233797529600")</f>
        <v/>
      </c>
      <c r="B2783" s="2" t="n">
        <v>43216.14144675926</v>
      </c>
      <c r="C2783" t="n">
        <v>12</v>
      </c>
      <c r="D2783" t="n">
        <v>7</v>
      </c>
      <c r="E2783" t="s">
        <v>2790</v>
      </c>
      <c r="F2783" t="s"/>
      <c r="G2783" t="s"/>
      <c r="H2783" t="s"/>
      <c r="I2783" t="s"/>
      <c r="J2783" t="n">
        <v>0</v>
      </c>
      <c r="K2783" t="n">
        <v>0</v>
      </c>
      <c r="L2783" t="n">
        <v>1</v>
      </c>
      <c r="M2783" t="n">
        <v>0</v>
      </c>
    </row>
    <row r="2784" spans="1:13">
      <c r="A2784" s="1">
        <f>HYPERLINK("http://www.twitter.com/NathanBLawrence/status/989343949000134658", "989343949000134658")</f>
        <v/>
      </c>
      <c r="B2784" s="2" t="n">
        <v>43216.14065972222</v>
      </c>
      <c r="C2784" t="n">
        <v>5</v>
      </c>
      <c r="D2784" t="n">
        <v>1</v>
      </c>
      <c r="E2784" t="s">
        <v>2791</v>
      </c>
      <c r="F2784" t="s"/>
      <c r="G2784" t="s"/>
      <c r="H2784" t="s"/>
      <c r="I2784" t="s"/>
      <c r="J2784" t="n">
        <v>0.5411</v>
      </c>
      <c r="K2784" t="n">
        <v>0</v>
      </c>
      <c r="L2784" t="n">
        <v>0.741</v>
      </c>
      <c r="M2784" t="n">
        <v>0.259</v>
      </c>
    </row>
    <row r="2785" spans="1:13">
      <c r="A2785" s="1">
        <f>HYPERLINK("http://www.twitter.com/NathanBLawrence/status/989343778983919621", "989343778983919621")</f>
        <v/>
      </c>
      <c r="B2785" s="2" t="n">
        <v>43216.14018518518</v>
      </c>
      <c r="C2785" t="n">
        <v>8</v>
      </c>
      <c r="D2785" t="n">
        <v>1</v>
      </c>
      <c r="E2785" t="s">
        <v>2792</v>
      </c>
      <c r="F2785" t="s"/>
      <c r="G2785" t="s"/>
      <c r="H2785" t="s"/>
      <c r="I2785" t="s"/>
      <c r="J2785" t="n">
        <v>0</v>
      </c>
      <c r="K2785" t="n">
        <v>0</v>
      </c>
      <c r="L2785" t="n">
        <v>1</v>
      </c>
      <c r="M2785" t="n">
        <v>0</v>
      </c>
    </row>
    <row r="2786" spans="1:13">
      <c r="A2786" s="1">
        <f>HYPERLINK("http://www.twitter.com/NathanBLawrence/status/989343614537879552", "989343614537879552")</f>
        <v/>
      </c>
      <c r="B2786" s="2" t="n">
        <v>43216.1397337963</v>
      </c>
      <c r="C2786" t="n">
        <v>18</v>
      </c>
      <c r="D2786" t="n">
        <v>6</v>
      </c>
      <c r="E2786" t="s">
        <v>2793</v>
      </c>
      <c r="F2786" t="s"/>
      <c r="G2786" t="s"/>
      <c r="H2786" t="s"/>
      <c r="I2786" t="s"/>
      <c r="J2786" t="n">
        <v>0.6486</v>
      </c>
      <c r="K2786" t="n">
        <v>0</v>
      </c>
      <c r="L2786" t="n">
        <v>0.798</v>
      </c>
      <c r="M2786" t="n">
        <v>0.202</v>
      </c>
    </row>
    <row r="2787" spans="1:13">
      <c r="A2787" s="1">
        <f>HYPERLINK("http://www.twitter.com/NathanBLawrence/status/989343094830055424", "989343094830055424")</f>
        <v/>
      </c>
      <c r="B2787" s="2" t="n">
        <v>43216.13829861111</v>
      </c>
      <c r="C2787" t="n">
        <v>4</v>
      </c>
      <c r="D2787" t="n">
        <v>4</v>
      </c>
      <c r="E2787" t="s">
        <v>2794</v>
      </c>
      <c r="F2787" t="s"/>
      <c r="G2787" t="s"/>
      <c r="H2787" t="s"/>
      <c r="I2787" t="s"/>
      <c r="J2787" t="n">
        <v>0.6369</v>
      </c>
      <c r="K2787" t="n">
        <v>0</v>
      </c>
      <c r="L2787" t="n">
        <v>0.84</v>
      </c>
      <c r="M2787" t="n">
        <v>0.16</v>
      </c>
    </row>
    <row r="2788" spans="1:13">
      <c r="A2788" s="1">
        <f>HYPERLINK("http://www.twitter.com/NathanBLawrence/status/989342969290416128", "989342969290416128")</f>
        <v/>
      </c>
      <c r="B2788" s="2" t="n">
        <v>43216.13795138889</v>
      </c>
      <c r="C2788" t="n">
        <v>12</v>
      </c>
      <c r="D2788" t="n">
        <v>7</v>
      </c>
      <c r="E2788" t="s">
        <v>2795</v>
      </c>
      <c r="F2788" t="s"/>
      <c r="G2788" t="s"/>
      <c r="H2788" t="s"/>
      <c r="I2788" t="s"/>
      <c r="J2788" t="n">
        <v>-0.3612</v>
      </c>
      <c r="K2788" t="n">
        <v>0.143</v>
      </c>
      <c r="L2788" t="n">
        <v>0.857</v>
      </c>
      <c r="M2788" t="n">
        <v>0</v>
      </c>
    </row>
    <row r="2789" spans="1:13">
      <c r="A2789" s="1">
        <f>HYPERLINK("http://www.twitter.com/NathanBLawrence/status/989342485267664896", "989342485267664896")</f>
        <v/>
      </c>
      <c r="B2789" s="2" t="n">
        <v>43216.13662037037</v>
      </c>
      <c r="C2789" t="n">
        <v>0</v>
      </c>
      <c r="D2789" t="n">
        <v>1700</v>
      </c>
      <c r="E2789" t="s">
        <v>2796</v>
      </c>
      <c r="F2789" t="s"/>
      <c r="G2789" t="s"/>
      <c r="H2789" t="s"/>
      <c r="I2789" t="s"/>
      <c r="J2789" t="n">
        <v>-0.0516</v>
      </c>
      <c r="K2789" t="n">
        <v>0.099</v>
      </c>
      <c r="L2789" t="n">
        <v>0.8090000000000001</v>
      </c>
      <c r="M2789" t="n">
        <v>0.092</v>
      </c>
    </row>
    <row r="2790" spans="1:13">
      <c r="A2790" s="1">
        <f>HYPERLINK("http://www.twitter.com/NathanBLawrence/status/989342241238892544", "989342241238892544")</f>
        <v/>
      </c>
      <c r="B2790" s="2" t="n">
        <v>43216.13594907407</v>
      </c>
      <c r="C2790" t="n">
        <v>7</v>
      </c>
      <c r="D2790" t="n">
        <v>6</v>
      </c>
      <c r="E2790" t="s">
        <v>2797</v>
      </c>
      <c r="F2790" t="s"/>
      <c r="G2790" t="s"/>
      <c r="H2790" t="s"/>
      <c r="I2790" t="s"/>
      <c r="J2790" t="n">
        <v>0.7088</v>
      </c>
      <c r="K2790" t="n">
        <v>0</v>
      </c>
      <c r="L2790" t="n">
        <v>0.604</v>
      </c>
      <c r="M2790" t="n">
        <v>0.396</v>
      </c>
    </row>
    <row r="2791" spans="1:13">
      <c r="A2791" s="1">
        <f>HYPERLINK("http://www.twitter.com/NathanBLawrence/status/989341318152273920", "989341318152273920")</f>
        <v/>
      </c>
      <c r="B2791" s="2" t="n">
        <v>43216.1333912037</v>
      </c>
      <c r="C2791" t="n">
        <v>15</v>
      </c>
      <c r="D2791" t="n">
        <v>7</v>
      </c>
      <c r="E2791" t="s">
        <v>2798</v>
      </c>
      <c r="F2791" t="s"/>
      <c r="G2791" t="s"/>
      <c r="H2791" t="s"/>
      <c r="I2791" t="s"/>
      <c r="J2791" t="n">
        <v>0.6793</v>
      </c>
      <c r="K2791" t="n">
        <v>0</v>
      </c>
      <c r="L2791" t="n">
        <v>0.466</v>
      </c>
      <c r="M2791" t="n">
        <v>0.534</v>
      </c>
    </row>
    <row r="2792" spans="1:13">
      <c r="A2792" s="1">
        <f>HYPERLINK("http://www.twitter.com/NathanBLawrence/status/989341189458411520", "989341189458411520")</f>
        <v/>
      </c>
      <c r="B2792" s="2" t="n">
        <v>43216.13304398148</v>
      </c>
      <c r="C2792" t="n">
        <v>0</v>
      </c>
      <c r="D2792" t="n">
        <v>327</v>
      </c>
      <c r="E2792" t="s">
        <v>2799</v>
      </c>
      <c r="F2792">
        <f>HYPERLINK("http://pbs.twimg.com/media/DbqiVRzVwAENFo4.jpg", "http://pbs.twimg.com/media/DbqiVRzVwAENFo4.jpg")</f>
        <v/>
      </c>
      <c r="G2792" t="s"/>
      <c r="H2792" t="s"/>
      <c r="I2792" t="s"/>
      <c r="J2792" t="n">
        <v>0</v>
      </c>
      <c r="K2792" t="n">
        <v>0</v>
      </c>
      <c r="L2792" t="n">
        <v>1</v>
      </c>
      <c r="M2792" t="n">
        <v>0</v>
      </c>
    </row>
    <row r="2793" spans="1:13">
      <c r="A2793" s="1">
        <f>HYPERLINK("http://www.twitter.com/NathanBLawrence/status/989340758686625792", "989340758686625792")</f>
        <v/>
      </c>
      <c r="B2793" s="2" t="n">
        <v>43216.13185185185</v>
      </c>
      <c r="C2793" t="n">
        <v>0</v>
      </c>
      <c r="D2793" t="n">
        <v>664</v>
      </c>
      <c r="E2793" t="s">
        <v>2800</v>
      </c>
      <c r="F2793">
        <f>HYPERLINK("http://pbs.twimg.com/media/DbrDXVWXUAAnQCu.jpg", "http://pbs.twimg.com/media/DbrDXVWXUAAnQCu.jpg")</f>
        <v/>
      </c>
      <c r="G2793">
        <f>HYPERLINK("http://pbs.twimg.com/media/DbrDXVXX4AAH3lS.jpg", "http://pbs.twimg.com/media/DbrDXVXX4AAH3lS.jpg")</f>
        <v/>
      </c>
      <c r="H2793">
        <f>HYPERLINK("http://pbs.twimg.com/media/DbrDXVWXcAA0t3w.jpg", "http://pbs.twimg.com/media/DbrDXVWXcAA0t3w.jpg")</f>
        <v/>
      </c>
      <c r="I2793" t="s"/>
      <c r="J2793" t="n">
        <v>0.3989</v>
      </c>
      <c r="K2793" t="n">
        <v>0.081</v>
      </c>
      <c r="L2793" t="n">
        <v>0.775</v>
      </c>
      <c r="M2793" t="n">
        <v>0.143</v>
      </c>
    </row>
    <row r="2794" spans="1:13">
      <c r="A2794" s="1">
        <f>HYPERLINK("http://www.twitter.com/NathanBLawrence/status/989340661458485250", "989340661458485250")</f>
        <v/>
      </c>
      <c r="B2794" s="2" t="n">
        <v>43216.13158564815</v>
      </c>
      <c r="C2794" t="n">
        <v>8</v>
      </c>
      <c r="D2794" t="n">
        <v>2</v>
      </c>
      <c r="E2794" t="s">
        <v>2801</v>
      </c>
      <c r="F2794" t="s"/>
      <c r="G2794" t="s"/>
      <c r="H2794" t="s"/>
      <c r="I2794" t="s"/>
      <c r="J2794" t="n">
        <v>-0.5759</v>
      </c>
      <c r="K2794" t="n">
        <v>0.218</v>
      </c>
      <c r="L2794" t="n">
        <v>0.782</v>
      </c>
      <c r="M2794" t="n">
        <v>0</v>
      </c>
    </row>
    <row r="2795" spans="1:13">
      <c r="A2795" s="1">
        <f>HYPERLINK("http://www.twitter.com/NathanBLawrence/status/989340156330065921", "989340156330065921")</f>
        <v/>
      </c>
      <c r="B2795" s="2" t="n">
        <v>43216.13018518518</v>
      </c>
      <c r="C2795" t="n">
        <v>0</v>
      </c>
      <c r="D2795" t="n">
        <v>83</v>
      </c>
      <c r="E2795" t="s">
        <v>2802</v>
      </c>
      <c r="F2795">
        <f>HYPERLINK("http://pbs.twimg.com/media/DbrE3shU0AActoO.jpg", "http://pbs.twimg.com/media/DbrE3shU0AActoO.jpg")</f>
        <v/>
      </c>
      <c r="G2795" t="s"/>
      <c r="H2795" t="s"/>
      <c r="I2795" t="s"/>
      <c r="J2795" t="n">
        <v>0</v>
      </c>
      <c r="K2795" t="n">
        <v>0</v>
      </c>
      <c r="L2795" t="n">
        <v>1</v>
      </c>
      <c r="M2795" t="n">
        <v>0</v>
      </c>
    </row>
    <row r="2796" spans="1:13">
      <c r="A2796" s="1">
        <f>HYPERLINK("http://www.twitter.com/NathanBLawrence/status/989339224615743488", "989339224615743488")</f>
        <v/>
      </c>
      <c r="B2796" s="2" t="n">
        <v>43216.12761574074</v>
      </c>
      <c r="C2796" t="n">
        <v>0</v>
      </c>
      <c r="D2796" t="n">
        <v>12</v>
      </c>
      <c r="E2796" t="s">
        <v>2803</v>
      </c>
      <c r="F2796" t="s"/>
      <c r="G2796" t="s"/>
      <c r="H2796" t="s"/>
      <c r="I2796" t="s"/>
      <c r="J2796" t="n">
        <v>0.4939</v>
      </c>
      <c r="K2796" t="n">
        <v>0</v>
      </c>
      <c r="L2796" t="n">
        <v>0.781</v>
      </c>
      <c r="M2796" t="n">
        <v>0.219</v>
      </c>
    </row>
    <row r="2797" spans="1:13">
      <c r="A2797" s="1">
        <f>HYPERLINK("http://www.twitter.com/NathanBLawrence/status/989337100959924226", "989337100959924226")</f>
        <v/>
      </c>
      <c r="B2797" s="2" t="n">
        <v>43216.12175925926</v>
      </c>
      <c r="C2797" t="n">
        <v>30</v>
      </c>
      <c r="D2797" t="n">
        <v>16</v>
      </c>
      <c r="E2797" t="s">
        <v>2804</v>
      </c>
      <c r="F2797" t="s"/>
      <c r="G2797" t="s"/>
      <c r="H2797" t="s"/>
      <c r="I2797" t="s"/>
      <c r="J2797" t="n">
        <v>0.9306</v>
      </c>
      <c r="K2797" t="n">
        <v>0.051</v>
      </c>
      <c r="L2797" t="n">
        <v>0.661</v>
      </c>
      <c r="M2797" t="n">
        <v>0.287</v>
      </c>
    </row>
    <row r="2798" spans="1:13">
      <c r="A2798" s="1">
        <f>HYPERLINK("http://www.twitter.com/NathanBLawrence/status/989336092271771648", "989336092271771648")</f>
        <v/>
      </c>
      <c r="B2798" s="2" t="n">
        <v>43216.11898148148</v>
      </c>
      <c r="C2798" t="n">
        <v>0</v>
      </c>
      <c r="D2798" t="n">
        <v>1</v>
      </c>
      <c r="E2798" t="s">
        <v>2805</v>
      </c>
      <c r="F2798" t="s"/>
      <c r="G2798" t="s"/>
      <c r="H2798" t="s"/>
      <c r="I2798" t="s"/>
      <c r="J2798" t="n">
        <v>0</v>
      </c>
      <c r="K2798" t="n">
        <v>0</v>
      </c>
      <c r="L2798" t="n">
        <v>1</v>
      </c>
      <c r="M2798" t="n">
        <v>0</v>
      </c>
    </row>
    <row r="2799" spans="1:13">
      <c r="A2799" s="1">
        <f>HYPERLINK("http://www.twitter.com/NathanBLawrence/status/989335856115675136", "989335856115675136")</f>
        <v/>
      </c>
      <c r="B2799" s="2" t="n">
        <v>43216.11832175926</v>
      </c>
      <c r="C2799" t="n">
        <v>8</v>
      </c>
      <c r="D2799" t="n">
        <v>3</v>
      </c>
      <c r="E2799" t="s">
        <v>2806</v>
      </c>
      <c r="F2799" t="s"/>
      <c r="G2799" t="s"/>
      <c r="H2799" t="s"/>
      <c r="I2799" t="s"/>
      <c r="J2799" t="n">
        <v>0.7206</v>
      </c>
      <c r="K2799" t="n">
        <v>0</v>
      </c>
      <c r="L2799" t="n">
        <v>0.749</v>
      </c>
      <c r="M2799" t="n">
        <v>0.251</v>
      </c>
    </row>
    <row r="2800" spans="1:13">
      <c r="A2800" s="1">
        <f>HYPERLINK("http://www.twitter.com/NathanBLawrence/status/989335518411350017", "989335518411350017")</f>
        <v/>
      </c>
      <c r="B2800" s="2" t="n">
        <v>43216.11739583333</v>
      </c>
      <c r="C2800" t="n">
        <v>3</v>
      </c>
      <c r="D2800" t="n">
        <v>1</v>
      </c>
      <c r="E2800" t="s">
        <v>2807</v>
      </c>
      <c r="F2800" t="s"/>
      <c r="G2800" t="s"/>
      <c r="H2800" t="s"/>
      <c r="I2800" t="s"/>
      <c r="J2800" t="n">
        <v>-0.9115</v>
      </c>
      <c r="K2800" t="n">
        <v>0.375</v>
      </c>
      <c r="L2800" t="n">
        <v>0.625</v>
      </c>
      <c r="M2800" t="n">
        <v>0</v>
      </c>
    </row>
    <row r="2801" spans="1:13">
      <c r="A2801" s="1">
        <f>HYPERLINK("http://www.twitter.com/NathanBLawrence/status/989335156686180352", "989335156686180352")</f>
        <v/>
      </c>
      <c r="B2801" s="2" t="n">
        <v>43216.11638888889</v>
      </c>
      <c r="C2801" t="n">
        <v>10</v>
      </c>
      <c r="D2801" t="n">
        <v>4</v>
      </c>
      <c r="E2801" t="s">
        <v>2808</v>
      </c>
      <c r="F2801" t="s"/>
      <c r="G2801" t="s"/>
      <c r="H2801" t="s"/>
      <c r="I2801" t="s"/>
      <c r="J2801" t="n">
        <v>-0.9550999999999999</v>
      </c>
      <c r="K2801" t="n">
        <v>0.397</v>
      </c>
      <c r="L2801" t="n">
        <v>0.503</v>
      </c>
      <c r="M2801" t="n">
        <v>0.101</v>
      </c>
    </row>
    <row r="2802" spans="1:13">
      <c r="A2802" s="1">
        <f>HYPERLINK("http://www.twitter.com/NathanBLawrence/status/989334332643803136", "989334332643803136")</f>
        <v/>
      </c>
      <c r="B2802" s="2" t="n">
        <v>43216.11412037037</v>
      </c>
      <c r="C2802" t="n">
        <v>0</v>
      </c>
      <c r="D2802" t="n">
        <v>21335</v>
      </c>
      <c r="E2802" t="s">
        <v>2809</v>
      </c>
      <c r="F2802" t="s"/>
      <c r="G2802" t="s"/>
      <c r="H2802" t="s"/>
      <c r="I2802" t="s"/>
      <c r="J2802" t="n">
        <v>0.8779</v>
      </c>
      <c r="K2802" t="n">
        <v>0</v>
      </c>
      <c r="L2802" t="n">
        <v>0.704</v>
      </c>
      <c r="M2802" t="n">
        <v>0.296</v>
      </c>
    </row>
    <row r="2803" spans="1:13">
      <c r="A2803" s="1">
        <f>HYPERLINK("http://www.twitter.com/NathanBLawrence/status/989334100715622400", "989334100715622400")</f>
        <v/>
      </c>
      <c r="B2803" s="2" t="n">
        <v>43216.1134837963</v>
      </c>
      <c r="C2803" t="n">
        <v>0</v>
      </c>
      <c r="D2803" t="n">
        <v>1181</v>
      </c>
      <c r="E2803" t="s">
        <v>2810</v>
      </c>
      <c r="F2803" t="s"/>
      <c r="G2803" t="s"/>
      <c r="H2803" t="s"/>
      <c r="I2803" t="s"/>
      <c r="J2803" t="n">
        <v>0</v>
      </c>
      <c r="K2803" t="n">
        <v>0</v>
      </c>
      <c r="L2803" t="n">
        <v>1</v>
      </c>
      <c r="M2803" t="n">
        <v>0</v>
      </c>
    </row>
    <row r="2804" spans="1:13">
      <c r="A2804" s="1">
        <f>HYPERLINK("http://www.twitter.com/NathanBLawrence/status/989334038199517185", "989334038199517185")</f>
        <v/>
      </c>
      <c r="B2804" s="2" t="n">
        <v>43216.11331018519</v>
      </c>
      <c r="C2804" t="n">
        <v>0</v>
      </c>
      <c r="D2804" t="n">
        <v>8855</v>
      </c>
      <c r="E2804" t="s">
        <v>2811</v>
      </c>
      <c r="F2804" t="s"/>
      <c r="G2804" t="s"/>
      <c r="H2804" t="s"/>
      <c r="I2804" t="s"/>
      <c r="J2804" t="n">
        <v>0.34</v>
      </c>
      <c r="K2804" t="n">
        <v>0.113</v>
      </c>
      <c r="L2804" t="n">
        <v>0.695</v>
      </c>
      <c r="M2804" t="n">
        <v>0.192</v>
      </c>
    </row>
    <row r="2805" spans="1:13">
      <c r="A2805" s="1">
        <f>HYPERLINK("http://www.twitter.com/NathanBLawrence/status/989333811065380865", "989333811065380865")</f>
        <v/>
      </c>
      <c r="B2805" s="2" t="n">
        <v>43216.11268518519</v>
      </c>
      <c r="C2805" t="n">
        <v>14</v>
      </c>
      <c r="D2805" t="n">
        <v>4</v>
      </c>
      <c r="E2805" t="s">
        <v>2812</v>
      </c>
      <c r="F2805" t="s"/>
      <c r="G2805" t="s"/>
      <c r="H2805" t="s"/>
      <c r="I2805" t="s"/>
      <c r="J2805" t="n">
        <v>0.7249</v>
      </c>
      <c r="K2805" t="n">
        <v>0</v>
      </c>
      <c r="L2805" t="n">
        <v>0.441</v>
      </c>
      <c r="M2805" t="n">
        <v>0.5590000000000001</v>
      </c>
    </row>
    <row r="2806" spans="1:13">
      <c r="A2806" s="1">
        <f>HYPERLINK("http://www.twitter.com/NathanBLawrence/status/989333616705466369", "989333616705466369")</f>
        <v/>
      </c>
      <c r="B2806" s="2" t="n">
        <v>43216.1121412037</v>
      </c>
      <c r="C2806" t="n">
        <v>0</v>
      </c>
      <c r="D2806" t="n">
        <v>1273</v>
      </c>
      <c r="E2806" t="s">
        <v>2813</v>
      </c>
      <c r="F2806">
        <f>HYPERLINK("http://pbs.twimg.com/media/DbqtuzfW4AUfdIt.jpg", "http://pbs.twimg.com/media/DbqtuzfW4AUfdIt.jpg")</f>
        <v/>
      </c>
      <c r="G2806" t="s"/>
      <c r="H2806" t="s"/>
      <c r="I2806" t="s"/>
      <c r="J2806" t="n">
        <v>0</v>
      </c>
      <c r="K2806" t="n">
        <v>0</v>
      </c>
      <c r="L2806" t="n">
        <v>1</v>
      </c>
      <c r="M2806" t="n">
        <v>0</v>
      </c>
    </row>
    <row r="2807" spans="1:13">
      <c r="A2807" s="1">
        <f>HYPERLINK("http://www.twitter.com/NathanBLawrence/status/989333529887522816", "989333529887522816")</f>
        <v/>
      </c>
      <c r="B2807" s="2" t="n">
        <v>43216.11190972223</v>
      </c>
      <c r="C2807" t="n">
        <v>0</v>
      </c>
      <c r="D2807" t="n">
        <v>11</v>
      </c>
      <c r="E2807" t="s">
        <v>2814</v>
      </c>
      <c r="F2807">
        <f>HYPERLINK("http://pbs.twimg.com/media/DbrResAX0AApa_d.jpg", "http://pbs.twimg.com/media/DbrResAX0AApa_d.jpg")</f>
        <v/>
      </c>
      <c r="G2807" t="s"/>
      <c r="H2807" t="s"/>
      <c r="I2807" t="s"/>
      <c r="J2807" t="n">
        <v>0</v>
      </c>
      <c r="K2807" t="n">
        <v>0</v>
      </c>
      <c r="L2807" t="n">
        <v>1</v>
      </c>
      <c r="M2807" t="n">
        <v>0</v>
      </c>
    </row>
    <row r="2808" spans="1:13">
      <c r="A2808" s="1">
        <f>HYPERLINK("http://www.twitter.com/NathanBLawrence/status/989333370629844992", "989333370629844992")</f>
        <v/>
      </c>
      <c r="B2808" s="2" t="n">
        <v>43216.11146990741</v>
      </c>
      <c r="C2808" t="n">
        <v>0</v>
      </c>
      <c r="D2808" t="n">
        <v>87733</v>
      </c>
      <c r="E2808" t="s">
        <v>2815</v>
      </c>
      <c r="F2808" t="s"/>
      <c r="G2808" t="s"/>
      <c r="H2808" t="s"/>
      <c r="I2808" t="s"/>
      <c r="J2808" t="n">
        <v>0</v>
      </c>
      <c r="K2808" t="n">
        <v>0</v>
      </c>
      <c r="L2808" t="n">
        <v>1</v>
      </c>
      <c r="M2808" t="n">
        <v>0</v>
      </c>
    </row>
    <row r="2809" spans="1:13">
      <c r="A2809" s="1">
        <f>HYPERLINK("http://www.twitter.com/NathanBLawrence/status/989333054861672448", "989333054861672448")</f>
        <v/>
      </c>
      <c r="B2809" s="2" t="n">
        <v>43216.11059027778</v>
      </c>
      <c r="C2809" t="n">
        <v>8</v>
      </c>
      <c r="D2809" t="n">
        <v>3</v>
      </c>
      <c r="E2809" t="s">
        <v>2816</v>
      </c>
      <c r="F2809" t="s"/>
      <c r="G2809" t="s"/>
      <c r="H2809" t="s"/>
      <c r="I2809" t="s"/>
      <c r="J2809" t="n">
        <v>-0.5875</v>
      </c>
      <c r="K2809" t="n">
        <v>0.176</v>
      </c>
      <c r="L2809" t="n">
        <v>0.754</v>
      </c>
      <c r="M2809" t="n">
        <v>0.07000000000000001</v>
      </c>
    </row>
    <row r="2810" spans="1:13">
      <c r="A2810" s="1">
        <f>HYPERLINK("http://www.twitter.com/NathanBLawrence/status/989332845175783426", "989332845175783426")</f>
        <v/>
      </c>
      <c r="B2810" s="2" t="n">
        <v>43216.11001157408</v>
      </c>
      <c r="C2810" t="n">
        <v>0</v>
      </c>
      <c r="D2810" t="n">
        <v>2410</v>
      </c>
      <c r="E2810" t="s">
        <v>2817</v>
      </c>
      <c r="F2810">
        <f>HYPERLINK("http://pbs.twimg.com/media/DbqcX59V4AADi04.jpg", "http://pbs.twimg.com/media/DbqcX59V4AADi04.jpg")</f>
        <v/>
      </c>
      <c r="G2810" t="s"/>
      <c r="H2810" t="s"/>
      <c r="I2810" t="s"/>
      <c r="J2810" t="n">
        <v>0</v>
      </c>
      <c r="K2810" t="n">
        <v>0</v>
      </c>
      <c r="L2810" t="n">
        <v>1</v>
      </c>
      <c r="M2810" t="n">
        <v>0</v>
      </c>
    </row>
    <row r="2811" spans="1:13">
      <c r="A2811" s="1">
        <f>HYPERLINK("http://www.twitter.com/NathanBLawrence/status/989332699243401216", "989332699243401216")</f>
        <v/>
      </c>
      <c r="B2811" s="2" t="n">
        <v>43216.10961805555</v>
      </c>
      <c r="C2811" t="n">
        <v>0</v>
      </c>
      <c r="D2811" t="n">
        <v>19390</v>
      </c>
      <c r="E2811" t="s">
        <v>2818</v>
      </c>
      <c r="F2811">
        <f>HYPERLINK("http://pbs.twimg.com/media/DbqgJqDVQAEq5Bw.jpg", "http://pbs.twimg.com/media/DbqgJqDVQAEq5Bw.jpg")</f>
        <v/>
      </c>
      <c r="G2811" t="s"/>
      <c r="H2811" t="s"/>
      <c r="I2811" t="s"/>
      <c r="J2811" t="n">
        <v>0</v>
      </c>
      <c r="K2811" t="n">
        <v>0</v>
      </c>
      <c r="L2811" t="n">
        <v>1</v>
      </c>
      <c r="M2811" t="n">
        <v>0</v>
      </c>
    </row>
    <row r="2812" spans="1:13">
      <c r="A2812" s="1">
        <f>HYPERLINK("http://www.twitter.com/NathanBLawrence/status/989332606264135680", "989332606264135680")</f>
        <v/>
      </c>
      <c r="B2812" s="2" t="n">
        <v>43216.10935185185</v>
      </c>
      <c r="C2812" t="n">
        <v>15</v>
      </c>
      <c r="D2812" t="n">
        <v>13</v>
      </c>
      <c r="E2812" t="s">
        <v>2819</v>
      </c>
      <c r="F2812" t="s"/>
      <c r="G2812" t="s"/>
      <c r="H2812" t="s"/>
      <c r="I2812" t="s"/>
      <c r="J2812" t="n">
        <v>0.1877</v>
      </c>
      <c r="K2812" t="n">
        <v>0.117</v>
      </c>
      <c r="L2812" t="n">
        <v>0.719</v>
      </c>
      <c r="M2812" t="n">
        <v>0.164</v>
      </c>
    </row>
    <row r="2813" spans="1:13">
      <c r="A2813" s="1">
        <f>HYPERLINK("http://www.twitter.com/NathanBLawrence/status/989209548622675968", "989209548622675968")</f>
        <v/>
      </c>
      <c r="B2813" s="2" t="n">
        <v>43215.7697800926</v>
      </c>
      <c r="C2813" t="n">
        <v>2</v>
      </c>
      <c r="D2813" t="n">
        <v>3</v>
      </c>
      <c r="E2813" t="s">
        <v>2820</v>
      </c>
      <c r="F2813" t="s"/>
      <c r="G2813" t="s"/>
      <c r="H2813" t="s"/>
      <c r="I2813" t="s"/>
      <c r="J2813" t="n">
        <v>-0.1531</v>
      </c>
      <c r="K2813" t="n">
        <v>0.151</v>
      </c>
      <c r="L2813" t="n">
        <v>0.849</v>
      </c>
      <c r="M2813" t="n">
        <v>0</v>
      </c>
    </row>
    <row r="2814" spans="1:13">
      <c r="A2814" s="1">
        <f>HYPERLINK("http://www.twitter.com/NathanBLawrence/status/989208584830443520", "989208584830443520")</f>
        <v/>
      </c>
      <c r="B2814" s="2" t="n">
        <v>43215.76711805556</v>
      </c>
      <c r="C2814" t="n">
        <v>6</v>
      </c>
      <c r="D2814" t="n">
        <v>3</v>
      </c>
      <c r="E2814" t="s">
        <v>2821</v>
      </c>
      <c r="F2814" t="s"/>
      <c r="G2814" t="s"/>
      <c r="H2814" t="s"/>
      <c r="I2814" t="s"/>
      <c r="J2814" t="n">
        <v>0.3612</v>
      </c>
      <c r="K2814" t="n">
        <v>0.098</v>
      </c>
      <c r="L2814" t="n">
        <v>0.699</v>
      </c>
      <c r="M2814" t="n">
        <v>0.203</v>
      </c>
    </row>
    <row r="2815" spans="1:13">
      <c r="A2815" s="1">
        <f>HYPERLINK("http://www.twitter.com/NathanBLawrence/status/989208360946814976", "989208360946814976")</f>
        <v/>
      </c>
      <c r="B2815" s="2" t="n">
        <v>43215.76650462963</v>
      </c>
      <c r="C2815" t="n">
        <v>1</v>
      </c>
      <c r="D2815" t="n">
        <v>0</v>
      </c>
      <c r="E2815" t="s">
        <v>2822</v>
      </c>
      <c r="F2815" t="s"/>
      <c r="G2815" t="s"/>
      <c r="H2815" t="s"/>
      <c r="I2815" t="s"/>
      <c r="J2815" t="n">
        <v>0.54</v>
      </c>
      <c r="K2815" t="n">
        <v>0</v>
      </c>
      <c r="L2815" t="n">
        <v>0.668</v>
      </c>
      <c r="M2815" t="n">
        <v>0.332</v>
      </c>
    </row>
    <row r="2816" spans="1:13">
      <c r="A2816" s="1">
        <f>HYPERLINK("http://www.twitter.com/NathanBLawrence/status/989208220987084800", "989208220987084800")</f>
        <v/>
      </c>
      <c r="B2816" s="2" t="n">
        <v>43215.76612268519</v>
      </c>
      <c r="C2816" t="n">
        <v>2</v>
      </c>
      <c r="D2816" t="n">
        <v>0</v>
      </c>
      <c r="E2816" t="s">
        <v>2823</v>
      </c>
      <c r="F2816" t="s"/>
      <c r="G2816" t="s"/>
      <c r="H2816" t="s"/>
      <c r="I2816" t="s"/>
      <c r="J2816" t="n">
        <v>0.25</v>
      </c>
      <c r="K2816" t="n">
        <v>0.062</v>
      </c>
      <c r="L2816" t="n">
        <v>0.829</v>
      </c>
      <c r="M2816" t="n">
        <v>0.108</v>
      </c>
    </row>
    <row r="2817" spans="1:13">
      <c r="A2817" s="1">
        <f>HYPERLINK("http://www.twitter.com/NathanBLawrence/status/989207898633875456", "989207898633875456")</f>
        <v/>
      </c>
      <c r="B2817" s="2" t="n">
        <v>43215.76523148148</v>
      </c>
      <c r="C2817" t="n">
        <v>4</v>
      </c>
      <c r="D2817" t="n">
        <v>3</v>
      </c>
      <c r="E2817" t="s">
        <v>2824</v>
      </c>
      <c r="F2817" t="s"/>
      <c r="G2817" t="s"/>
      <c r="H2817" t="s"/>
      <c r="I2817" t="s"/>
      <c r="J2817" t="n">
        <v>-0.128</v>
      </c>
      <c r="K2817" t="n">
        <v>0.197</v>
      </c>
      <c r="L2817" t="n">
        <v>0.578</v>
      </c>
      <c r="M2817" t="n">
        <v>0.225</v>
      </c>
    </row>
    <row r="2818" spans="1:13">
      <c r="A2818" s="1">
        <f>HYPERLINK("http://www.twitter.com/NathanBLawrence/status/989201703999160321", "989201703999160321")</f>
        <v/>
      </c>
      <c r="B2818" s="2" t="n">
        <v>43215.74813657408</v>
      </c>
      <c r="C2818" t="n">
        <v>2</v>
      </c>
      <c r="D2818" t="n">
        <v>0</v>
      </c>
      <c r="E2818" t="s">
        <v>2825</v>
      </c>
      <c r="F2818" t="s"/>
      <c r="G2818" t="s"/>
      <c r="H2818" t="s"/>
      <c r="I2818" t="s"/>
      <c r="J2818" t="n">
        <v>0</v>
      </c>
      <c r="K2818" t="n">
        <v>0</v>
      </c>
      <c r="L2818" t="n">
        <v>1</v>
      </c>
      <c r="M2818" t="n">
        <v>0</v>
      </c>
    </row>
    <row r="2819" spans="1:13">
      <c r="A2819" s="1">
        <f>HYPERLINK("http://www.twitter.com/NathanBLawrence/status/989201464022056961", "989201464022056961")</f>
        <v/>
      </c>
      <c r="B2819" s="2" t="n">
        <v>43215.74747685185</v>
      </c>
      <c r="C2819" t="n">
        <v>2</v>
      </c>
      <c r="D2819" t="n">
        <v>1</v>
      </c>
      <c r="E2819" t="s">
        <v>2826</v>
      </c>
      <c r="F2819" t="s"/>
      <c r="G2819" t="s"/>
      <c r="H2819" t="s"/>
      <c r="I2819" t="s"/>
      <c r="J2819" t="n">
        <v>-0.5106000000000001</v>
      </c>
      <c r="K2819" t="n">
        <v>0.248</v>
      </c>
      <c r="L2819" t="n">
        <v>0.752</v>
      </c>
      <c r="M2819" t="n">
        <v>0</v>
      </c>
    </row>
    <row r="2820" spans="1:13">
      <c r="A2820" s="1">
        <f>HYPERLINK("http://www.twitter.com/NathanBLawrence/status/989201218022006784", "989201218022006784")</f>
        <v/>
      </c>
      <c r="B2820" s="2" t="n">
        <v>43215.74679398148</v>
      </c>
      <c r="C2820" t="n">
        <v>2</v>
      </c>
      <c r="D2820" t="n">
        <v>5</v>
      </c>
      <c r="E2820" t="s">
        <v>2827</v>
      </c>
      <c r="F2820" t="s"/>
      <c r="G2820" t="s"/>
      <c r="H2820" t="s"/>
      <c r="I2820" t="s"/>
      <c r="J2820" t="n">
        <v>-0.6597</v>
      </c>
      <c r="K2820" t="n">
        <v>0.306</v>
      </c>
      <c r="L2820" t="n">
        <v>0.694</v>
      </c>
      <c r="M2820" t="n">
        <v>0</v>
      </c>
    </row>
    <row r="2821" spans="1:13">
      <c r="A2821" s="1">
        <f>HYPERLINK("http://www.twitter.com/NathanBLawrence/status/989201112233209856", "989201112233209856")</f>
        <v/>
      </c>
      <c r="B2821" s="2" t="n">
        <v>43215.74650462963</v>
      </c>
      <c r="C2821" t="n">
        <v>4</v>
      </c>
      <c r="D2821" t="n">
        <v>6</v>
      </c>
      <c r="E2821" t="s">
        <v>2828</v>
      </c>
      <c r="F2821" t="s"/>
      <c r="G2821" t="s"/>
      <c r="H2821" t="s"/>
      <c r="I2821" t="s"/>
      <c r="J2821" t="n">
        <v>-0.5255</v>
      </c>
      <c r="K2821" t="n">
        <v>0.215</v>
      </c>
      <c r="L2821" t="n">
        <v>0.785</v>
      </c>
      <c r="M2821" t="n">
        <v>0</v>
      </c>
    </row>
    <row r="2822" spans="1:13">
      <c r="A2822" s="1">
        <f>HYPERLINK("http://www.twitter.com/NathanBLawrence/status/989200727301017600", "989200727301017600")</f>
        <v/>
      </c>
      <c r="B2822" s="2" t="n">
        <v>43215.74543981482</v>
      </c>
      <c r="C2822" t="n">
        <v>5</v>
      </c>
      <c r="D2822" t="n">
        <v>4</v>
      </c>
      <c r="E2822" t="s">
        <v>2829</v>
      </c>
      <c r="F2822" t="s"/>
      <c r="G2822" t="s"/>
      <c r="H2822" t="s"/>
      <c r="I2822" t="s"/>
      <c r="J2822" t="n">
        <v>-0.4294</v>
      </c>
      <c r="K2822" t="n">
        <v>0.232</v>
      </c>
      <c r="L2822" t="n">
        <v>0.639</v>
      </c>
      <c r="M2822" t="n">
        <v>0.129</v>
      </c>
    </row>
    <row r="2823" spans="1:13">
      <c r="A2823" s="1">
        <f>HYPERLINK("http://www.twitter.com/NathanBLawrence/status/989200405471969280", "989200405471969280")</f>
        <v/>
      </c>
      <c r="B2823" s="2" t="n">
        <v>43215.74454861111</v>
      </c>
      <c r="C2823" t="n">
        <v>2</v>
      </c>
      <c r="D2823" t="n">
        <v>1</v>
      </c>
      <c r="E2823" t="s">
        <v>2830</v>
      </c>
      <c r="F2823" t="s"/>
      <c r="G2823" t="s"/>
      <c r="H2823" t="s"/>
      <c r="I2823" t="s"/>
      <c r="J2823" t="n">
        <v>0.296</v>
      </c>
      <c r="K2823" t="n">
        <v>0.189</v>
      </c>
      <c r="L2823" t="n">
        <v>0.611</v>
      </c>
      <c r="M2823" t="n">
        <v>0.2</v>
      </c>
    </row>
    <row r="2824" spans="1:13">
      <c r="A2824" s="1">
        <f>HYPERLINK("http://www.twitter.com/NathanBLawrence/status/989200170825859072", "989200170825859072")</f>
        <v/>
      </c>
      <c r="B2824" s="2" t="n">
        <v>43215.74390046296</v>
      </c>
      <c r="C2824" t="n">
        <v>2</v>
      </c>
      <c r="D2824" t="n">
        <v>5</v>
      </c>
      <c r="E2824" t="s">
        <v>2831</v>
      </c>
      <c r="F2824" t="s"/>
      <c r="G2824" t="s"/>
      <c r="H2824" t="s"/>
      <c r="I2824" t="s"/>
      <c r="J2824" t="n">
        <v>0.0258</v>
      </c>
      <c r="K2824" t="n">
        <v>0.127</v>
      </c>
      <c r="L2824" t="n">
        <v>0.741</v>
      </c>
      <c r="M2824" t="n">
        <v>0.132</v>
      </c>
    </row>
    <row r="2825" spans="1:13">
      <c r="A2825" s="1">
        <f>HYPERLINK("http://www.twitter.com/NathanBLawrence/status/989199912976891904", "989199912976891904")</f>
        <v/>
      </c>
      <c r="B2825" s="2" t="n">
        <v>43215.74319444445</v>
      </c>
      <c r="C2825" t="n">
        <v>11</v>
      </c>
      <c r="D2825" t="n">
        <v>11</v>
      </c>
      <c r="E2825" t="s">
        <v>2832</v>
      </c>
      <c r="F2825" t="s"/>
      <c r="G2825" t="s"/>
      <c r="H2825" t="s"/>
      <c r="I2825" t="s"/>
      <c r="J2825" t="n">
        <v>0</v>
      </c>
      <c r="K2825" t="n">
        <v>0</v>
      </c>
      <c r="L2825" t="n">
        <v>1</v>
      </c>
      <c r="M2825" t="n">
        <v>0</v>
      </c>
    </row>
    <row r="2826" spans="1:13">
      <c r="A2826" s="1">
        <f>HYPERLINK("http://www.twitter.com/NathanBLawrence/status/989199811122364416", "989199811122364416")</f>
        <v/>
      </c>
      <c r="B2826" s="2" t="n">
        <v>43215.74291666667</v>
      </c>
      <c r="C2826" t="n">
        <v>4</v>
      </c>
      <c r="D2826" t="n">
        <v>0</v>
      </c>
      <c r="E2826" t="s">
        <v>2833</v>
      </c>
      <c r="F2826" t="s"/>
      <c r="G2826" t="s"/>
      <c r="H2826" t="s"/>
      <c r="I2826" t="s"/>
      <c r="J2826" t="n">
        <v>0</v>
      </c>
      <c r="K2826" t="n">
        <v>0</v>
      </c>
      <c r="L2826" t="n">
        <v>1</v>
      </c>
      <c r="M2826" t="n">
        <v>0</v>
      </c>
    </row>
    <row r="2827" spans="1:13">
      <c r="A2827" s="1">
        <f>HYPERLINK("http://www.twitter.com/NathanBLawrence/status/989199463527759872", "989199463527759872")</f>
        <v/>
      </c>
      <c r="B2827" s="2" t="n">
        <v>43215.74195601852</v>
      </c>
      <c r="C2827" t="n">
        <v>12</v>
      </c>
      <c r="D2827" t="n">
        <v>10</v>
      </c>
      <c r="E2827" t="s">
        <v>2834</v>
      </c>
      <c r="F2827" t="s"/>
      <c r="G2827" t="s"/>
      <c r="H2827" t="s"/>
      <c r="I2827" t="s"/>
      <c r="J2827" t="n">
        <v>0.128</v>
      </c>
      <c r="K2827" t="n">
        <v>0</v>
      </c>
      <c r="L2827" t="n">
        <v>0.88</v>
      </c>
      <c r="M2827" t="n">
        <v>0.12</v>
      </c>
    </row>
    <row r="2828" spans="1:13">
      <c r="A2828" s="1">
        <f>HYPERLINK("http://www.twitter.com/NathanBLawrence/status/989199253498093569", "989199253498093569")</f>
        <v/>
      </c>
      <c r="B2828" s="2" t="n">
        <v>43215.74137731481</v>
      </c>
      <c r="C2828" t="n">
        <v>6</v>
      </c>
      <c r="D2828" t="n">
        <v>3</v>
      </c>
      <c r="E2828" t="s">
        <v>2835</v>
      </c>
      <c r="F2828" t="s"/>
      <c r="G2828" t="s"/>
      <c r="H2828" t="s"/>
      <c r="I2828" t="s"/>
      <c r="J2828" t="n">
        <v>-0.9097</v>
      </c>
      <c r="K2828" t="n">
        <v>0.391</v>
      </c>
      <c r="L2828" t="n">
        <v>0.609</v>
      </c>
      <c r="M2828" t="n">
        <v>0</v>
      </c>
    </row>
    <row r="2829" spans="1:13">
      <c r="A2829" s="1">
        <f>HYPERLINK("http://www.twitter.com/NathanBLawrence/status/989197789274951680", "989197789274951680")</f>
        <v/>
      </c>
      <c r="B2829" s="2" t="n">
        <v>43215.73733796296</v>
      </c>
      <c r="C2829" t="n">
        <v>4</v>
      </c>
      <c r="D2829" t="n">
        <v>1</v>
      </c>
      <c r="E2829" t="s">
        <v>2836</v>
      </c>
      <c r="F2829" t="s"/>
      <c r="G2829" t="s"/>
      <c r="H2829" t="s"/>
      <c r="I2829" t="s"/>
      <c r="J2829" t="n">
        <v>-0.2304</v>
      </c>
      <c r="K2829" t="n">
        <v>0.249</v>
      </c>
      <c r="L2829" t="n">
        <v>0.543</v>
      </c>
      <c r="M2829" t="n">
        <v>0.208</v>
      </c>
    </row>
    <row r="2830" spans="1:13">
      <c r="A2830" s="1">
        <f>HYPERLINK("http://www.twitter.com/NathanBLawrence/status/989197374433062912", "989197374433062912")</f>
        <v/>
      </c>
      <c r="B2830" s="2" t="n">
        <v>43215.73619212963</v>
      </c>
      <c r="C2830" t="n">
        <v>5</v>
      </c>
      <c r="D2830" t="n">
        <v>2</v>
      </c>
      <c r="E2830" t="s">
        <v>2837</v>
      </c>
      <c r="F2830" t="s"/>
      <c r="G2830" t="s"/>
      <c r="H2830" t="s"/>
      <c r="I2830" t="s"/>
      <c r="J2830" t="n">
        <v>0.5106000000000001</v>
      </c>
      <c r="K2830" t="n">
        <v>0</v>
      </c>
      <c r="L2830" t="n">
        <v>0.798</v>
      </c>
      <c r="M2830" t="n">
        <v>0.202</v>
      </c>
    </row>
    <row r="2831" spans="1:13">
      <c r="A2831" s="1">
        <f>HYPERLINK("http://www.twitter.com/NathanBLawrence/status/989197244510363648", "989197244510363648")</f>
        <v/>
      </c>
      <c r="B2831" s="2" t="n">
        <v>43215.73583333333</v>
      </c>
      <c r="C2831" t="n">
        <v>1</v>
      </c>
      <c r="D2831" t="n">
        <v>1</v>
      </c>
      <c r="E2831" t="s">
        <v>2838</v>
      </c>
      <c r="F2831" t="s"/>
      <c r="G2831" t="s"/>
      <c r="H2831" t="s"/>
      <c r="I2831" t="s"/>
      <c r="J2831" t="n">
        <v>-0.9294</v>
      </c>
      <c r="K2831" t="n">
        <v>0.357</v>
      </c>
      <c r="L2831" t="n">
        <v>0.643</v>
      </c>
      <c r="M2831" t="n">
        <v>0</v>
      </c>
    </row>
    <row r="2832" spans="1:13">
      <c r="A2832" s="1">
        <f>HYPERLINK("http://www.twitter.com/NathanBLawrence/status/989196802665603072", "989196802665603072")</f>
        <v/>
      </c>
      <c r="B2832" s="2" t="n">
        <v>43215.73460648148</v>
      </c>
      <c r="C2832" t="n">
        <v>10</v>
      </c>
      <c r="D2832" t="n">
        <v>1</v>
      </c>
      <c r="E2832" t="s">
        <v>2839</v>
      </c>
      <c r="F2832" t="s"/>
      <c r="G2832" t="s"/>
      <c r="H2832" t="s"/>
      <c r="I2832" t="s"/>
      <c r="J2832" t="n">
        <v>-0.8707</v>
      </c>
      <c r="K2832" t="n">
        <v>0.247</v>
      </c>
      <c r="L2832" t="n">
        <v>0.753</v>
      </c>
      <c r="M2832" t="n">
        <v>0</v>
      </c>
    </row>
    <row r="2833" spans="1:13">
      <c r="A2833" s="1">
        <f>HYPERLINK("http://www.twitter.com/NathanBLawrence/status/989196193640071169", "989196193640071169")</f>
        <v/>
      </c>
      <c r="B2833" s="2" t="n">
        <v>43215.73292824074</v>
      </c>
      <c r="C2833" t="n">
        <v>2</v>
      </c>
      <c r="D2833" t="n">
        <v>2</v>
      </c>
      <c r="E2833" t="s">
        <v>2840</v>
      </c>
      <c r="F2833" t="s"/>
      <c r="G2833" t="s"/>
      <c r="H2833" t="s"/>
      <c r="I2833" t="s"/>
      <c r="J2833" t="n">
        <v>-0.9349</v>
      </c>
      <c r="K2833" t="n">
        <v>0.486</v>
      </c>
      <c r="L2833" t="n">
        <v>0.514</v>
      </c>
      <c r="M2833" t="n">
        <v>0</v>
      </c>
    </row>
    <row r="2834" spans="1:13">
      <c r="A2834" s="1">
        <f>HYPERLINK("http://www.twitter.com/NathanBLawrence/status/989195533397848065", "989195533397848065")</f>
        <v/>
      </c>
      <c r="B2834" s="2" t="n">
        <v>43215.73111111111</v>
      </c>
      <c r="C2834" t="n">
        <v>11</v>
      </c>
      <c r="D2834" t="n">
        <v>6</v>
      </c>
      <c r="E2834" t="s">
        <v>2841</v>
      </c>
      <c r="F2834" t="s"/>
      <c r="G2834" t="s"/>
      <c r="H2834" t="s"/>
      <c r="I2834" t="s"/>
      <c r="J2834" t="n">
        <v>0</v>
      </c>
      <c r="K2834" t="n">
        <v>0</v>
      </c>
      <c r="L2834" t="n">
        <v>1</v>
      </c>
      <c r="M2834" t="n">
        <v>0</v>
      </c>
    </row>
    <row r="2835" spans="1:13">
      <c r="A2835" s="1">
        <f>HYPERLINK("http://www.twitter.com/NathanBLawrence/status/989193416431943680", "989193416431943680")</f>
        <v/>
      </c>
      <c r="B2835" s="2" t="n">
        <v>43215.72526620371</v>
      </c>
      <c r="C2835" t="n">
        <v>4</v>
      </c>
      <c r="D2835" t="n">
        <v>3</v>
      </c>
      <c r="E2835" t="s">
        <v>2842</v>
      </c>
      <c r="F2835" t="s"/>
      <c r="G2835" t="s"/>
      <c r="H2835" t="s"/>
      <c r="I2835" t="s"/>
      <c r="J2835" t="n">
        <v>0</v>
      </c>
      <c r="K2835" t="n">
        <v>0</v>
      </c>
      <c r="L2835" t="n">
        <v>1</v>
      </c>
      <c r="M2835" t="n">
        <v>0</v>
      </c>
    </row>
    <row r="2836" spans="1:13">
      <c r="A2836" s="1">
        <f>HYPERLINK("http://www.twitter.com/NathanBLawrence/status/989161833704521728", "989161833704521728")</f>
        <v/>
      </c>
      <c r="B2836" s="2" t="n">
        <v>43215.63811342593</v>
      </c>
      <c r="C2836" t="n">
        <v>31</v>
      </c>
      <c r="D2836" t="n">
        <v>26</v>
      </c>
      <c r="E2836" t="s">
        <v>2843</v>
      </c>
      <c r="F2836" t="s"/>
      <c r="G2836" t="s"/>
      <c r="H2836" t="s"/>
      <c r="I2836" t="s"/>
      <c r="J2836" t="n">
        <v>-0.8858</v>
      </c>
      <c r="K2836" t="n">
        <v>0.258</v>
      </c>
      <c r="L2836" t="n">
        <v>0.704</v>
      </c>
      <c r="M2836" t="n">
        <v>0.038</v>
      </c>
    </row>
    <row r="2837" spans="1:13">
      <c r="A2837" s="1">
        <f>HYPERLINK("http://www.twitter.com/NathanBLawrence/status/989003694061469697", "989003694061469697")</f>
        <v/>
      </c>
      <c r="B2837" s="2" t="n">
        <v>43215.20173611111</v>
      </c>
      <c r="C2837" t="n">
        <v>1</v>
      </c>
      <c r="D2837" t="n">
        <v>1</v>
      </c>
      <c r="E2837" t="s">
        <v>2844</v>
      </c>
      <c r="F2837" t="s"/>
      <c r="G2837" t="s"/>
      <c r="H2837" t="s"/>
      <c r="I2837" t="s"/>
      <c r="J2837" t="n">
        <v>0.8074</v>
      </c>
      <c r="K2837" t="n">
        <v>0</v>
      </c>
      <c r="L2837" t="n">
        <v>0.552</v>
      </c>
      <c r="M2837" t="n">
        <v>0.448</v>
      </c>
    </row>
    <row r="2838" spans="1:13">
      <c r="A2838" s="1">
        <f>HYPERLINK("http://www.twitter.com/NathanBLawrence/status/989002504535851008", "989002504535851008")</f>
        <v/>
      </c>
      <c r="B2838" s="2" t="n">
        <v>43215.19844907407</v>
      </c>
      <c r="C2838" t="n">
        <v>6</v>
      </c>
      <c r="D2838" t="n">
        <v>6</v>
      </c>
      <c r="E2838" t="s">
        <v>2845</v>
      </c>
      <c r="F2838" t="s"/>
      <c r="G2838" t="s"/>
      <c r="H2838" t="s"/>
      <c r="I2838" t="s"/>
      <c r="J2838" t="n">
        <v>0.3182</v>
      </c>
      <c r="K2838" t="n">
        <v>0.161</v>
      </c>
      <c r="L2838" t="n">
        <v>0.584</v>
      </c>
      <c r="M2838" t="n">
        <v>0.255</v>
      </c>
    </row>
    <row r="2839" spans="1:13">
      <c r="A2839" s="1">
        <f>HYPERLINK("http://www.twitter.com/NathanBLawrence/status/989001138190995456", "989001138190995456")</f>
        <v/>
      </c>
      <c r="B2839" s="2" t="n">
        <v>43215.19467592592</v>
      </c>
      <c r="C2839" t="n">
        <v>27</v>
      </c>
      <c r="D2839" t="n">
        <v>11</v>
      </c>
      <c r="E2839" t="s">
        <v>2846</v>
      </c>
      <c r="F2839" t="s"/>
      <c r="G2839" t="s"/>
      <c r="H2839" t="s"/>
      <c r="I2839" t="s"/>
      <c r="J2839" t="n">
        <v>0.8418</v>
      </c>
      <c r="K2839" t="n">
        <v>0</v>
      </c>
      <c r="L2839" t="n">
        <v>0.666</v>
      </c>
      <c r="M2839" t="n">
        <v>0.334</v>
      </c>
    </row>
    <row r="2840" spans="1:13">
      <c r="A2840" s="1">
        <f>HYPERLINK("http://www.twitter.com/NathanBLawrence/status/989000728499834880", "989000728499834880")</f>
        <v/>
      </c>
      <c r="B2840" s="2" t="n">
        <v>43215.19355324074</v>
      </c>
      <c r="C2840" t="n">
        <v>0</v>
      </c>
      <c r="D2840" t="n">
        <v>1</v>
      </c>
      <c r="E2840" t="s">
        <v>2847</v>
      </c>
      <c r="F2840" t="s"/>
      <c r="G2840" t="s"/>
      <c r="H2840" t="s"/>
      <c r="I2840" t="s"/>
      <c r="J2840" t="n">
        <v>0</v>
      </c>
      <c r="K2840" t="n">
        <v>0</v>
      </c>
      <c r="L2840" t="n">
        <v>1</v>
      </c>
      <c r="M2840" t="n">
        <v>0</v>
      </c>
    </row>
    <row r="2841" spans="1:13">
      <c r="A2841" s="1">
        <f>HYPERLINK("http://www.twitter.com/NathanBLawrence/status/989000522764988417", "989000522764988417")</f>
        <v/>
      </c>
      <c r="B2841" s="2" t="n">
        <v>43215.19298611111</v>
      </c>
      <c r="C2841" t="n">
        <v>8</v>
      </c>
      <c r="D2841" t="n">
        <v>4</v>
      </c>
      <c r="E2841" t="s">
        <v>2848</v>
      </c>
      <c r="F2841" t="s"/>
      <c r="G2841" t="s"/>
      <c r="H2841" t="s"/>
      <c r="I2841" t="s"/>
      <c r="J2841" t="n">
        <v>-0.5983000000000001</v>
      </c>
      <c r="K2841" t="n">
        <v>0.218</v>
      </c>
      <c r="L2841" t="n">
        <v>0.698</v>
      </c>
      <c r="M2841" t="n">
        <v>0.08400000000000001</v>
      </c>
    </row>
    <row r="2842" spans="1:13">
      <c r="A2842" s="1">
        <f>HYPERLINK("http://www.twitter.com/NathanBLawrence/status/989000285673603082", "989000285673603082")</f>
        <v/>
      </c>
      <c r="B2842" s="2" t="n">
        <v>43215.19232638889</v>
      </c>
      <c r="C2842" t="n">
        <v>0</v>
      </c>
      <c r="D2842" t="n">
        <v>240</v>
      </c>
      <c r="E2842" t="s">
        <v>2849</v>
      </c>
      <c r="F2842" t="s"/>
      <c r="G2842" t="s"/>
      <c r="H2842" t="s"/>
      <c r="I2842" t="s"/>
      <c r="J2842" t="n">
        <v>0.5423</v>
      </c>
      <c r="K2842" t="n">
        <v>0</v>
      </c>
      <c r="L2842" t="n">
        <v>0.788</v>
      </c>
      <c r="M2842" t="n">
        <v>0.212</v>
      </c>
    </row>
    <row r="2843" spans="1:13">
      <c r="A2843" s="1">
        <f>HYPERLINK("http://www.twitter.com/NathanBLawrence/status/989000008010612736", "989000008010612736")</f>
        <v/>
      </c>
      <c r="B2843" s="2" t="n">
        <v>43215.1915625</v>
      </c>
      <c r="C2843" t="n">
        <v>16</v>
      </c>
      <c r="D2843" t="n">
        <v>8</v>
      </c>
      <c r="E2843" t="s">
        <v>2850</v>
      </c>
      <c r="F2843" t="s"/>
      <c r="G2843" t="s"/>
      <c r="H2843" t="s"/>
      <c r="I2843" t="s"/>
      <c r="J2843" t="n">
        <v>0.1779</v>
      </c>
      <c r="K2843" t="n">
        <v>0</v>
      </c>
      <c r="L2843" t="n">
        <v>0.892</v>
      </c>
      <c r="M2843" t="n">
        <v>0.108</v>
      </c>
    </row>
    <row r="2844" spans="1:13">
      <c r="A2844" s="1">
        <f>HYPERLINK("http://www.twitter.com/NathanBLawrence/status/988999801969639425", "988999801969639425")</f>
        <v/>
      </c>
      <c r="B2844" s="2" t="n">
        <v>43215.19099537037</v>
      </c>
      <c r="C2844" t="n">
        <v>5</v>
      </c>
      <c r="D2844" t="n">
        <v>2</v>
      </c>
      <c r="E2844" t="s">
        <v>2851</v>
      </c>
      <c r="F2844" t="s"/>
      <c r="G2844" t="s"/>
      <c r="H2844" t="s"/>
      <c r="I2844" t="s"/>
      <c r="J2844" t="n">
        <v>0.4019</v>
      </c>
      <c r="K2844" t="n">
        <v>0</v>
      </c>
      <c r="L2844" t="n">
        <v>0.847</v>
      </c>
      <c r="M2844" t="n">
        <v>0.153</v>
      </c>
    </row>
    <row r="2845" spans="1:13">
      <c r="A2845" s="1">
        <f>HYPERLINK("http://www.twitter.com/NathanBLawrence/status/988999363098652672", "988999363098652672")</f>
        <v/>
      </c>
      <c r="B2845" s="2" t="n">
        <v>43215.18978009259</v>
      </c>
      <c r="C2845" t="n">
        <v>4</v>
      </c>
      <c r="D2845" t="n">
        <v>2</v>
      </c>
      <c r="E2845" t="s">
        <v>2852</v>
      </c>
      <c r="F2845" t="s"/>
      <c r="G2845" t="s"/>
      <c r="H2845" t="s"/>
      <c r="I2845" t="s"/>
      <c r="J2845" t="n">
        <v>0.368</v>
      </c>
      <c r="K2845" t="n">
        <v>0.139</v>
      </c>
      <c r="L2845" t="n">
        <v>0.65</v>
      </c>
      <c r="M2845" t="n">
        <v>0.211</v>
      </c>
    </row>
    <row r="2846" spans="1:13">
      <c r="A2846" s="1">
        <f>HYPERLINK("http://www.twitter.com/NathanBLawrence/status/988985822517936129", "988985822517936129")</f>
        <v/>
      </c>
      <c r="B2846" s="2" t="n">
        <v>43215.15241898148</v>
      </c>
      <c r="C2846" t="n">
        <v>17</v>
      </c>
      <c r="D2846" t="n">
        <v>6</v>
      </c>
      <c r="E2846" t="s">
        <v>2853</v>
      </c>
      <c r="F2846" t="s"/>
      <c r="G2846" t="s"/>
      <c r="H2846" t="s"/>
      <c r="I2846" t="s"/>
      <c r="J2846" t="n">
        <v>0.5994</v>
      </c>
      <c r="K2846" t="n">
        <v>0</v>
      </c>
      <c r="L2846" t="n">
        <v>0.841</v>
      </c>
      <c r="M2846" t="n">
        <v>0.159</v>
      </c>
    </row>
    <row r="2847" spans="1:13">
      <c r="A2847" s="1">
        <f>HYPERLINK("http://www.twitter.com/NathanBLawrence/status/988965425911283712", "988965425911283712")</f>
        <v/>
      </c>
      <c r="B2847" s="2" t="n">
        <v>43215.09613425926</v>
      </c>
      <c r="C2847" t="n">
        <v>8</v>
      </c>
      <c r="D2847" t="n">
        <v>4</v>
      </c>
      <c r="E2847" t="s">
        <v>2854</v>
      </c>
      <c r="F2847" t="s"/>
      <c r="G2847" t="s"/>
      <c r="H2847" t="s"/>
      <c r="I2847" t="s"/>
      <c r="J2847" t="n">
        <v>0.9557</v>
      </c>
      <c r="K2847" t="n">
        <v>0</v>
      </c>
      <c r="L2847" t="n">
        <v>0.425</v>
      </c>
      <c r="M2847" t="n">
        <v>0.575</v>
      </c>
    </row>
    <row r="2848" spans="1:13">
      <c r="A2848" s="1">
        <f>HYPERLINK("http://www.twitter.com/NathanBLawrence/status/988965101251182592", "988965101251182592")</f>
        <v/>
      </c>
      <c r="B2848" s="2" t="n">
        <v>43215.09523148148</v>
      </c>
      <c r="C2848" t="n">
        <v>7</v>
      </c>
      <c r="D2848" t="n">
        <v>5</v>
      </c>
      <c r="E2848" t="s">
        <v>2855</v>
      </c>
      <c r="F2848" t="s"/>
      <c r="G2848" t="s"/>
      <c r="H2848" t="s"/>
      <c r="I2848" t="s"/>
      <c r="J2848" t="n">
        <v>0</v>
      </c>
      <c r="K2848" t="n">
        <v>0</v>
      </c>
      <c r="L2848" t="n">
        <v>1</v>
      </c>
      <c r="M2848" t="n">
        <v>0</v>
      </c>
    </row>
    <row r="2849" spans="1:13">
      <c r="A2849" s="1">
        <f>HYPERLINK("http://www.twitter.com/NathanBLawrence/status/988964221995040768", "988964221995040768")</f>
        <v/>
      </c>
      <c r="B2849" s="2" t="n">
        <v>43215.0928125</v>
      </c>
      <c r="C2849" t="n">
        <v>8</v>
      </c>
      <c r="D2849" t="n">
        <v>2</v>
      </c>
      <c r="E2849" t="s">
        <v>2856</v>
      </c>
      <c r="F2849" t="s"/>
      <c r="G2849" t="s"/>
      <c r="H2849" t="s"/>
      <c r="I2849" t="s"/>
      <c r="J2849" t="n">
        <v>0.3853</v>
      </c>
      <c r="K2849" t="n">
        <v>0.076</v>
      </c>
      <c r="L2849" t="n">
        <v>0.758</v>
      </c>
      <c r="M2849" t="n">
        <v>0.166</v>
      </c>
    </row>
    <row r="2850" spans="1:13">
      <c r="A2850" s="1">
        <f>HYPERLINK("http://www.twitter.com/NathanBLawrence/status/988963659836604416", "988963659836604416")</f>
        <v/>
      </c>
      <c r="B2850" s="2" t="n">
        <v>43215.09126157407</v>
      </c>
      <c r="C2850" t="n">
        <v>2</v>
      </c>
      <c r="D2850" t="n">
        <v>0</v>
      </c>
      <c r="E2850" t="s">
        <v>2857</v>
      </c>
      <c r="F2850" t="s"/>
      <c r="G2850" t="s"/>
      <c r="H2850" t="s"/>
      <c r="I2850" t="s"/>
      <c r="J2850" t="n">
        <v>0</v>
      </c>
      <c r="K2850" t="n">
        <v>0</v>
      </c>
      <c r="L2850" t="n">
        <v>1</v>
      </c>
      <c r="M2850" t="n">
        <v>0</v>
      </c>
    </row>
    <row r="2851" spans="1:13">
      <c r="A2851" s="1">
        <f>HYPERLINK("http://www.twitter.com/NathanBLawrence/status/988963294349176833", "988963294349176833")</f>
        <v/>
      </c>
      <c r="B2851" s="2" t="n">
        <v>43215.09025462963</v>
      </c>
      <c r="C2851" t="n">
        <v>14</v>
      </c>
      <c r="D2851" t="n">
        <v>2</v>
      </c>
      <c r="E2851" t="s">
        <v>2858</v>
      </c>
      <c r="F2851" t="s"/>
      <c r="G2851" t="s"/>
      <c r="H2851" t="s"/>
      <c r="I2851" t="s"/>
      <c r="J2851" t="n">
        <v>0.4588</v>
      </c>
      <c r="K2851" t="n">
        <v>0</v>
      </c>
      <c r="L2851" t="n">
        <v>0.892</v>
      </c>
      <c r="M2851" t="n">
        <v>0.108</v>
      </c>
    </row>
    <row r="2852" spans="1:13">
      <c r="A2852" s="1">
        <f>HYPERLINK("http://www.twitter.com/NathanBLawrence/status/988962953192816641", "988962953192816641")</f>
        <v/>
      </c>
      <c r="B2852" s="2" t="n">
        <v>43215.08930555556</v>
      </c>
      <c r="C2852" t="n">
        <v>15</v>
      </c>
      <c r="D2852" t="n">
        <v>7</v>
      </c>
      <c r="E2852" t="s">
        <v>2859</v>
      </c>
      <c r="F2852" t="s"/>
      <c r="G2852" t="s"/>
      <c r="H2852" t="s"/>
      <c r="I2852" t="s"/>
      <c r="J2852" t="n">
        <v>-0.4479</v>
      </c>
      <c r="K2852" t="n">
        <v>0.102</v>
      </c>
      <c r="L2852" t="n">
        <v>0.821</v>
      </c>
      <c r="M2852" t="n">
        <v>0.077</v>
      </c>
    </row>
    <row r="2853" spans="1:13">
      <c r="A2853" s="1">
        <f>HYPERLINK("http://www.twitter.com/NathanBLawrence/status/988959398239260673", "988959398239260673")</f>
        <v/>
      </c>
      <c r="B2853" s="2" t="n">
        <v>43215.07950231482</v>
      </c>
      <c r="C2853" t="n">
        <v>65</v>
      </c>
      <c r="D2853" t="n">
        <v>18</v>
      </c>
      <c r="E2853" t="s">
        <v>2860</v>
      </c>
      <c r="F2853" t="s"/>
      <c r="G2853" t="s"/>
      <c r="H2853" t="s"/>
      <c r="I2853" t="s"/>
      <c r="J2853" t="n">
        <v>0.7714</v>
      </c>
      <c r="K2853" t="n">
        <v>0.07199999999999999</v>
      </c>
      <c r="L2853" t="n">
        <v>0.6919999999999999</v>
      </c>
      <c r="M2853" t="n">
        <v>0.236</v>
      </c>
    </row>
    <row r="2854" spans="1:13">
      <c r="A2854" s="1">
        <f>HYPERLINK("http://www.twitter.com/NathanBLawrence/status/988956189336584192", "988956189336584192")</f>
        <v/>
      </c>
      <c r="B2854" s="2" t="n">
        <v>43215.07064814815</v>
      </c>
      <c r="C2854" t="n">
        <v>12</v>
      </c>
      <c r="D2854" t="n">
        <v>5</v>
      </c>
      <c r="E2854" t="s">
        <v>2861</v>
      </c>
      <c r="F2854" t="s"/>
      <c r="G2854" t="s"/>
      <c r="H2854" t="s"/>
      <c r="I2854" t="s"/>
      <c r="J2854" t="n">
        <v>-0.128</v>
      </c>
      <c r="K2854" t="n">
        <v>0.158</v>
      </c>
      <c r="L2854" t="n">
        <v>0.842</v>
      </c>
      <c r="M2854" t="n">
        <v>0</v>
      </c>
    </row>
    <row r="2855" spans="1:13">
      <c r="A2855" s="1">
        <f>HYPERLINK("http://www.twitter.com/NathanBLawrence/status/988952560638705665", "988952560638705665")</f>
        <v/>
      </c>
      <c r="B2855" s="2" t="n">
        <v>43215.060625</v>
      </c>
      <c r="C2855" t="n">
        <v>0</v>
      </c>
      <c r="D2855" t="n">
        <v>1115</v>
      </c>
      <c r="E2855" t="s">
        <v>2862</v>
      </c>
      <c r="F2855" t="s"/>
      <c r="G2855" t="s"/>
      <c r="H2855" t="s"/>
      <c r="I2855" t="s"/>
      <c r="J2855" t="n">
        <v>0.3182</v>
      </c>
      <c r="K2855" t="n">
        <v>0.08799999999999999</v>
      </c>
      <c r="L2855" t="n">
        <v>0.746</v>
      </c>
      <c r="M2855" t="n">
        <v>0.166</v>
      </c>
    </row>
    <row r="2856" spans="1:13">
      <c r="A2856" s="1">
        <f>HYPERLINK("http://www.twitter.com/NathanBLawrence/status/988952452840894464", "988952452840894464")</f>
        <v/>
      </c>
      <c r="B2856" s="2" t="n">
        <v>43215.06033564815</v>
      </c>
      <c r="C2856" t="n">
        <v>0</v>
      </c>
      <c r="D2856" t="n">
        <v>267</v>
      </c>
      <c r="E2856" t="s">
        <v>2863</v>
      </c>
      <c r="F2856" t="s"/>
      <c r="G2856" t="s"/>
      <c r="H2856" t="s"/>
      <c r="I2856" t="s"/>
      <c r="J2856" t="n">
        <v>-0.6808</v>
      </c>
      <c r="K2856" t="n">
        <v>0.167</v>
      </c>
      <c r="L2856" t="n">
        <v>0.833</v>
      </c>
      <c r="M2856" t="n">
        <v>0</v>
      </c>
    </row>
    <row r="2857" spans="1:13">
      <c r="A2857" s="1">
        <f>HYPERLINK("http://www.twitter.com/NathanBLawrence/status/988952264080482304", "988952264080482304")</f>
        <v/>
      </c>
      <c r="B2857" s="2" t="n">
        <v>43215.05981481481</v>
      </c>
      <c r="C2857" t="n">
        <v>0</v>
      </c>
      <c r="D2857" t="n">
        <v>1438</v>
      </c>
      <c r="E2857" t="s">
        <v>2864</v>
      </c>
      <c r="F2857" t="s"/>
      <c r="G2857" t="s"/>
      <c r="H2857" t="s"/>
      <c r="I2857" t="s"/>
      <c r="J2857" t="n">
        <v>0.8126</v>
      </c>
      <c r="K2857" t="n">
        <v>0</v>
      </c>
      <c r="L2857" t="n">
        <v>0.549</v>
      </c>
      <c r="M2857" t="n">
        <v>0.451</v>
      </c>
    </row>
    <row r="2858" spans="1:13">
      <c r="A2858" s="1">
        <f>HYPERLINK("http://www.twitter.com/NathanBLawrence/status/988952135113981953", "988952135113981953")</f>
        <v/>
      </c>
      <c r="B2858" s="2" t="n">
        <v>43215.05945601852</v>
      </c>
      <c r="C2858" t="n">
        <v>0</v>
      </c>
      <c r="D2858" t="n">
        <v>6613</v>
      </c>
      <c r="E2858" t="s">
        <v>2865</v>
      </c>
      <c r="F2858" t="s"/>
      <c r="G2858" t="s"/>
      <c r="H2858" t="s"/>
      <c r="I2858" t="s"/>
      <c r="J2858" t="n">
        <v>0</v>
      </c>
      <c r="K2858" t="n">
        <v>0</v>
      </c>
      <c r="L2858" t="n">
        <v>1</v>
      </c>
      <c r="M2858" t="n">
        <v>0</v>
      </c>
    </row>
    <row r="2859" spans="1:13">
      <c r="A2859" s="1">
        <f>HYPERLINK("http://www.twitter.com/NathanBLawrence/status/988951954003972097", "988951954003972097")</f>
        <v/>
      </c>
      <c r="B2859" s="2" t="n">
        <v>43215.05895833333</v>
      </c>
      <c r="C2859" t="n">
        <v>0</v>
      </c>
      <c r="D2859" t="n">
        <v>3043</v>
      </c>
      <c r="E2859" t="s">
        <v>2866</v>
      </c>
      <c r="F2859" t="s"/>
      <c r="G2859" t="s"/>
      <c r="H2859" t="s"/>
      <c r="I2859" t="s"/>
      <c r="J2859" t="n">
        <v>0</v>
      </c>
      <c r="K2859" t="n">
        <v>0</v>
      </c>
      <c r="L2859" t="n">
        <v>1</v>
      </c>
      <c r="M2859" t="n">
        <v>0</v>
      </c>
    </row>
    <row r="2860" spans="1:13">
      <c r="A2860" s="1">
        <f>HYPERLINK("http://www.twitter.com/NathanBLawrence/status/988951671467163649", "988951671467163649")</f>
        <v/>
      </c>
      <c r="B2860" s="2" t="n">
        <v>43215.0581712963</v>
      </c>
      <c r="C2860" t="n">
        <v>3</v>
      </c>
      <c r="D2860" t="n">
        <v>0</v>
      </c>
      <c r="E2860" t="s">
        <v>2867</v>
      </c>
      <c r="F2860" t="s"/>
      <c r="G2860" t="s"/>
      <c r="H2860" t="s"/>
      <c r="I2860" t="s"/>
      <c r="J2860" t="n">
        <v>0</v>
      </c>
      <c r="K2860" t="n">
        <v>0</v>
      </c>
      <c r="L2860" t="n">
        <v>1</v>
      </c>
      <c r="M2860" t="n">
        <v>0</v>
      </c>
    </row>
    <row r="2861" spans="1:13">
      <c r="A2861" s="1">
        <f>HYPERLINK("http://www.twitter.com/NathanBLawrence/status/988951028404961280", "988951028404961280")</f>
        <v/>
      </c>
      <c r="B2861" s="2" t="n">
        <v>43215.05640046296</v>
      </c>
      <c r="C2861" t="n">
        <v>5</v>
      </c>
      <c r="D2861" t="n">
        <v>3</v>
      </c>
      <c r="E2861" t="s">
        <v>2868</v>
      </c>
      <c r="F2861" t="s"/>
      <c r="G2861" t="s"/>
      <c r="H2861" t="s"/>
      <c r="I2861" t="s"/>
      <c r="J2861" t="n">
        <v>-0.2677</v>
      </c>
      <c r="K2861" t="n">
        <v>0.134</v>
      </c>
      <c r="L2861" t="n">
        <v>0.792</v>
      </c>
      <c r="M2861" t="n">
        <v>0.073</v>
      </c>
    </row>
    <row r="2862" spans="1:13">
      <c r="A2862" s="1">
        <f>HYPERLINK("http://www.twitter.com/NathanBLawrence/status/988949250749947909", "988949250749947909")</f>
        <v/>
      </c>
      <c r="B2862" s="2" t="n">
        <v>43215.05149305556</v>
      </c>
      <c r="C2862" t="n">
        <v>0</v>
      </c>
      <c r="D2862" t="n">
        <v>890</v>
      </c>
      <c r="E2862" t="s">
        <v>2869</v>
      </c>
      <c r="F2862">
        <f>HYPERLINK("https://video.twimg.com/ext_tw_video/988894945766391808/pu/vid/720x720/XrBEIapQJo5Fi13a.mp4?tag=3", "https://video.twimg.com/ext_tw_video/988894945766391808/pu/vid/720x720/XrBEIapQJo5Fi13a.mp4?tag=3")</f>
        <v/>
      </c>
      <c r="G2862" t="s"/>
      <c r="H2862" t="s"/>
      <c r="I2862" t="s"/>
      <c r="J2862" t="n">
        <v>0.0772</v>
      </c>
      <c r="K2862" t="n">
        <v>0.224</v>
      </c>
      <c r="L2862" t="n">
        <v>0.543</v>
      </c>
      <c r="M2862" t="n">
        <v>0.233</v>
      </c>
    </row>
    <row r="2863" spans="1:13">
      <c r="A2863" s="1">
        <f>HYPERLINK("http://www.twitter.com/NathanBLawrence/status/988949194164486144", "988949194164486144")</f>
        <v/>
      </c>
      <c r="B2863" s="2" t="n">
        <v>43215.05134259259</v>
      </c>
      <c r="C2863" t="n">
        <v>0</v>
      </c>
      <c r="D2863" t="n">
        <v>2423</v>
      </c>
      <c r="E2863" t="s">
        <v>2870</v>
      </c>
      <c r="F2863">
        <f>HYPERLINK("https://video.twimg.com/ext_tw_video/988864937844850688/pu/vid/720x1280/LMTWRyRM5vbIsZp2.mp4?tag=3", "https://video.twimg.com/ext_tw_video/988864937844850688/pu/vid/720x1280/LMTWRyRM5vbIsZp2.mp4?tag=3")</f>
        <v/>
      </c>
      <c r="G2863" t="s"/>
      <c r="H2863" t="s"/>
      <c r="I2863" t="s"/>
      <c r="J2863" t="n">
        <v>0</v>
      </c>
      <c r="K2863" t="n">
        <v>0</v>
      </c>
      <c r="L2863" t="n">
        <v>1</v>
      </c>
      <c r="M2863" t="n">
        <v>0</v>
      </c>
    </row>
    <row r="2864" spans="1:13">
      <c r="A2864" s="1">
        <f>HYPERLINK("http://www.twitter.com/NathanBLawrence/status/988948470970044416", "988948470970044416")</f>
        <v/>
      </c>
      <c r="B2864" s="2" t="n">
        <v>43215.04934027778</v>
      </c>
      <c r="C2864" t="n">
        <v>2</v>
      </c>
      <c r="D2864" t="n">
        <v>0</v>
      </c>
      <c r="E2864" t="s">
        <v>2871</v>
      </c>
      <c r="F2864">
        <f>HYPERLINK("http://pbs.twimg.com/media/DblzYQ3U0AE_qGN.jpg", "http://pbs.twimg.com/media/DblzYQ3U0AE_qGN.jpg")</f>
        <v/>
      </c>
      <c r="G2864" t="s"/>
      <c r="H2864" t="s"/>
      <c r="I2864" t="s"/>
      <c r="J2864" t="n">
        <v>0</v>
      </c>
      <c r="K2864" t="n">
        <v>0</v>
      </c>
      <c r="L2864" t="n">
        <v>1</v>
      </c>
      <c r="M2864" t="n">
        <v>0</v>
      </c>
    </row>
    <row r="2865" spans="1:13">
      <c r="A2865" s="1">
        <f>HYPERLINK("http://www.twitter.com/NathanBLawrence/status/988947444321763328", "988947444321763328")</f>
        <v/>
      </c>
      <c r="B2865" s="2" t="n">
        <v>43215.04651620371</v>
      </c>
      <c r="C2865" t="n">
        <v>11</v>
      </c>
      <c r="D2865" t="n">
        <v>6</v>
      </c>
      <c r="E2865" t="s">
        <v>2872</v>
      </c>
      <c r="F2865" t="s"/>
      <c r="G2865" t="s"/>
      <c r="H2865" t="s"/>
      <c r="I2865" t="s"/>
      <c r="J2865" t="n">
        <v>0.4228</v>
      </c>
      <c r="K2865" t="n">
        <v>0.114</v>
      </c>
      <c r="L2865" t="n">
        <v>0.704</v>
      </c>
      <c r="M2865" t="n">
        <v>0.182</v>
      </c>
    </row>
    <row r="2866" spans="1:13">
      <c r="A2866" s="1">
        <f>HYPERLINK("http://www.twitter.com/NathanBLawrence/status/988946868309639168", "988946868309639168")</f>
        <v/>
      </c>
      <c r="B2866" s="2" t="n">
        <v>43215.04491898148</v>
      </c>
      <c r="C2866" t="n">
        <v>31</v>
      </c>
      <c r="D2866" t="n">
        <v>13</v>
      </c>
      <c r="E2866" t="s">
        <v>2873</v>
      </c>
      <c r="F2866" t="s"/>
      <c r="G2866" t="s"/>
      <c r="H2866" t="s"/>
      <c r="I2866" t="s"/>
      <c r="J2866" t="n">
        <v>0.4404</v>
      </c>
      <c r="K2866" t="n">
        <v>0</v>
      </c>
      <c r="L2866" t="n">
        <v>0.854</v>
      </c>
      <c r="M2866" t="n">
        <v>0.146</v>
      </c>
    </row>
    <row r="2867" spans="1:13">
      <c r="A2867" s="1">
        <f>HYPERLINK("http://www.twitter.com/NathanBLawrence/status/988859353204584448", "988859353204584448")</f>
        <v/>
      </c>
      <c r="B2867" s="2" t="n">
        <v>43214.80342592593</v>
      </c>
      <c r="C2867" t="n">
        <v>7</v>
      </c>
      <c r="D2867" t="n">
        <v>2</v>
      </c>
      <c r="E2867" t="s">
        <v>2874</v>
      </c>
      <c r="F2867" t="s"/>
      <c r="G2867" t="s"/>
      <c r="H2867" t="s"/>
      <c r="I2867" t="s"/>
      <c r="J2867" t="n">
        <v>-0.8091</v>
      </c>
      <c r="K2867" t="n">
        <v>0.309</v>
      </c>
      <c r="L2867" t="n">
        <v>0.609</v>
      </c>
      <c r="M2867" t="n">
        <v>0.082</v>
      </c>
    </row>
    <row r="2868" spans="1:13">
      <c r="A2868" s="1">
        <f>HYPERLINK("http://www.twitter.com/NathanBLawrence/status/988858705050456064", "988858705050456064")</f>
        <v/>
      </c>
      <c r="B2868" s="2" t="n">
        <v>43214.80164351852</v>
      </c>
      <c r="C2868" t="n">
        <v>5</v>
      </c>
      <c r="D2868" t="n">
        <v>3</v>
      </c>
      <c r="E2868" t="s">
        <v>2875</v>
      </c>
      <c r="F2868" t="s"/>
      <c r="G2868" t="s"/>
      <c r="H2868" t="s"/>
      <c r="I2868" t="s"/>
      <c r="J2868" t="n">
        <v>-0.6868</v>
      </c>
      <c r="K2868" t="n">
        <v>0.192</v>
      </c>
      <c r="L2868" t="n">
        <v>0.8080000000000001</v>
      </c>
      <c r="M2868" t="n">
        <v>0</v>
      </c>
    </row>
    <row r="2869" spans="1:13">
      <c r="A2869" s="1">
        <f>HYPERLINK("http://www.twitter.com/NathanBLawrence/status/988858447931162625", "988858447931162625")</f>
        <v/>
      </c>
      <c r="B2869" s="2" t="n">
        <v>43214.80092592593</v>
      </c>
      <c r="C2869" t="n">
        <v>4</v>
      </c>
      <c r="D2869" t="n">
        <v>1</v>
      </c>
      <c r="E2869" t="s">
        <v>2876</v>
      </c>
      <c r="F2869" t="s"/>
      <c r="G2869" t="s"/>
      <c r="H2869" t="s"/>
      <c r="I2869" t="s"/>
      <c r="J2869" t="n">
        <v>-0.8764999999999999</v>
      </c>
      <c r="K2869" t="n">
        <v>0.315</v>
      </c>
      <c r="L2869" t="n">
        <v>0.649</v>
      </c>
      <c r="M2869" t="n">
        <v>0.036</v>
      </c>
    </row>
    <row r="2870" spans="1:13">
      <c r="A2870" s="1">
        <f>HYPERLINK("http://www.twitter.com/NathanBLawrence/status/988858276644245504", "988858276644245504")</f>
        <v/>
      </c>
      <c r="B2870" s="2" t="n">
        <v>43214.80045138889</v>
      </c>
      <c r="C2870" t="n">
        <v>0</v>
      </c>
      <c r="D2870" t="n">
        <v>5</v>
      </c>
      <c r="E2870" t="s">
        <v>2877</v>
      </c>
      <c r="F2870" t="s"/>
      <c r="G2870" t="s"/>
      <c r="H2870" t="s"/>
      <c r="I2870" t="s"/>
      <c r="J2870" t="n">
        <v>-0.1531</v>
      </c>
      <c r="K2870" t="n">
        <v>0.096</v>
      </c>
      <c r="L2870" t="n">
        <v>0.904</v>
      </c>
      <c r="M2870" t="n">
        <v>0</v>
      </c>
    </row>
    <row r="2871" spans="1:13">
      <c r="A2871" s="1">
        <f>HYPERLINK("http://www.twitter.com/NathanBLawrence/status/988858203508166656", "988858203508166656")</f>
        <v/>
      </c>
      <c r="B2871" s="2" t="n">
        <v>43214.80025462963</v>
      </c>
      <c r="C2871" t="n">
        <v>13</v>
      </c>
      <c r="D2871" t="n">
        <v>3</v>
      </c>
      <c r="E2871" t="s">
        <v>2878</v>
      </c>
      <c r="F2871" t="s"/>
      <c r="G2871" t="s"/>
      <c r="H2871" t="s"/>
      <c r="I2871" t="s"/>
      <c r="J2871" t="n">
        <v>0.6289</v>
      </c>
      <c r="K2871" t="n">
        <v>0.209</v>
      </c>
      <c r="L2871" t="n">
        <v>0.497</v>
      </c>
      <c r="M2871" t="n">
        <v>0.294</v>
      </c>
    </row>
    <row r="2872" spans="1:13">
      <c r="A2872" s="1">
        <f>HYPERLINK("http://www.twitter.com/NathanBLawrence/status/988856143395962880", "988856143395962880")</f>
        <v/>
      </c>
      <c r="B2872" s="2" t="n">
        <v>43214.79457175926</v>
      </c>
      <c r="C2872" t="n">
        <v>0</v>
      </c>
      <c r="D2872" t="n">
        <v>266</v>
      </c>
      <c r="E2872" t="s">
        <v>2879</v>
      </c>
      <c r="F2872">
        <f>HYPERLINK("http://pbs.twimg.com/media/DbipqOfVMAANIrA.jpg", "http://pbs.twimg.com/media/DbipqOfVMAANIrA.jpg")</f>
        <v/>
      </c>
      <c r="G2872" t="s"/>
      <c r="H2872" t="s"/>
      <c r="I2872" t="s"/>
      <c r="J2872" t="n">
        <v>0.7501</v>
      </c>
      <c r="K2872" t="n">
        <v>0</v>
      </c>
      <c r="L2872" t="n">
        <v>0.632</v>
      </c>
      <c r="M2872" t="n">
        <v>0.368</v>
      </c>
    </row>
    <row r="2873" spans="1:13">
      <c r="A2873" s="1">
        <f>HYPERLINK("http://www.twitter.com/NathanBLawrence/status/988856092208738305", "988856092208738305")</f>
        <v/>
      </c>
      <c r="B2873" s="2" t="n">
        <v>43214.79443287037</v>
      </c>
      <c r="C2873" t="n">
        <v>0</v>
      </c>
      <c r="D2873" t="n">
        <v>2442</v>
      </c>
      <c r="E2873" t="s">
        <v>2880</v>
      </c>
      <c r="F2873" t="s"/>
      <c r="G2873" t="s"/>
      <c r="H2873" t="s"/>
      <c r="I2873" t="s"/>
      <c r="J2873" t="n">
        <v>0.4215</v>
      </c>
      <c r="K2873" t="n">
        <v>0.168</v>
      </c>
      <c r="L2873" t="n">
        <v>0.61</v>
      </c>
      <c r="M2873" t="n">
        <v>0.223</v>
      </c>
    </row>
    <row r="2874" spans="1:13">
      <c r="A2874" s="1">
        <f>HYPERLINK("http://www.twitter.com/NathanBLawrence/status/988856033484271616", "988856033484271616")</f>
        <v/>
      </c>
      <c r="B2874" s="2" t="n">
        <v>43214.79427083334</v>
      </c>
      <c r="C2874" t="n">
        <v>0</v>
      </c>
      <c r="D2874" t="n">
        <v>2</v>
      </c>
      <c r="E2874" t="s">
        <v>2881</v>
      </c>
      <c r="F2874">
        <f>HYPERLINK("http://pbs.twimg.com/media/DbkeXXyXkAAIBN0.jpg", "http://pbs.twimg.com/media/DbkeXXyXkAAIBN0.jpg")</f>
        <v/>
      </c>
      <c r="G2874" t="s"/>
      <c r="H2874" t="s"/>
      <c r="I2874" t="s"/>
      <c r="J2874" t="n">
        <v>-0.8225</v>
      </c>
      <c r="K2874" t="n">
        <v>0.309</v>
      </c>
      <c r="L2874" t="n">
        <v>0.6909999999999999</v>
      </c>
      <c r="M2874" t="n">
        <v>0</v>
      </c>
    </row>
    <row r="2875" spans="1:13">
      <c r="A2875" s="1">
        <f>HYPERLINK("http://www.twitter.com/NathanBLawrence/status/988855970305470466", "988855970305470466")</f>
        <v/>
      </c>
      <c r="B2875" s="2" t="n">
        <v>43214.79409722222</v>
      </c>
      <c r="C2875" t="n">
        <v>0</v>
      </c>
      <c r="D2875" t="n">
        <v>2399</v>
      </c>
      <c r="E2875" t="s">
        <v>2882</v>
      </c>
      <c r="F2875" t="s"/>
      <c r="G2875" t="s"/>
      <c r="H2875" t="s"/>
      <c r="I2875" t="s"/>
      <c r="J2875" t="n">
        <v>-0.2263</v>
      </c>
      <c r="K2875" t="n">
        <v>0.083</v>
      </c>
      <c r="L2875" t="n">
        <v>0.917</v>
      </c>
      <c r="M2875" t="n">
        <v>0</v>
      </c>
    </row>
    <row r="2876" spans="1:13">
      <c r="A2876" s="1">
        <f>HYPERLINK("http://www.twitter.com/NathanBLawrence/status/988855823106424833", "988855823106424833")</f>
        <v/>
      </c>
      <c r="B2876" s="2" t="n">
        <v>43214.79368055556</v>
      </c>
      <c r="C2876" t="n">
        <v>2</v>
      </c>
      <c r="D2876" t="n">
        <v>1</v>
      </c>
      <c r="E2876" t="s">
        <v>2883</v>
      </c>
      <c r="F2876" t="s"/>
      <c r="G2876" t="s"/>
      <c r="H2876" t="s"/>
      <c r="I2876" t="s"/>
      <c r="J2876" t="n">
        <v>0.8715000000000001</v>
      </c>
      <c r="K2876" t="n">
        <v>0</v>
      </c>
      <c r="L2876" t="n">
        <v>0.594</v>
      </c>
      <c r="M2876" t="n">
        <v>0.406</v>
      </c>
    </row>
    <row r="2877" spans="1:13">
      <c r="A2877" s="1">
        <f>HYPERLINK("http://www.twitter.com/NathanBLawrence/status/988855520344719360", "988855520344719360")</f>
        <v/>
      </c>
      <c r="B2877" s="2" t="n">
        <v>43214.79284722222</v>
      </c>
      <c r="C2877" t="n">
        <v>0</v>
      </c>
      <c r="D2877" t="n">
        <v>4335</v>
      </c>
      <c r="E2877" t="s">
        <v>2884</v>
      </c>
      <c r="F2877" t="s"/>
      <c r="G2877" t="s"/>
      <c r="H2877" t="s"/>
      <c r="I2877" t="s"/>
      <c r="J2877" t="n">
        <v>-0.8270999999999999</v>
      </c>
      <c r="K2877" t="n">
        <v>0.3</v>
      </c>
      <c r="L2877" t="n">
        <v>0.7</v>
      </c>
      <c r="M2877" t="n">
        <v>0</v>
      </c>
    </row>
    <row r="2878" spans="1:13">
      <c r="A2878" s="1">
        <f>HYPERLINK("http://www.twitter.com/NathanBLawrence/status/988855406951776256", "988855406951776256")</f>
        <v/>
      </c>
      <c r="B2878" s="2" t="n">
        <v>43214.79253472222</v>
      </c>
      <c r="C2878" t="n">
        <v>0</v>
      </c>
      <c r="D2878" t="n">
        <v>1356</v>
      </c>
      <c r="E2878" t="s">
        <v>2885</v>
      </c>
      <c r="F2878">
        <f>HYPERLINK("https://video.twimg.com/amplify_video/988542287046201345/vid/1280x720/n4hRxv00opNL-t3r.mp4?tag=6", "https://video.twimg.com/amplify_video/988542287046201345/vid/1280x720/n4hRxv00opNL-t3r.mp4?tag=6")</f>
        <v/>
      </c>
      <c r="G2878" t="s"/>
      <c r="H2878" t="s"/>
      <c r="I2878" t="s"/>
      <c r="J2878" t="n">
        <v>0.1027</v>
      </c>
      <c r="K2878" t="n">
        <v>0.105</v>
      </c>
      <c r="L2878" t="n">
        <v>0.773</v>
      </c>
      <c r="M2878" t="n">
        <v>0.123</v>
      </c>
    </row>
    <row r="2879" spans="1:13">
      <c r="A2879" s="1">
        <f>HYPERLINK("http://www.twitter.com/NathanBLawrence/status/988855328950312960", "988855328950312960")</f>
        <v/>
      </c>
      <c r="B2879" s="2" t="n">
        <v>43214.79232638889</v>
      </c>
      <c r="C2879" t="n">
        <v>6</v>
      </c>
      <c r="D2879" t="n">
        <v>3</v>
      </c>
      <c r="E2879" t="s">
        <v>2886</v>
      </c>
      <c r="F2879" t="s"/>
      <c r="G2879" t="s"/>
      <c r="H2879" t="s"/>
      <c r="I2879" t="s"/>
      <c r="J2879" t="n">
        <v>-0.34</v>
      </c>
      <c r="K2879" t="n">
        <v>0.135</v>
      </c>
      <c r="L2879" t="n">
        <v>0.791</v>
      </c>
      <c r="M2879" t="n">
        <v>0.074</v>
      </c>
    </row>
    <row r="2880" spans="1:13">
      <c r="A2880" s="1">
        <f>HYPERLINK("http://www.twitter.com/NathanBLawrence/status/988855022514388992", "988855022514388992")</f>
        <v/>
      </c>
      <c r="B2880" s="2" t="n">
        <v>43214.79148148148</v>
      </c>
      <c r="C2880" t="n">
        <v>1</v>
      </c>
      <c r="D2880" t="n">
        <v>0</v>
      </c>
      <c r="E2880" t="s">
        <v>2887</v>
      </c>
      <c r="F2880" t="s"/>
      <c r="G2880" t="s"/>
      <c r="H2880" t="s"/>
      <c r="I2880" t="s"/>
      <c r="J2880" t="n">
        <v>-0.5106000000000001</v>
      </c>
      <c r="K2880" t="n">
        <v>0.142</v>
      </c>
      <c r="L2880" t="n">
        <v>0.801</v>
      </c>
      <c r="M2880" t="n">
        <v>0.057</v>
      </c>
    </row>
    <row r="2881" spans="1:13">
      <c r="A2881" s="1">
        <f>HYPERLINK("http://www.twitter.com/NathanBLawrence/status/988854429729243136", "988854429729243136")</f>
        <v/>
      </c>
      <c r="B2881" s="2" t="n">
        <v>43214.78983796296</v>
      </c>
      <c r="C2881" t="n">
        <v>2</v>
      </c>
      <c r="D2881" t="n">
        <v>1</v>
      </c>
      <c r="E2881" t="s">
        <v>2888</v>
      </c>
      <c r="F2881" t="s"/>
      <c r="G2881" t="s"/>
      <c r="H2881" t="s"/>
      <c r="I2881" t="s"/>
      <c r="J2881" t="n">
        <v>-0.4404</v>
      </c>
      <c r="K2881" t="n">
        <v>0.077</v>
      </c>
      <c r="L2881" t="n">
        <v>0.923</v>
      </c>
      <c r="M2881" t="n">
        <v>0</v>
      </c>
    </row>
    <row r="2882" spans="1:13">
      <c r="A2882" s="1">
        <f>HYPERLINK("http://www.twitter.com/NathanBLawrence/status/988826326873268224", "988826326873268224")</f>
        <v/>
      </c>
      <c r="B2882" s="2" t="n">
        <v>43214.71229166666</v>
      </c>
      <c r="C2882" t="n">
        <v>1</v>
      </c>
      <c r="D2882" t="n">
        <v>2</v>
      </c>
      <c r="E2882" t="s">
        <v>2889</v>
      </c>
      <c r="F2882" t="s"/>
      <c r="G2882" t="s"/>
      <c r="H2882" t="s"/>
      <c r="I2882" t="s"/>
      <c r="J2882" t="n">
        <v>-0.6597</v>
      </c>
      <c r="K2882" t="n">
        <v>0.268</v>
      </c>
      <c r="L2882" t="n">
        <v>0.732</v>
      </c>
      <c r="M2882" t="n">
        <v>0</v>
      </c>
    </row>
    <row r="2883" spans="1:13">
      <c r="A2883" s="1">
        <f>HYPERLINK("http://www.twitter.com/NathanBLawrence/status/988825953643069441", "988825953643069441")</f>
        <v/>
      </c>
      <c r="B2883" s="2" t="n">
        <v>43214.71126157408</v>
      </c>
      <c r="C2883" t="n">
        <v>6</v>
      </c>
      <c r="D2883" t="n">
        <v>7</v>
      </c>
      <c r="E2883" t="s">
        <v>2890</v>
      </c>
      <c r="F2883" t="s"/>
      <c r="G2883" t="s"/>
      <c r="H2883" t="s"/>
      <c r="I2883" t="s"/>
      <c r="J2883" t="n">
        <v>-0.4767</v>
      </c>
      <c r="K2883" t="n">
        <v>0.205</v>
      </c>
      <c r="L2883" t="n">
        <v>0.795</v>
      </c>
      <c r="M2883" t="n">
        <v>0</v>
      </c>
    </row>
    <row r="2884" spans="1:13">
      <c r="A2884" s="1">
        <f>HYPERLINK("http://www.twitter.com/NathanBLawrence/status/988825831639171072", "988825831639171072")</f>
        <v/>
      </c>
      <c r="B2884" s="2" t="n">
        <v>43214.71092592592</v>
      </c>
      <c r="C2884" t="n">
        <v>1</v>
      </c>
      <c r="D2884" t="n">
        <v>3</v>
      </c>
      <c r="E2884" t="s">
        <v>2891</v>
      </c>
      <c r="F2884" t="s"/>
      <c r="G2884" t="s"/>
      <c r="H2884" t="s"/>
      <c r="I2884" t="s"/>
      <c r="J2884" t="n">
        <v>-0.6705</v>
      </c>
      <c r="K2884" t="n">
        <v>0.36</v>
      </c>
      <c r="L2884" t="n">
        <v>0.64</v>
      </c>
      <c r="M2884" t="n">
        <v>0</v>
      </c>
    </row>
    <row r="2885" spans="1:13">
      <c r="A2885" s="1">
        <f>HYPERLINK("http://www.twitter.com/NathanBLawrence/status/988825696666464256", "988825696666464256")</f>
        <v/>
      </c>
      <c r="B2885" s="2" t="n">
        <v>43214.71055555555</v>
      </c>
      <c r="C2885" t="n">
        <v>18</v>
      </c>
      <c r="D2885" t="n">
        <v>8</v>
      </c>
      <c r="E2885" t="s">
        <v>2892</v>
      </c>
      <c r="F2885" t="s"/>
      <c r="G2885" t="s"/>
      <c r="H2885" t="s"/>
      <c r="I2885" t="s"/>
      <c r="J2885" t="n">
        <v>0</v>
      </c>
      <c r="K2885" t="n">
        <v>0</v>
      </c>
      <c r="L2885" t="n">
        <v>1</v>
      </c>
      <c r="M2885" t="n">
        <v>0</v>
      </c>
    </row>
    <row r="2886" spans="1:13">
      <c r="A2886" s="1">
        <f>HYPERLINK("http://www.twitter.com/NathanBLawrence/status/988825468018176001", "988825468018176001")</f>
        <v/>
      </c>
      <c r="B2886" s="2" t="n">
        <v>43214.70991898148</v>
      </c>
      <c r="C2886" t="n">
        <v>19</v>
      </c>
      <c r="D2886" t="n">
        <v>7</v>
      </c>
      <c r="E2886" t="s">
        <v>2893</v>
      </c>
      <c r="F2886" t="s"/>
      <c r="G2886" t="s"/>
      <c r="H2886" t="s"/>
      <c r="I2886" t="s"/>
      <c r="J2886" t="n">
        <v>0.1027</v>
      </c>
      <c r="K2886" t="n">
        <v>0.118</v>
      </c>
      <c r="L2886" t="n">
        <v>0.723</v>
      </c>
      <c r="M2886" t="n">
        <v>0.159</v>
      </c>
    </row>
    <row r="2887" spans="1:13">
      <c r="A2887" s="1">
        <f>HYPERLINK("http://www.twitter.com/NathanBLawrence/status/988825155215417344", "988825155215417344")</f>
        <v/>
      </c>
      <c r="B2887" s="2" t="n">
        <v>43214.7090625</v>
      </c>
      <c r="C2887" t="n">
        <v>2</v>
      </c>
      <c r="D2887" t="n">
        <v>2</v>
      </c>
      <c r="E2887" t="s">
        <v>2894</v>
      </c>
      <c r="F2887" t="s"/>
      <c r="G2887" t="s"/>
      <c r="H2887" t="s"/>
      <c r="I2887" t="s"/>
      <c r="J2887" t="n">
        <v>0</v>
      </c>
      <c r="K2887" t="n">
        <v>0</v>
      </c>
      <c r="L2887" t="n">
        <v>1</v>
      </c>
      <c r="M2887" t="n">
        <v>0</v>
      </c>
    </row>
    <row r="2888" spans="1:13">
      <c r="A2888" s="1">
        <f>HYPERLINK("http://www.twitter.com/NathanBLawrence/status/988825024726368256", "988825024726368256")</f>
        <v/>
      </c>
      <c r="B2888" s="2" t="n">
        <v>43214.70870370371</v>
      </c>
      <c r="C2888" t="n">
        <v>3</v>
      </c>
      <c r="D2888" t="n">
        <v>0</v>
      </c>
      <c r="E2888" t="s">
        <v>2895</v>
      </c>
      <c r="F2888" t="s"/>
      <c r="G2888" t="s"/>
      <c r="H2888" t="s"/>
      <c r="I2888" t="s"/>
      <c r="J2888" t="n">
        <v>-0.7177</v>
      </c>
      <c r="K2888" t="n">
        <v>0.333</v>
      </c>
      <c r="L2888" t="n">
        <v>0.667</v>
      </c>
      <c r="M2888" t="n">
        <v>0</v>
      </c>
    </row>
    <row r="2889" spans="1:13">
      <c r="A2889" s="1">
        <f>HYPERLINK("http://www.twitter.com/NathanBLawrence/status/988824859982548994", "988824859982548994")</f>
        <v/>
      </c>
      <c r="B2889" s="2" t="n">
        <v>43214.70824074074</v>
      </c>
      <c r="C2889" t="n">
        <v>0</v>
      </c>
      <c r="D2889" t="n">
        <v>433</v>
      </c>
      <c r="E2889" t="s">
        <v>2896</v>
      </c>
      <c r="F2889" t="s"/>
      <c r="G2889" t="s"/>
      <c r="H2889" t="s"/>
      <c r="I2889" t="s"/>
      <c r="J2889" t="n">
        <v>-0.2263</v>
      </c>
      <c r="K2889" t="n">
        <v>0.112</v>
      </c>
      <c r="L2889" t="n">
        <v>0.888</v>
      </c>
      <c r="M2889" t="n">
        <v>0</v>
      </c>
    </row>
    <row r="2890" spans="1:13">
      <c r="A2890" s="1">
        <f>HYPERLINK("http://www.twitter.com/NathanBLawrence/status/988824810842087424", "988824810842087424")</f>
        <v/>
      </c>
      <c r="B2890" s="2" t="n">
        <v>43214.70811342593</v>
      </c>
      <c r="C2890" t="n">
        <v>2</v>
      </c>
      <c r="D2890" t="n">
        <v>0</v>
      </c>
      <c r="E2890" t="s">
        <v>2897</v>
      </c>
      <c r="F2890" t="s"/>
      <c r="G2890" t="s"/>
      <c r="H2890" t="s"/>
      <c r="I2890" t="s"/>
      <c r="J2890" t="n">
        <v>-0.6705</v>
      </c>
      <c r="K2890" t="n">
        <v>0.159</v>
      </c>
      <c r="L2890" t="n">
        <v>0.841</v>
      </c>
      <c r="M2890" t="n">
        <v>0</v>
      </c>
    </row>
    <row r="2891" spans="1:13">
      <c r="A2891" s="1">
        <f>HYPERLINK("http://www.twitter.com/NathanBLawrence/status/988823914838085632", "988823914838085632")</f>
        <v/>
      </c>
      <c r="B2891" s="2" t="n">
        <v>43214.70563657407</v>
      </c>
      <c r="C2891" t="n">
        <v>4</v>
      </c>
      <c r="D2891" t="n">
        <v>9</v>
      </c>
      <c r="E2891" t="s">
        <v>2898</v>
      </c>
      <c r="F2891" t="s"/>
      <c r="G2891" t="s"/>
      <c r="H2891" t="s"/>
      <c r="I2891" t="s"/>
      <c r="J2891" t="n">
        <v>-0.6808</v>
      </c>
      <c r="K2891" t="n">
        <v>0.343</v>
      </c>
      <c r="L2891" t="n">
        <v>0.539</v>
      </c>
      <c r="M2891" t="n">
        <v>0.118</v>
      </c>
    </row>
    <row r="2892" spans="1:13">
      <c r="A2892" s="1">
        <f>HYPERLINK("http://www.twitter.com/NathanBLawrence/status/988823637888151552", "988823637888151552")</f>
        <v/>
      </c>
      <c r="B2892" s="2" t="n">
        <v>43214.70487268519</v>
      </c>
      <c r="C2892" t="n">
        <v>5</v>
      </c>
      <c r="D2892" t="n">
        <v>4</v>
      </c>
      <c r="E2892" t="s">
        <v>2899</v>
      </c>
      <c r="F2892" t="s"/>
      <c r="G2892" t="s"/>
      <c r="H2892" t="s"/>
      <c r="I2892" t="s"/>
      <c r="J2892" t="n">
        <v>-0.694</v>
      </c>
      <c r="K2892" t="n">
        <v>0.24</v>
      </c>
      <c r="L2892" t="n">
        <v>0.76</v>
      </c>
      <c r="M2892" t="n">
        <v>0</v>
      </c>
    </row>
    <row r="2893" spans="1:13">
      <c r="A2893" s="1">
        <f>HYPERLINK("http://www.twitter.com/NathanBLawrence/status/988822873593729024", "988822873593729024")</f>
        <v/>
      </c>
      <c r="B2893" s="2" t="n">
        <v>43214.70276620371</v>
      </c>
      <c r="C2893" t="n">
        <v>16</v>
      </c>
      <c r="D2893" t="n">
        <v>3</v>
      </c>
      <c r="E2893" t="s">
        <v>2900</v>
      </c>
      <c r="F2893" t="s"/>
      <c r="G2893" t="s"/>
      <c r="H2893" t="s"/>
      <c r="I2893" t="s"/>
      <c r="J2893" t="n">
        <v>0.3149</v>
      </c>
      <c r="K2893" t="n">
        <v>0.138</v>
      </c>
      <c r="L2893" t="n">
        <v>0.67</v>
      </c>
      <c r="M2893" t="n">
        <v>0.192</v>
      </c>
    </row>
    <row r="2894" spans="1:13">
      <c r="A2894" s="1">
        <f>HYPERLINK("http://www.twitter.com/NathanBLawrence/status/988822634988093440", "988822634988093440")</f>
        <v/>
      </c>
      <c r="B2894" s="2" t="n">
        <v>43214.70210648148</v>
      </c>
      <c r="C2894" t="n">
        <v>4</v>
      </c>
      <c r="D2894" t="n">
        <v>3</v>
      </c>
      <c r="E2894" t="s">
        <v>2901</v>
      </c>
      <c r="F2894" t="s"/>
      <c r="G2894" t="s"/>
      <c r="H2894" t="s"/>
      <c r="I2894" t="s"/>
      <c r="J2894" t="n">
        <v>-0.4019</v>
      </c>
      <c r="K2894" t="n">
        <v>0.177</v>
      </c>
      <c r="L2894" t="n">
        <v>0.743</v>
      </c>
      <c r="M2894" t="n">
        <v>0.08</v>
      </c>
    </row>
    <row r="2895" spans="1:13">
      <c r="A2895" s="1">
        <f>HYPERLINK("http://www.twitter.com/NathanBLawrence/status/988822357522305025", "988822357522305025")</f>
        <v/>
      </c>
      <c r="B2895" s="2" t="n">
        <v>43214.70134259259</v>
      </c>
      <c r="C2895" t="n">
        <v>11</v>
      </c>
      <c r="D2895" t="n">
        <v>3</v>
      </c>
      <c r="E2895" t="s">
        <v>2902</v>
      </c>
      <c r="F2895" t="s"/>
      <c r="G2895" t="s"/>
      <c r="H2895" t="s"/>
      <c r="I2895" t="s"/>
      <c r="J2895" t="n">
        <v>-0.5719</v>
      </c>
      <c r="K2895" t="n">
        <v>0.251</v>
      </c>
      <c r="L2895" t="n">
        <v>0.749</v>
      </c>
      <c r="M2895" t="n">
        <v>0</v>
      </c>
    </row>
    <row r="2896" spans="1:13">
      <c r="A2896" s="1">
        <f>HYPERLINK("http://www.twitter.com/NathanBLawrence/status/988822209320796160", "988822209320796160")</f>
        <v/>
      </c>
      <c r="B2896" s="2" t="n">
        <v>43214.70092592593</v>
      </c>
      <c r="C2896" t="n">
        <v>8</v>
      </c>
      <c r="D2896" t="n">
        <v>5</v>
      </c>
      <c r="E2896" t="s">
        <v>2903</v>
      </c>
      <c r="F2896" t="s"/>
      <c r="G2896" t="s"/>
      <c r="H2896" t="s"/>
      <c r="I2896" t="s"/>
      <c r="J2896" t="n">
        <v>0.6505</v>
      </c>
      <c r="K2896" t="n">
        <v>0</v>
      </c>
      <c r="L2896" t="n">
        <v>0.6929999999999999</v>
      </c>
      <c r="M2896" t="n">
        <v>0.307</v>
      </c>
    </row>
    <row r="2897" spans="1:13">
      <c r="A2897" s="1">
        <f>HYPERLINK("http://www.twitter.com/NathanBLawrence/status/988822033055211522", "988822033055211522")</f>
        <v/>
      </c>
      <c r="B2897" s="2" t="n">
        <v>43214.70043981481</v>
      </c>
      <c r="C2897" t="n">
        <v>3</v>
      </c>
      <c r="D2897" t="n">
        <v>1</v>
      </c>
      <c r="E2897" t="s">
        <v>2904</v>
      </c>
      <c r="F2897" t="s"/>
      <c r="G2897" t="s"/>
      <c r="H2897" t="s"/>
      <c r="I2897" t="s"/>
      <c r="J2897" t="n">
        <v>0</v>
      </c>
      <c r="K2897" t="n">
        <v>0</v>
      </c>
      <c r="L2897" t="n">
        <v>1</v>
      </c>
      <c r="M2897" t="n">
        <v>0</v>
      </c>
    </row>
    <row r="2898" spans="1:13">
      <c r="A2898" s="1">
        <f>HYPERLINK("http://www.twitter.com/NathanBLawrence/status/988819200356462595", "988819200356462595")</f>
        <v/>
      </c>
      <c r="B2898" s="2" t="n">
        <v>43214.69262731481</v>
      </c>
      <c r="C2898" t="n">
        <v>0</v>
      </c>
      <c r="D2898" t="n">
        <v>1008</v>
      </c>
      <c r="E2898" t="s">
        <v>2905</v>
      </c>
      <c r="F2898" t="s"/>
      <c r="G2898" t="s"/>
      <c r="H2898" t="s"/>
      <c r="I2898" t="s"/>
      <c r="J2898" t="n">
        <v>0</v>
      </c>
      <c r="K2898" t="n">
        <v>0</v>
      </c>
      <c r="L2898" t="n">
        <v>1</v>
      </c>
      <c r="M2898" t="n">
        <v>0</v>
      </c>
    </row>
    <row r="2899" spans="1:13">
      <c r="A2899" s="1">
        <f>HYPERLINK("http://www.twitter.com/NathanBLawrence/status/988819082530062337", "988819082530062337")</f>
        <v/>
      </c>
      <c r="B2899" s="2" t="n">
        <v>43214.69230324074</v>
      </c>
      <c r="C2899" t="n">
        <v>1</v>
      </c>
      <c r="D2899" t="n">
        <v>0</v>
      </c>
      <c r="E2899" t="s">
        <v>2906</v>
      </c>
      <c r="F2899" t="s"/>
      <c r="G2899" t="s"/>
      <c r="H2899" t="s"/>
      <c r="I2899" t="s"/>
      <c r="J2899" t="n">
        <v>0</v>
      </c>
      <c r="K2899" t="n">
        <v>0</v>
      </c>
      <c r="L2899" t="n">
        <v>1</v>
      </c>
      <c r="M2899" t="n">
        <v>0</v>
      </c>
    </row>
    <row r="2900" spans="1:13">
      <c r="A2900" s="1">
        <f>HYPERLINK("http://www.twitter.com/NathanBLawrence/status/988818955983732736", "988818955983732736")</f>
        <v/>
      </c>
      <c r="B2900" s="2" t="n">
        <v>43214.69195601852</v>
      </c>
      <c r="C2900" t="n">
        <v>0</v>
      </c>
      <c r="D2900" t="n">
        <v>1478</v>
      </c>
      <c r="E2900" t="s">
        <v>2907</v>
      </c>
      <c r="F2900" t="s"/>
      <c r="G2900" t="s"/>
      <c r="H2900" t="s"/>
      <c r="I2900" t="s"/>
      <c r="J2900" t="n">
        <v>0</v>
      </c>
      <c r="K2900" t="n">
        <v>0</v>
      </c>
      <c r="L2900" t="n">
        <v>1</v>
      </c>
      <c r="M2900" t="n">
        <v>0</v>
      </c>
    </row>
    <row r="2901" spans="1:13">
      <c r="A2901" s="1">
        <f>HYPERLINK("http://www.twitter.com/NathanBLawrence/status/988818529674711041", "988818529674711041")</f>
        <v/>
      </c>
      <c r="B2901" s="2" t="n">
        <v>43214.69077546296</v>
      </c>
      <c r="C2901" t="n">
        <v>0</v>
      </c>
      <c r="D2901" t="n">
        <v>13028</v>
      </c>
      <c r="E2901" t="s">
        <v>2908</v>
      </c>
      <c r="F2901" t="s"/>
      <c r="G2901" t="s"/>
      <c r="H2901" t="s"/>
      <c r="I2901" t="s"/>
      <c r="J2901" t="n">
        <v>0.3182</v>
      </c>
      <c r="K2901" t="n">
        <v>0</v>
      </c>
      <c r="L2901" t="n">
        <v>0.905</v>
      </c>
      <c r="M2901" t="n">
        <v>0.095</v>
      </c>
    </row>
    <row r="2902" spans="1:13">
      <c r="A2902" s="1">
        <f>HYPERLINK("http://www.twitter.com/NathanBLawrence/status/988818124257480704", "988818124257480704")</f>
        <v/>
      </c>
      <c r="B2902" s="2" t="n">
        <v>43214.68965277778</v>
      </c>
      <c r="C2902" t="n">
        <v>0</v>
      </c>
      <c r="D2902" t="n">
        <v>5074</v>
      </c>
      <c r="E2902" t="s">
        <v>2909</v>
      </c>
      <c r="F2902" t="s"/>
      <c r="G2902" t="s"/>
      <c r="H2902" t="s"/>
      <c r="I2902" t="s"/>
      <c r="J2902" t="n">
        <v>0.6369</v>
      </c>
      <c r="K2902" t="n">
        <v>0</v>
      </c>
      <c r="L2902" t="n">
        <v>0.84</v>
      </c>
      <c r="M2902" t="n">
        <v>0.16</v>
      </c>
    </row>
    <row r="2903" spans="1:13">
      <c r="A2903" s="1">
        <f>HYPERLINK("http://www.twitter.com/NathanBLawrence/status/988817791510757376", "988817791510757376")</f>
        <v/>
      </c>
      <c r="B2903" s="2" t="n">
        <v>43214.68873842592</v>
      </c>
      <c r="C2903" t="n">
        <v>0</v>
      </c>
      <c r="D2903" t="n">
        <v>11651</v>
      </c>
      <c r="E2903" t="s">
        <v>2910</v>
      </c>
      <c r="F2903" t="s"/>
      <c r="G2903" t="s"/>
      <c r="H2903" t="s"/>
      <c r="I2903" t="s"/>
      <c r="J2903" t="n">
        <v>-0.6808</v>
      </c>
      <c r="K2903" t="n">
        <v>0.203</v>
      </c>
      <c r="L2903" t="n">
        <v>0.797</v>
      </c>
      <c r="M2903" t="n">
        <v>0</v>
      </c>
    </row>
    <row r="2904" spans="1:13">
      <c r="A2904" s="1">
        <f>HYPERLINK("http://www.twitter.com/NathanBLawrence/status/988817697805819904", "988817697805819904")</f>
        <v/>
      </c>
      <c r="B2904" s="2" t="n">
        <v>43214.68848379629</v>
      </c>
      <c r="C2904" t="n">
        <v>0</v>
      </c>
      <c r="D2904" t="n">
        <v>4697</v>
      </c>
      <c r="E2904" t="s">
        <v>2911</v>
      </c>
      <c r="F2904" t="s"/>
      <c r="G2904" t="s"/>
      <c r="H2904" t="s"/>
      <c r="I2904" t="s"/>
      <c r="J2904" t="n">
        <v>-0.5994</v>
      </c>
      <c r="K2904" t="n">
        <v>0.178</v>
      </c>
      <c r="L2904" t="n">
        <v>0.822</v>
      </c>
      <c r="M2904" t="n">
        <v>0</v>
      </c>
    </row>
    <row r="2905" spans="1:13">
      <c r="A2905" s="1">
        <f>HYPERLINK("http://www.twitter.com/NathanBLawrence/status/988817662766546944", "988817662766546944")</f>
        <v/>
      </c>
      <c r="B2905" s="2" t="n">
        <v>43214.68837962963</v>
      </c>
      <c r="C2905" t="n">
        <v>0</v>
      </c>
      <c r="D2905" t="n">
        <v>20215</v>
      </c>
      <c r="E2905" t="s">
        <v>2912</v>
      </c>
      <c r="F2905" t="s"/>
      <c r="G2905" t="s"/>
      <c r="H2905" t="s"/>
      <c r="I2905" t="s"/>
      <c r="J2905" t="n">
        <v>0</v>
      </c>
      <c r="K2905" t="n">
        <v>0</v>
      </c>
      <c r="L2905" t="n">
        <v>1</v>
      </c>
      <c r="M2905" t="n">
        <v>0</v>
      </c>
    </row>
    <row r="2906" spans="1:13">
      <c r="A2906" s="1">
        <f>HYPERLINK("http://www.twitter.com/NathanBLawrence/status/988817598212009984", "988817598212009984")</f>
        <v/>
      </c>
      <c r="B2906" s="2" t="n">
        <v>43214.68820601852</v>
      </c>
      <c r="C2906" t="n">
        <v>0</v>
      </c>
      <c r="D2906" t="n">
        <v>3904</v>
      </c>
      <c r="E2906" t="s">
        <v>2913</v>
      </c>
      <c r="F2906" t="s"/>
      <c r="G2906" t="s"/>
      <c r="H2906" t="s"/>
      <c r="I2906" t="s"/>
      <c r="J2906" t="n">
        <v>0.4019</v>
      </c>
      <c r="K2906" t="n">
        <v>0</v>
      </c>
      <c r="L2906" t="n">
        <v>0.899</v>
      </c>
      <c r="M2906" t="n">
        <v>0.101</v>
      </c>
    </row>
    <row r="2907" spans="1:13">
      <c r="A2907" s="1">
        <f>HYPERLINK("http://www.twitter.com/NathanBLawrence/status/988817549767798784", "988817549767798784")</f>
        <v/>
      </c>
      <c r="B2907" s="2" t="n">
        <v>43214.68806712963</v>
      </c>
      <c r="C2907" t="n">
        <v>0</v>
      </c>
      <c r="D2907" t="n">
        <v>13368</v>
      </c>
      <c r="E2907" t="s">
        <v>2914</v>
      </c>
      <c r="F2907">
        <f>HYPERLINK("https://video.twimg.com/ext_tw_video/988581580737269760/pu/vid/720x720/gdB0wbAJUV8QSm0M.mp4?tag=3", "https://video.twimg.com/ext_tw_video/988581580737269760/pu/vid/720x720/gdB0wbAJUV8QSm0M.mp4?tag=3")</f>
        <v/>
      </c>
      <c r="G2907" t="s"/>
      <c r="H2907" t="s"/>
      <c r="I2907" t="s"/>
      <c r="J2907" t="n">
        <v>-0.2103</v>
      </c>
      <c r="K2907" t="n">
        <v>0.131</v>
      </c>
      <c r="L2907" t="n">
        <v>0.732</v>
      </c>
      <c r="M2907" t="n">
        <v>0.137</v>
      </c>
    </row>
    <row r="2908" spans="1:13">
      <c r="A2908" s="1">
        <f>HYPERLINK("http://www.twitter.com/NathanBLawrence/status/988817472051560449", "988817472051560449")</f>
        <v/>
      </c>
      <c r="B2908" s="2" t="n">
        <v>43214.68785879629</v>
      </c>
      <c r="C2908" t="n">
        <v>0</v>
      </c>
      <c r="D2908" t="n">
        <v>32879</v>
      </c>
      <c r="E2908" t="s">
        <v>2915</v>
      </c>
      <c r="F2908">
        <f>HYPERLINK("http://pbs.twimg.com/media/DbVBwEZXkAEbk44.jpg", "http://pbs.twimg.com/media/DbVBwEZXkAEbk44.jpg")</f>
        <v/>
      </c>
      <c r="G2908" t="s"/>
      <c r="H2908" t="s"/>
      <c r="I2908" t="s"/>
      <c r="J2908" t="n">
        <v>0.2263</v>
      </c>
      <c r="K2908" t="n">
        <v>0</v>
      </c>
      <c r="L2908" t="n">
        <v>0.917</v>
      </c>
      <c r="M2908" t="n">
        <v>0.083</v>
      </c>
    </row>
    <row r="2909" spans="1:13">
      <c r="A2909" s="1">
        <f>HYPERLINK("http://www.twitter.com/NathanBLawrence/status/988817335828955137", "988817335828955137")</f>
        <v/>
      </c>
      <c r="B2909" s="2" t="n">
        <v>43214.68747685185</v>
      </c>
      <c r="C2909" t="n">
        <v>0</v>
      </c>
      <c r="D2909" t="n">
        <v>295</v>
      </c>
      <c r="E2909" t="s">
        <v>2916</v>
      </c>
      <c r="F2909" t="s"/>
      <c r="G2909" t="s"/>
      <c r="H2909" t="s"/>
      <c r="I2909" t="s"/>
      <c r="J2909" t="n">
        <v>0.1779</v>
      </c>
      <c r="K2909" t="n">
        <v>0.08</v>
      </c>
      <c r="L2909" t="n">
        <v>0.782</v>
      </c>
      <c r="M2909" t="n">
        <v>0.138</v>
      </c>
    </row>
    <row r="2910" spans="1:13">
      <c r="A2910" s="1">
        <f>HYPERLINK("http://www.twitter.com/NathanBLawrence/status/988817222255628288", "988817222255628288")</f>
        <v/>
      </c>
      <c r="B2910" s="2" t="n">
        <v>43214.68716435185</v>
      </c>
      <c r="C2910" t="n">
        <v>0</v>
      </c>
      <c r="D2910" t="n">
        <v>116</v>
      </c>
      <c r="E2910" t="s">
        <v>2917</v>
      </c>
      <c r="F2910">
        <f>HYPERLINK("https://video.twimg.com/ext_tw_video/988811146902650880/pu/vid/1280x720/PDcjcwHSfSbbrjQW.mp4?tag=3", "https://video.twimg.com/ext_tw_video/988811146902650880/pu/vid/1280x720/PDcjcwHSfSbbrjQW.mp4?tag=3")</f>
        <v/>
      </c>
      <c r="G2910" t="s"/>
      <c r="H2910" t="s"/>
      <c r="I2910" t="s"/>
      <c r="J2910" t="n">
        <v>0</v>
      </c>
      <c r="K2910" t="n">
        <v>0</v>
      </c>
      <c r="L2910" t="n">
        <v>1</v>
      </c>
      <c r="M2910" t="n">
        <v>0</v>
      </c>
    </row>
    <row r="2911" spans="1:13">
      <c r="A2911" s="1">
        <f>HYPERLINK("http://www.twitter.com/NathanBLawrence/status/988816972409225216", "988816972409225216")</f>
        <v/>
      </c>
      <c r="B2911" s="2" t="n">
        <v>43214.68648148148</v>
      </c>
      <c r="C2911" t="n">
        <v>8</v>
      </c>
      <c r="D2911" t="n">
        <v>6</v>
      </c>
      <c r="E2911" t="s">
        <v>2918</v>
      </c>
      <c r="F2911">
        <f>HYPERLINK("http://pbs.twimg.com/media/DZjaFEeVoAA96xF.jpg", "http://pbs.twimg.com/media/DZjaFEeVoAA96xF.jpg")</f>
        <v/>
      </c>
      <c r="G2911" t="s"/>
      <c r="H2911" t="s"/>
      <c r="I2911" t="s"/>
      <c r="J2911" t="n">
        <v>-0.8643999999999999</v>
      </c>
      <c r="K2911" t="n">
        <v>0.327</v>
      </c>
      <c r="L2911" t="n">
        <v>0.578</v>
      </c>
      <c r="M2911" t="n">
        <v>0.095</v>
      </c>
    </row>
    <row r="2912" spans="1:13">
      <c r="A2912" s="1">
        <f>HYPERLINK("http://www.twitter.com/NathanBLawrence/status/988813341542895616", "988813341542895616")</f>
        <v/>
      </c>
      <c r="B2912" s="2" t="n">
        <v>43214.67645833334</v>
      </c>
      <c r="C2912" t="n">
        <v>0</v>
      </c>
      <c r="D2912" t="n">
        <v>107</v>
      </c>
      <c r="E2912" t="s">
        <v>2919</v>
      </c>
      <c r="F2912" t="s"/>
      <c r="G2912" t="s"/>
      <c r="H2912" t="s"/>
      <c r="I2912" t="s"/>
      <c r="J2912" t="n">
        <v>-0.5423</v>
      </c>
      <c r="K2912" t="n">
        <v>0.22</v>
      </c>
      <c r="L2912" t="n">
        <v>0.644</v>
      </c>
      <c r="M2912" t="n">
        <v>0.136</v>
      </c>
    </row>
    <row r="2913" spans="1:13">
      <c r="A2913" s="1">
        <f>HYPERLINK("http://www.twitter.com/NathanBLawrence/status/988811684465672193", "988811684465672193")</f>
        <v/>
      </c>
      <c r="B2913" s="2" t="n">
        <v>43214.67188657408</v>
      </c>
      <c r="C2913" t="n">
        <v>7</v>
      </c>
      <c r="D2913" t="n">
        <v>4</v>
      </c>
      <c r="E2913" t="s">
        <v>2920</v>
      </c>
      <c r="F2913" t="s"/>
      <c r="G2913" t="s"/>
      <c r="H2913" t="s"/>
      <c r="I2913" t="s"/>
      <c r="J2913" t="n">
        <v>0</v>
      </c>
      <c r="K2913" t="n">
        <v>0</v>
      </c>
      <c r="L2913" t="n">
        <v>1</v>
      </c>
      <c r="M2913" t="n">
        <v>0</v>
      </c>
    </row>
    <row r="2914" spans="1:13">
      <c r="A2914" s="1">
        <f>HYPERLINK("http://www.twitter.com/NathanBLawrence/status/988810741888110592", "988810741888110592")</f>
        <v/>
      </c>
      <c r="B2914" s="2" t="n">
        <v>43214.66928240741</v>
      </c>
      <c r="C2914" t="n">
        <v>0</v>
      </c>
      <c r="D2914" t="n">
        <v>4449</v>
      </c>
      <c r="E2914" t="s">
        <v>2921</v>
      </c>
      <c r="F2914" t="s"/>
      <c r="G2914" t="s"/>
      <c r="H2914" t="s"/>
      <c r="I2914" t="s"/>
      <c r="J2914" t="n">
        <v>0.6486</v>
      </c>
      <c r="K2914" t="n">
        <v>0.08599999999999999</v>
      </c>
      <c r="L2914" t="n">
        <v>0.612</v>
      </c>
      <c r="M2914" t="n">
        <v>0.302</v>
      </c>
    </row>
    <row r="2915" spans="1:13">
      <c r="A2915" s="1">
        <f>HYPERLINK("http://www.twitter.com/NathanBLawrence/status/988810670786338816", "988810670786338816")</f>
        <v/>
      </c>
      <c r="B2915" s="2" t="n">
        <v>43214.66908564815</v>
      </c>
      <c r="C2915" t="n">
        <v>5</v>
      </c>
      <c r="D2915" t="n">
        <v>1</v>
      </c>
      <c r="E2915" t="s">
        <v>2922</v>
      </c>
      <c r="F2915" t="s"/>
      <c r="G2915" t="s"/>
      <c r="H2915" t="s"/>
      <c r="I2915" t="s"/>
      <c r="J2915" t="n">
        <v>-0.5411</v>
      </c>
      <c r="K2915" t="n">
        <v>0.368</v>
      </c>
      <c r="L2915" t="n">
        <v>0.632</v>
      </c>
      <c r="M2915" t="n">
        <v>0</v>
      </c>
    </row>
    <row r="2916" spans="1:13">
      <c r="A2916" s="1">
        <f>HYPERLINK("http://www.twitter.com/NathanBLawrence/status/988810473758900226", "988810473758900226")</f>
        <v/>
      </c>
      <c r="B2916" s="2" t="n">
        <v>43214.66854166667</v>
      </c>
      <c r="C2916" t="n">
        <v>0</v>
      </c>
      <c r="D2916" t="n">
        <v>4730</v>
      </c>
      <c r="E2916" t="s">
        <v>2923</v>
      </c>
      <c r="F2916" t="s"/>
      <c r="G2916" t="s"/>
      <c r="H2916" t="s"/>
      <c r="I2916" t="s"/>
      <c r="J2916" t="n">
        <v>0</v>
      </c>
      <c r="K2916" t="n">
        <v>0</v>
      </c>
      <c r="L2916" t="n">
        <v>1</v>
      </c>
      <c r="M2916" t="n">
        <v>0</v>
      </c>
    </row>
    <row r="2917" spans="1:13">
      <c r="A2917" s="1">
        <f>HYPERLINK("http://www.twitter.com/NathanBLawrence/status/988810413478363137", "988810413478363137")</f>
        <v/>
      </c>
      <c r="B2917" s="2" t="n">
        <v>43214.66837962963</v>
      </c>
      <c r="C2917" t="n">
        <v>0</v>
      </c>
      <c r="D2917" t="n">
        <v>15934</v>
      </c>
      <c r="E2917" t="s">
        <v>2924</v>
      </c>
      <c r="F2917" t="s"/>
      <c r="G2917" t="s"/>
      <c r="H2917" t="s"/>
      <c r="I2917" t="s"/>
      <c r="J2917" t="n">
        <v>0</v>
      </c>
      <c r="K2917" t="n">
        <v>0</v>
      </c>
      <c r="L2917" t="n">
        <v>1</v>
      </c>
      <c r="M2917" t="n">
        <v>0</v>
      </c>
    </row>
    <row r="2918" spans="1:13">
      <c r="A2918" s="1">
        <f>HYPERLINK("http://www.twitter.com/NathanBLawrence/status/988810154324840448", "988810154324840448")</f>
        <v/>
      </c>
      <c r="B2918" s="2" t="n">
        <v>43214.66766203703</v>
      </c>
      <c r="C2918" t="n">
        <v>7</v>
      </c>
      <c r="D2918" t="n">
        <v>2</v>
      </c>
      <c r="E2918" t="s">
        <v>2925</v>
      </c>
      <c r="F2918" t="s"/>
      <c r="G2918" t="s"/>
      <c r="H2918" t="s"/>
      <c r="I2918" t="s"/>
      <c r="J2918" t="n">
        <v>-0.4939</v>
      </c>
      <c r="K2918" t="n">
        <v>0.167</v>
      </c>
      <c r="L2918" t="n">
        <v>0.833</v>
      </c>
      <c r="M2918" t="n">
        <v>0</v>
      </c>
    </row>
    <row r="2919" spans="1:13">
      <c r="A2919" s="1">
        <f>HYPERLINK("http://www.twitter.com/NathanBLawrence/status/988809882039025664", "988809882039025664")</f>
        <v/>
      </c>
      <c r="B2919" s="2" t="n">
        <v>43214.66690972223</v>
      </c>
      <c r="C2919" t="n">
        <v>0</v>
      </c>
      <c r="D2919" t="n">
        <v>2523</v>
      </c>
      <c r="E2919" t="s">
        <v>2926</v>
      </c>
      <c r="F2919" t="s"/>
      <c r="G2919" t="s"/>
      <c r="H2919" t="s"/>
      <c r="I2919" t="s"/>
      <c r="J2919" t="n">
        <v>0</v>
      </c>
      <c r="K2919" t="n">
        <v>0</v>
      </c>
      <c r="L2919" t="n">
        <v>1</v>
      </c>
      <c r="M2919" t="n">
        <v>0</v>
      </c>
    </row>
    <row r="2920" spans="1:13">
      <c r="A2920" s="1">
        <f>HYPERLINK("http://www.twitter.com/NathanBLawrence/status/988809710445805573", "988809710445805573")</f>
        <v/>
      </c>
      <c r="B2920" s="2" t="n">
        <v>43214.66643518519</v>
      </c>
      <c r="C2920" t="n">
        <v>0</v>
      </c>
      <c r="D2920" t="n">
        <v>1417</v>
      </c>
      <c r="E2920" t="s">
        <v>2927</v>
      </c>
      <c r="F2920" t="s"/>
      <c r="G2920" t="s"/>
      <c r="H2920" t="s"/>
      <c r="I2920" t="s"/>
      <c r="J2920" t="n">
        <v>0</v>
      </c>
      <c r="K2920" t="n">
        <v>0</v>
      </c>
      <c r="L2920" t="n">
        <v>1</v>
      </c>
      <c r="M2920" t="n">
        <v>0</v>
      </c>
    </row>
    <row r="2921" spans="1:13">
      <c r="A2921" s="1">
        <f>HYPERLINK("http://www.twitter.com/NathanBLawrence/status/988809645190873088", "988809645190873088")</f>
        <v/>
      </c>
      <c r="B2921" s="2" t="n">
        <v>43214.66626157407</v>
      </c>
      <c r="C2921" t="n">
        <v>0</v>
      </c>
      <c r="D2921" t="n">
        <v>2966</v>
      </c>
      <c r="E2921" t="s">
        <v>2928</v>
      </c>
      <c r="F2921" t="s"/>
      <c r="G2921" t="s"/>
      <c r="H2921" t="s"/>
      <c r="I2921" t="s"/>
      <c r="J2921" t="n">
        <v>-0.2876</v>
      </c>
      <c r="K2921" t="n">
        <v>0.274</v>
      </c>
      <c r="L2921" t="n">
        <v>0.52</v>
      </c>
      <c r="M2921" t="n">
        <v>0.207</v>
      </c>
    </row>
    <row r="2922" spans="1:13">
      <c r="A2922" s="1">
        <f>HYPERLINK("http://www.twitter.com/NathanBLawrence/status/988809529671364610", "988809529671364610")</f>
        <v/>
      </c>
      <c r="B2922" s="2" t="n">
        <v>43214.6659375</v>
      </c>
      <c r="C2922" t="n">
        <v>3</v>
      </c>
      <c r="D2922" t="n">
        <v>0</v>
      </c>
      <c r="E2922" t="s">
        <v>2929</v>
      </c>
      <c r="F2922" t="s"/>
      <c r="G2922" t="s"/>
      <c r="H2922" t="s"/>
      <c r="I2922" t="s"/>
      <c r="J2922" t="n">
        <v>-0.5848</v>
      </c>
      <c r="K2922" t="n">
        <v>0.372</v>
      </c>
      <c r="L2922" t="n">
        <v>0.441</v>
      </c>
      <c r="M2922" t="n">
        <v>0.186</v>
      </c>
    </row>
    <row r="2923" spans="1:13">
      <c r="A2923" s="1">
        <f>HYPERLINK("http://www.twitter.com/NathanBLawrence/status/988803185455255554", "988803185455255554")</f>
        <v/>
      </c>
      <c r="B2923" s="2" t="n">
        <v>43214.6484375</v>
      </c>
      <c r="C2923" t="n">
        <v>0</v>
      </c>
      <c r="D2923" t="n">
        <v>4128</v>
      </c>
      <c r="E2923" t="s">
        <v>2930</v>
      </c>
      <c r="F2923" t="s"/>
      <c r="G2923" t="s"/>
      <c r="H2923" t="s"/>
      <c r="I2923" t="s"/>
      <c r="J2923" t="n">
        <v>0.7423999999999999</v>
      </c>
      <c r="K2923" t="n">
        <v>0</v>
      </c>
      <c r="L2923" t="n">
        <v>0.8129999999999999</v>
      </c>
      <c r="M2923" t="n">
        <v>0.187</v>
      </c>
    </row>
    <row r="2924" spans="1:13">
      <c r="A2924" s="1">
        <f>HYPERLINK("http://www.twitter.com/NathanBLawrence/status/988803042119073793", "988803042119073793")</f>
        <v/>
      </c>
      <c r="B2924" s="2" t="n">
        <v>43214.64803240741</v>
      </c>
      <c r="C2924" t="n">
        <v>0</v>
      </c>
      <c r="D2924" t="n">
        <v>6814</v>
      </c>
      <c r="E2924" t="s">
        <v>2931</v>
      </c>
      <c r="F2924" t="s"/>
      <c r="G2924" t="s"/>
      <c r="H2924" t="s"/>
      <c r="I2924" t="s"/>
      <c r="J2924" t="n">
        <v>0</v>
      </c>
      <c r="K2924" t="n">
        <v>0</v>
      </c>
      <c r="L2924" t="n">
        <v>1</v>
      </c>
      <c r="M2924" t="n">
        <v>0</v>
      </c>
    </row>
    <row r="2925" spans="1:13">
      <c r="A2925" s="1">
        <f>HYPERLINK("http://www.twitter.com/NathanBLawrence/status/988802829581144064", "988802829581144064")</f>
        <v/>
      </c>
      <c r="B2925" s="2" t="n">
        <v>43214.64745370371</v>
      </c>
      <c r="C2925" t="n">
        <v>0</v>
      </c>
      <c r="D2925" t="n">
        <v>2803</v>
      </c>
      <c r="E2925" t="s">
        <v>2932</v>
      </c>
      <c r="F2925" t="s"/>
      <c r="G2925" t="s"/>
      <c r="H2925" t="s"/>
      <c r="I2925" t="s"/>
      <c r="J2925" t="n">
        <v>-0.0258</v>
      </c>
      <c r="K2925" t="n">
        <v>0.058</v>
      </c>
      <c r="L2925" t="n">
        <v>0.9419999999999999</v>
      </c>
      <c r="M2925" t="n">
        <v>0</v>
      </c>
    </row>
    <row r="2926" spans="1:13">
      <c r="A2926" s="1">
        <f>HYPERLINK("http://www.twitter.com/NathanBLawrence/status/988802657929199617", "988802657929199617")</f>
        <v/>
      </c>
      <c r="B2926" s="2" t="n">
        <v>43214.64697916667</v>
      </c>
      <c r="C2926" t="n">
        <v>0</v>
      </c>
      <c r="D2926" t="n">
        <v>5051</v>
      </c>
      <c r="E2926" t="s">
        <v>2933</v>
      </c>
      <c r="F2926" t="s"/>
      <c r="G2926" t="s"/>
      <c r="H2926" t="s"/>
      <c r="I2926" t="s"/>
      <c r="J2926" t="n">
        <v>-0.8804999999999999</v>
      </c>
      <c r="K2926" t="n">
        <v>0.375</v>
      </c>
      <c r="L2926" t="n">
        <v>0.625</v>
      </c>
      <c r="M2926" t="n">
        <v>0</v>
      </c>
    </row>
    <row r="2927" spans="1:13">
      <c r="A2927" s="1">
        <f>HYPERLINK("http://www.twitter.com/NathanBLawrence/status/988802438764232705", "988802438764232705")</f>
        <v/>
      </c>
      <c r="B2927" s="2" t="n">
        <v>43214.64637731481</v>
      </c>
      <c r="C2927" t="n">
        <v>0</v>
      </c>
      <c r="D2927" t="n">
        <v>13051</v>
      </c>
      <c r="E2927" t="s">
        <v>2934</v>
      </c>
      <c r="F2927" t="s"/>
      <c r="G2927" t="s"/>
      <c r="H2927" t="s"/>
      <c r="I2927" t="s"/>
      <c r="J2927" t="n">
        <v>0.3612</v>
      </c>
      <c r="K2927" t="n">
        <v>0.222</v>
      </c>
      <c r="L2927" t="n">
        <v>0.46</v>
      </c>
      <c r="M2927" t="n">
        <v>0.318</v>
      </c>
    </row>
    <row r="2928" spans="1:13">
      <c r="A2928" s="1">
        <f>HYPERLINK("http://www.twitter.com/NathanBLawrence/status/988800852096765952", "988800852096765952")</f>
        <v/>
      </c>
      <c r="B2928" s="2" t="n">
        <v>43214.64199074074</v>
      </c>
      <c r="C2928" t="n">
        <v>0</v>
      </c>
      <c r="D2928" t="n">
        <v>13</v>
      </c>
      <c r="E2928" t="s">
        <v>2935</v>
      </c>
      <c r="F2928" t="s"/>
      <c r="G2928" t="s"/>
      <c r="H2928" t="s"/>
      <c r="I2928" t="s"/>
      <c r="J2928" t="n">
        <v>0.7371</v>
      </c>
      <c r="K2928" t="n">
        <v>0</v>
      </c>
      <c r="L2928" t="n">
        <v>0.753</v>
      </c>
      <c r="M2928" t="n">
        <v>0.247</v>
      </c>
    </row>
    <row r="2929" spans="1:13">
      <c r="A2929" s="1">
        <f>HYPERLINK("http://www.twitter.com/NathanBLawrence/status/988657272917180416", "988657272917180416")</f>
        <v/>
      </c>
      <c r="B2929" s="2" t="n">
        <v>43214.24578703703</v>
      </c>
      <c r="C2929" t="n">
        <v>19</v>
      </c>
      <c r="D2929" t="n">
        <v>13</v>
      </c>
      <c r="E2929" t="s">
        <v>2936</v>
      </c>
      <c r="F2929" t="s"/>
      <c r="G2929" t="s"/>
      <c r="H2929" t="s"/>
      <c r="I2929" t="s"/>
      <c r="J2929" t="n">
        <v>0.8188</v>
      </c>
      <c r="K2929" t="n">
        <v>0</v>
      </c>
      <c r="L2929" t="n">
        <v>0.666</v>
      </c>
      <c r="M2929" t="n">
        <v>0.334</v>
      </c>
    </row>
    <row r="2930" spans="1:13">
      <c r="A2930" s="1">
        <f>HYPERLINK("http://www.twitter.com/NathanBLawrence/status/988656994067202049", "988656994067202049")</f>
        <v/>
      </c>
      <c r="B2930" s="2" t="n">
        <v>43214.24502314815</v>
      </c>
      <c r="C2930" t="n">
        <v>23</v>
      </c>
      <c r="D2930" t="n">
        <v>15</v>
      </c>
      <c r="E2930" t="s">
        <v>2937</v>
      </c>
      <c r="F2930" t="s"/>
      <c r="G2930" t="s"/>
      <c r="H2930" t="s"/>
      <c r="I2930" t="s"/>
      <c r="J2930" t="n">
        <v>0.4019</v>
      </c>
      <c r="K2930" t="n">
        <v>0</v>
      </c>
      <c r="L2930" t="n">
        <v>0.886</v>
      </c>
      <c r="M2930" t="n">
        <v>0.114</v>
      </c>
    </row>
    <row r="2931" spans="1:13">
      <c r="A2931" s="1">
        <f>HYPERLINK("http://www.twitter.com/NathanBLawrence/status/988655912612085760", "988655912612085760")</f>
        <v/>
      </c>
      <c r="B2931" s="2" t="n">
        <v>43214.24203703704</v>
      </c>
      <c r="C2931" t="n">
        <v>0</v>
      </c>
      <c r="D2931" t="n">
        <v>358</v>
      </c>
      <c r="E2931" t="s">
        <v>2938</v>
      </c>
      <c r="F2931" t="s"/>
      <c r="G2931" t="s"/>
      <c r="H2931" t="s"/>
      <c r="I2931" t="s"/>
      <c r="J2931" t="n">
        <v>0.4601</v>
      </c>
      <c r="K2931" t="n">
        <v>0.117</v>
      </c>
      <c r="L2931" t="n">
        <v>0.657</v>
      </c>
      <c r="M2931" t="n">
        <v>0.226</v>
      </c>
    </row>
    <row r="2932" spans="1:13">
      <c r="A2932" s="1">
        <f>HYPERLINK("http://www.twitter.com/NathanBLawrence/status/988655702582292480", "988655702582292480")</f>
        <v/>
      </c>
      <c r="B2932" s="2" t="n">
        <v>43214.24145833333</v>
      </c>
      <c r="C2932" t="n">
        <v>4</v>
      </c>
      <c r="D2932" t="n">
        <v>1</v>
      </c>
      <c r="E2932" t="s">
        <v>2939</v>
      </c>
      <c r="F2932" t="s"/>
      <c r="G2932" t="s"/>
      <c r="H2932" t="s"/>
      <c r="I2932" t="s"/>
      <c r="J2932" t="n">
        <v>0</v>
      </c>
      <c r="K2932" t="n">
        <v>0</v>
      </c>
      <c r="L2932" t="n">
        <v>1</v>
      </c>
      <c r="M2932" t="n">
        <v>0</v>
      </c>
    </row>
    <row r="2933" spans="1:13">
      <c r="A2933" s="1">
        <f>HYPERLINK("http://www.twitter.com/NathanBLawrence/status/988655223622135809", "988655223622135809")</f>
        <v/>
      </c>
      <c r="B2933" s="2" t="n">
        <v>43214.24013888889</v>
      </c>
      <c r="C2933" t="n">
        <v>0</v>
      </c>
      <c r="D2933" t="n">
        <v>3290</v>
      </c>
      <c r="E2933" t="s">
        <v>2940</v>
      </c>
      <c r="F2933" t="s"/>
      <c r="G2933" t="s"/>
      <c r="H2933" t="s"/>
      <c r="I2933" t="s"/>
      <c r="J2933" t="n">
        <v>0</v>
      </c>
      <c r="K2933" t="n">
        <v>0</v>
      </c>
      <c r="L2933" t="n">
        <v>1</v>
      </c>
      <c r="M2933" t="n">
        <v>0</v>
      </c>
    </row>
    <row r="2934" spans="1:13">
      <c r="A2934" s="1">
        <f>HYPERLINK("http://www.twitter.com/NathanBLawrence/status/988655174292881408", "988655174292881408")</f>
        <v/>
      </c>
      <c r="B2934" s="2" t="n">
        <v>43214.24</v>
      </c>
      <c r="C2934" t="n">
        <v>0</v>
      </c>
      <c r="D2934" t="n">
        <v>127</v>
      </c>
      <c r="E2934" t="s">
        <v>2941</v>
      </c>
      <c r="F2934">
        <f>HYPERLINK("http://pbs.twimg.com/media/DbQFhVvV4AA-M7G.jpg", "http://pbs.twimg.com/media/DbQFhVvV4AA-M7G.jpg")</f>
        <v/>
      </c>
      <c r="G2934" t="s"/>
      <c r="H2934" t="s"/>
      <c r="I2934" t="s"/>
      <c r="J2934" t="n">
        <v>0.3182</v>
      </c>
      <c r="K2934" t="n">
        <v>0</v>
      </c>
      <c r="L2934" t="n">
        <v>0.777</v>
      </c>
      <c r="M2934" t="n">
        <v>0.223</v>
      </c>
    </row>
    <row r="2935" spans="1:13">
      <c r="A2935" s="1">
        <f>HYPERLINK("http://www.twitter.com/NathanBLawrence/status/988655014640930816", "988655014640930816")</f>
        <v/>
      </c>
      <c r="B2935" s="2" t="n">
        <v>43214.23956018518</v>
      </c>
      <c r="C2935" t="n">
        <v>0</v>
      </c>
      <c r="D2935" t="n">
        <v>586</v>
      </c>
      <c r="E2935" t="s">
        <v>2942</v>
      </c>
      <c r="F2935" t="s"/>
      <c r="G2935" t="s"/>
      <c r="H2935" t="s"/>
      <c r="I2935" t="s"/>
      <c r="J2935" t="n">
        <v>-0.4795</v>
      </c>
      <c r="K2935" t="n">
        <v>0.135</v>
      </c>
      <c r="L2935" t="n">
        <v>0.865</v>
      </c>
      <c r="M2935" t="n">
        <v>0</v>
      </c>
    </row>
    <row r="2936" spans="1:13">
      <c r="A2936" s="1">
        <f>HYPERLINK("http://www.twitter.com/NathanBLawrence/status/988654933208518666", "988654933208518666")</f>
        <v/>
      </c>
      <c r="B2936" s="2" t="n">
        <v>43214.23934027777</v>
      </c>
      <c r="C2936" t="n">
        <v>0</v>
      </c>
      <c r="D2936" t="n">
        <v>2824</v>
      </c>
      <c r="E2936" t="s">
        <v>2943</v>
      </c>
      <c r="F2936" t="s"/>
      <c r="G2936" t="s"/>
      <c r="H2936" t="s"/>
      <c r="I2936" t="s"/>
      <c r="J2936" t="n">
        <v>0.1779</v>
      </c>
      <c r="K2936" t="n">
        <v>0</v>
      </c>
      <c r="L2936" t="n">
        <v>0.931</v>
      </c>
      <c r="M2936" t="n">
        <v>0.06900000000000001</v>
      </c>
    </row>
    <row r="2937" spans="1:13">
      <c r="A2937" s="1">
        <f>HYPERLINK("http://www.twitter.com/NathanBLawrence/status/988654845174296576", "988654845174296576")</f>
        <v/>
      </c>
      <c r="B2937" s="2" t="n">
        <v>43214.23909722222</v>
      </c>
      <c r="C2937" t="n">
        <v>0</v>
      </c>
      <c r="D2937" t="n">
        <v>1045</v>
      </c>
      <c r="E2937" t="s">
        <v>2944</v>
      </c>
      <c r="F2937">
        <f>HYPERLINK("http://pbs.twimg.com/media/DbVO0uXU0AAJ9Nv.jpg", "http://pbs.twimg.com/media/DbVO0uXU0AAJ9Nv.jpg")</f>
        <v/>
      </c>
      <c r="G2937" t="s"/>
      <c r="H2937" t="s"/>
      <c r="I2937" t="s"/>
      <c r="J2937" t="n">
        <v>0.2732</v>
      </c>
      <c r="K2937" t="n">
        <v>0</v>
      </c>
      <c r="L2937" t="n">
        <v>0.896</v>
      </c>
      <c r="M2937" t="n">
        <v>0.104</v>
      </c>
    </row>
    <row r="2938" spans="1:13">
      <c r="A2938" s="1">
        <f>HYPERLINK("http://www.twitter.com/NathanBLawrence/status/988654793324310528", "988654793324310528")</f>
        <v/>
      </c>
      <c r="B2938" s="2" t="n">
        <v>43214.23894675926</v>
      </c>
      <c r="C2938" t="n">
        <v>0</v>
      </c>
      <c r="D2938" t="n">
        <v>584</v>
      </c>
      <c r="E2938" t="s">
        <v>2945</v>
      </c>
      <c r="F2938" t="s"/>
      <c r="G2938" t="s"/>
      <c r="H2938" t="s"/>
      <c r="I2938" t="s"/>
      <c r="J2938" t="n">
        <v>-0.4767</v>
      </c>
      <c r="K2938" t="n">
        <v>0.134</v>
      </c>
      <c r="L2938" t="n">
        <v>0.866</v>
      </c>
      <c r="M2938" t="n">
        <v>0</v>
      </c>
    </row>
    <row r="2939" spans="1:13">
      <c r="A2939" s="1">
        <f>HYPERLINK("http://www.twitter.com/NathanBLawrence/status/988654453451452416", "988654453451452416")</f>
        <v/>
      </c>
      <c r="B2939" s="2" t="n">
        <v>43214.23800925926</v>
      </c>
      <c r="C2939" t="n">
        <v>0</v>
      </c>
      <c r="D2939" t="n">
        <v>305</v>
      </c>
      <c r="E2939" t="s">
        <v>2946</v>
      </c>
      <c r="F2939" t="s"/>
      <c r="G2939" t="s"/>
      <c r="H2939" t="s"/>
      <c r="I2939" t="s"/>
      <c r="J2939" t="n">
        <v>-0.631</v>
      </c>
      <c r="K2939" t="n">
        <v>0.191</v>
      </c>
      <c r="L2939" t="n">
        <v>0.6929999999999999</v>
      </c>
      <c r="M2939" t="n">
        <v>0.116</v>
      </c>
    </row>
    <row r="2940" spans="1:13">
      <c r="A2940" s="1">
        <f>HYPERLINK("http://www.twitter.com/NathanBLawrence/status/988654386975883265", "988654386975883265")</f>
        <v/>
      </c>
      <c r="B2940" s="2" t="n">
        <v>43214.23782407407</v>
      </c>
      <c r="C2940" t="n">
        <v>7</v>
      </c>
      <c r="D2940" t="n">
        <v>3</v>
      </c>
      <c r="E2940" t="s">
        <v>2947</v>
      </c>
      <c r="F2940" t="s"/>
      <c r="G2940" t="s"/>
      <c r="H2940" t="s"/>
      <c r="I2940" t="s"/>
      <c r="J2940" t="n">
        <v>0.1779</v>
      </c>
      <c r="K2940" t="n">
        <v>0.191</v>
      </c>
      <c r="L2940" t="n">
        <v>0.52</v>
      </c>
      <c r="M2940" t="n">
        <v>0.289</v>
      </c>
    </row>
    <row r="2941" spans="1:13">
      <c r="A2941" s="1">
        <f>HYPERLINK("http://www.twitter.com/NathanBLawrence/status/988654055000977408", "988654055000977408")</f>
        <v/>
      </c>
      <c r="B2941" s="2" t="n">
        <v>43214.23690972223</v>
      </c>
      <c r="C2941" t="n">
        <v>0</v>
      </c>
      <c r="D2941" t="n">
        <v>993</v>
      </c>
      <c r="E2941" t="s">
        <v>2948</v>
      </c>
      <c r="F2941" t="s"/>
      <c r="G2941" t="s"/>
      <c r="H2941" t="s"/>
      <c r="I2941" t="s"/>
      <c r="J2941" t="n">
        <v>-0.584</v>
      </c>
      <c r="K2941" t="n">
        <v>0.251</v>
      </c>
      <c r="L2941" t="n">
        <v>0.678</v>
      </c>
      <c r="M2941" t="n">
        <v>0.07099999999999999</v>
      </c>
    </row>
    <row r="2942" spans="1:13">
      <c r="A2942" s="1">
        <f>HYPERLINK("http://www.twitter.com/NathanBLawrence/status/988653987816591360", "988653987816591360")</f>
        <v/>
      </c>
      <c r="B2942" s="2" t="n">
        <v>43214.23672453704</v>
      </c>
      <c r="C2942" t="n">
        <v>0</v>
      </c>
      <c r="D2942" t="n">
        <v>2854</v>
      </c>
      <c r="E2942" t="s">
        <v>2949</v>
      </c>
      <c r="F2942" t="s"/>
      <c r="G2942" t="s"/>
      <c r="H2942" t="s"/>
      <c r="I2942" t="s"/>
      <c r="J2942" t="n">
        <v>-0.5829</v>
      </c>
      <c r="K2942" t="n">
        <v>0.244</v>
      </c>
      <c r="L2942" t="n">
        <v>0.612</v>
      </c>
      <c r="M2942" t="n">
        <v>0.144</v>
      </c>
    </row>
    <row r="2943" spans="1:13">
      <c r="A2943" s="1">
        <f>HYPERLINK("http://www.twitter.com/NathanBLawrence/status/988653456754851840", "988653456754851840")</f>
        <v/>
      </c>
      <c r="B2943" s="2" t="n">
        <v>43214.2352662037</v>
      </c>
      <c r="C2943" t="n">
        <v>0</v>
      </c>
      <c r="D2943" t="n">
        <v>1362</v>
      </c>
      <c r="E2943" t="s">
        <v>2950</v>
      </c>
      <c r="F2943" t="s"/>
      <c r="G2943" t="s"/>
      <c r="H2943" t="s"/>
      <c r="I2943" t="s"/>
      <c r="J2943" t="n">
        <v>-0.4939</v>
      </c>
      <c r="K2943" t="n">
        <v>0.122</v>
      </c>
      <c r="L2943" t="n">
        <v>0.878</v>
      </c>
      <c r="M2943" t="n">
        <v>0</v>
      </c>
    </row>
    <row r="2944" spans="1:13">
      <c r="A2944" s="1">
        <f>HYPERLINK("http://www.twitter.com/NathanBLawrence/status/988653166613811200", "988653166613811200")</f>
        <v/>
      </c>
      <c r="B2944" s="2" t="n">
        <v>43214.23445601852</v>
      </c>
      <c r="C2944" t="n">
        <v>0</v>
      </c>
      <c r="D2944" t="n">
        <v>2077</v>
      </c>
      <c r="E2944" t="s">
        <v>2951</v>
      </c>
      <c r="F2944">
        <f>HYPERLINK("http://pbs.twimg.com/media/Dbe590aVQAAewWN.jpg", "http://pbs.twimg.com/media/Dbe590aVQAAewWN.jpg")</f>
        <v/>
      </c>
      <c r="G2944" t="s"/>
      <c r="H2944" t="s"/>
      <c r="I2944" t="s"/>
      <c r="J2944" t="n">
        <v>-0.3182</v>
      </c>
      <c r="K2944" t="n">
        <v>0.133</v>
      </c>
      <c r="L2944" t="n">
        <v>0.788</v>
      </c>
      <c r="M2944" t="n">
        <v>0.079</v>
      </c>
    </row>
    <row r="2945" spans="1:13">
      <c r="A2945" s="1">
        <f>HYPERLINK("http://www.twitter.com/NathanBLawrence/status/988653114155614208", "988653114155614208")</f>
        <v/>
      </c>
      <c r="B2945" s="2" t="n">
        <v>43214.23431712963</v>
      </c>
      <c r="C2945" t="n">
        <v>0</v>
      </c>
      <c r="D2945" t="n">
        <v>341</v>
      </c>
      <c r="E2945" t="s">
        <v>2952</v>
      </c>
      <c r="F2945">
        <f>HYPERLINK("http://pbs.twimg.com/media/DbhGZqlV0AET4SG.jpg", "http://pbs.twimg.com/media/DbhGZqlV0AET4SG.jpg")</f>
        <v/>
      </c>
      <c r="G2945" t="s"/>
      <c r="H2945" t="s"/>
      <c r="I2945" t="s"/>
      <c r="J2945" t="n">
        <v>0.2023</v>
      </c>
      <c r="K2945" t="n">
        <v>0.141</v>
      </c>
      <c r="L2945" t="n">
        <v>0.625</v>
      </c>
      <c r="M2945" t="n">
        <v>0.234</v>
      </c>
    </row>
    <row r="2946" spans="1:13">
      <c r="A2946" s="1">
        <f>HYPERLINK("http://www.twitter.com/NathanBLawrence/status/988652541717106688", "988652541717106688")</f>
        <v/>
      </c>
      <c r="B2946" s="2" t="n">
        <v>43214.23273148148</v>
      </c>
      <c r="C2946" t="n">
        <v>4</v>
      </c>
      <c r="D2946" t="n">
        <v>3</v>
      </c>
      <c r="E2946" t="s">
        <v>2953</v>
      </c>
      <c r="F2946" t="s"/>
      <c r="G2946" t="s"/>
      <c r="H2946" t="s"/>
      <c r="I2946" t="s"/>
      <c r="J2946" t="n">
        <v>0</v>
      </c>
      <c r="K2946" t="n">
        <v>0</v>
      </c>
      <c r="L2946" t="n">
        <v>1</v>
      </c>
      <c r="M2946" t="n">
        <v>0</v>
      </c>
    </row>
    <row r="2947" spans="1:13">
      <c r="A2947" s="1">
        <f>HYPERLINK("http://www.twitter.com/NathanBLawrence/status/988652317980295168", "988652317980295168")</f>
        <v/>
      </c>
      <c r="B2947" s="2" t="n">
        <v>43214.23211805556</v>
      </c>
      <c r="C2947" t="n">
        <v>10</v>
      </c>
      <c r="D2947" t="n">
        <v>10</v>
      </c>
      <c r="E2947" t="s">
        <v>2954</v>
      </c>
      <c r="F2947" t="s"/>
      <c r="G2947" t="s"/>
      <c r="H2947" t="s"/>
      <c r="I2947" t="s"/>
      <c r="J2947" t="n">
        <v>-0.5719</v>
      </c>
      <c r="K2947" t="n">
        <v>0.181</v>
      </c>
      <c r="L2947" t="n">
        <v>0.726</v>
      </c>
      <c r="M2947" t="n">
        <v>0.093</v>
      </c>
    </row>
    <row r="2948" spans="1:13">
      <c r="A2948" s="1">
        <f>HYPERLINK("http://www.twitter.com/NathanBLawrence/status/988651934771920897", "988651934771920897")</f>
        <v/>
      </c>
      <c r="B2948" s="2" t="n">
        <v>43214.23106481481</v>
      </c>
      <c r="C2948" t="n">
        <v>31</v>
      </c>
      <c r="D2948" t="n">
        <v>18</v>
      </c>
      <c r="E2948" t="s">
        <v>2955</v>
      </c>
      <c r="F2948" t="s"/>
      <c r="G2948" t="s"/>
      <c r="H2948" t="s"/>
      <c r="I2948" t="s"/>
      <c r="J2948" t="n">
        <v>0.296</v>
      </c>
      <c r="K2948" t="n">
        <v>0.065</v>
      </c>
      <c r="L2948" t="n">
        <v>0.823</v>
      </c>
      <c r="M2948" t="n">
        <v>0.113</v>
      </c>
    </row>
    <row r="2949" spans="1:13">
      <c r="A2949" s="1">
        <f>HYPERLINK("http://www.twitter.com/NathanBLawrence/status/988650147054678016", "988650147054678016")</f>
        <v/>
      </c>
      <c r="B2949" s="2" t="n">
        <v>43214.22612268518</v>
      </c>
      <c r="C2949" t="n">
        <v>4</v>
      </c>
      <c r="D2949" t="n">
        <v>1</v>
      </c>
      <c r="E2949" t="s">
        <v>2956</v>
      </c>
      <c r="F2949" t="s"/>
      <c r="G2949" t="s"/>
      <c r="H2949" t="s"/>
      <c r="I2949" t="s"/>
      <c r="J2949" t="n">
        <v>-0.2732</v>
      </c>
      <c r="K2949" t="n">
        <v>0.08799999999999999</v>
      </c>
      <c r="L2949" t="n">
        <v>0.853</v>
      </c>
      <c r="M2949" t="n">
        <v>0.059</v>
      </c>
    </row>
    <row r="2950" spans="1:13">
      <c r="A2950" s="1">
        <f>HYPERLINK("http://www.twitter.com/NathanBLawrence/status/988649356218646528", "988649356218646528")</f>
        <v/>
      </c>
      <c r="B2950" s="2" t="n">
        <v>43214.22394675926</v>
      </c>
      <c r="C2950" t="n">
        <v>4</v>
      </c>
      <c r="D2950" t="n">
        <v>1</v>
      </c>
      <c r="E2950" t="s">
        <v>2957</v>
      </c>
      <c r="F2950" t="s"/>
      <c r="G2950" t="s"/>
      <c r="H2950" t="s"/>
      <c r="I2950" t="s"/>
      <c r="J2950" t="n">
        <v>-0.3382</v>
      </c>
      <c r="K2950" t="n">
        <v>0.121</v>
      </c>
      <c r="L2950" t="n">
        <v>0.806</v>
      </c>
      <c r="M2950" t="n">
        <v>0.074</v>
      </c>
    </row>
    <row r="2951" spans="1:13">
      <c r="A2951" s="1">
        <f>HYPERLINK("http://www.twitter.com/NathanBLawrence/status/988648659855134720", "988648659855134720")</f>
        <v/>
      </c>
      <c r="B2951" s="2" t="n">
        <v>43214.22202546296</v>
      </c>
      <c r="C2951" t="n">
        <v>0</v>
      </c>
      <c r="D2951" t="n">
        <v>14</v>
      </c>
      <c r="E2951" t="s">
        <v>2958</v>
      </c>
      <c r="F2951">
        <f>HYPERLINK("http://pbs.twimg.com/media/DbgBBhDV4AAfMls.jpg", "http://pbs.twimg.com/media/DbgBBhDV4AAfMls.jpg")</f>
        <v/>
      </c>
      <c r="G2951" t="s"/>
      <c r="H2951" t="s"/>
      <c r="I2951" t="s"/>
      <c r="J2951" t="n">
        <v>-0.541</v>
      </c>
      <c r="K2951" t="n">
        <v>0.222</v>
      </c>
      <c r="L2951" t="n">
        <v>0.681</v>
      </c>
      <c r="M2951" t="n">
        <v>0.097</v>
      </c>
    </row>
    <row r="2952" spans="1:13">
      <c r="A2952" s="1">
        <f>HYPERLINK("http://www.twitter.com/NathanBLawrence/status/988648525608058881", "988648525608058881")</f>
        <v/>
      </c>
      <c r="B2952" s="2" t="n">
        <v>43214.2216550926</v>
      </c>
      <c r="C2952" t="n">
        <v>0</v>
      </c>
      <c r="D2952" t="n">
        <v>304</v>
      </c>
      <c r="E2952" t="s">
        <v>2959</v>
      </c>
      <c r="F2952">
        <f>HYPERLINK("http://pbs.twimg.com/media/DbhPn4wXcAAhKX4.jpg", "http://pbs.twimg.com/media/DbhPn4wXcAAhKX4.jpg")</f>
        <v/>
      </c>
      <c r="G2952" t="s"/>
      <c r="H2952" t="s"/>
      <c r="I2952" t="s"/>
      <c r="J2952" t="n">
        <v>0.4359</v>
      </c>
      <c r="K2952" t="n">
        <v>0</v>
      </c>
      <c r="L2952" t="n">
        <v>0.88</v>
      </c>
      <c r="M2952" t="n">
        <v>0.12</v>
      </c>
    </row>
    <row r="2953" spans="1:13">
      <c r="A2953" s="1">
        <f>HYPERLINK("http://www.twitter.com/NathanBLawrence/status/988648054982000640", "988648054982000640")</f>
        <v/>
      </c>
      <c r="B2953" s="2" t="n">
        <v>43214.22035879629</v>
      </c>
      <c r="C2953" t="n">
        <v>0</v>
      </c>
      <c r="D2953" t="n">
        <v>259</v>
      </c>
      <c r="E2953" t="s">
        <v>2960</v>
      </c>
      <c r="F2953">
        <f>HYPERLINK("http://pbs.twimg.com/media/DbgpyGKVAAAgHqW.jpg", "http://pbs.twimg.com/media/DbgpyGKVAAAgHqW.jpg")</f>
        <v/>
      </c>
      <c r="G2953" t="s"/>
      <c r="H2953" t="s"/>
      <c r="I2953" t="s"/>
      <c r="J2953" t="n">
        <v>-0.902</v>
      </c>
      <c r="K2953" t="n">
        <v>0.395</v>
      </c>
      <c r="L2953" t="n">
        <v>0.605</v>
      </c>
      <c r="M2953" t="n">
        <v>0</v>
      </c>
    </row>
    <row r="2954" spans="1:13">
      <c r="A2954" s="1">
        <f>HYPERLINK("http://www.twitter.com/NathanBLawrence/status/988647764710993920", "988647764710993920")</f>
        <v/>
      </c>
      <c r="B2954" s="2" t="n">
        <v>43214.21954861111</v>
      </c>
      <c r="C2954" t="n">
        <v>3</v>
      </c>
      <c r="D2954" t="n">
        <v>1</v>
      </c>
      <c r="E2954" t="s">
        <v>2961</v>
      </c>
      <c r="F2954" t="s"/>
      <c r="G2954" t="s"/>
      <c r="H2954" t="s"/>
      <c r="I2954" t="s"/>
      <c r="J2954" t="n">
        <v>0</v>
      </c>
      <c r="K2954" t="n">
        <v>0</v>
      </c>
      <c r="L2954" t="n">
        <v>1</v>
      </c>
      <c r="M2954" t="n">
        <v>0</v>
      </c>
    </row>
    <row r="2955" spans="1:13">
      <c r="A2955" s="1">
        <f>HYPERLINK("http://www.twitter.com/NathanBLawrence/status/988647562407104512", "988647562407104512")</f>
        <v/>
      </c>
      <c r="B2955" s="2" t="n">
        <v>43214.21899305555</v>
      </c>
      <c r="C2955" t="n">
        <v>0</v>
      </c>
      <c r="D2955" t="n">
        <v>44</v>
      </c>
      <c r="E2955" t="s">
        <v>2962</v>
      </c>
      <c r="F2955">
        <f>HYPERLINK("http://pbs.twimg.com/media/DKtN0pIXoAcL0Ej.jpg", "http://pbs.twimg.com/media/DKtN0pIXoAcL0Ej.jpg")</f>
        <v/>
      </c>
      <c r="G2955" t="s"/>
      <c r="H2955" t="s"/>
      <c r="I2955" t="s"/>
      <c r="J2955" t="n">
        <v>0.7184</v>
      </c>
      <c r="K2955" t="n">
        <v>0</v>
      </c>
      <c r="L2955" t="n">
        <v>0.75</v>
      </c>
      <c r="M2955" t="n">
        <v>0.25</v>
      </c>
    </row>
    <row r="2956" spans="1:13">
      <c r="A2956" s="1">
        <f>HYPERLINK("http://www.twitter.com/NathanBLawrence/status/988647144981643264", "988647144981643264")</f>
        <v/>
      </c>
      <c r="B2956" s="2" t="n">
        <v>43214.21784722222</v>
      </c>
      <c r="C2956" t="n">
        <v>10</v>
      </c>
      <c r="D2956" t="n">
        <v>2</v>
      </c>
      <c r="E2956" t="s">
        <v>2963</v>
      </c>
      <c r="F2956" t="s"/>
      <c r="G2956" t="s"/>
      <c r="H2956" t="s"/>
      <c r="I2956" t="s"/>
      <c r="J2956" t="n">
        <v>0.8172</v>
      </c>
      <c r="K2956" t="n">
        <v>0</v>
      </c>
      <c r="L2956" t="n">
        <v>0.835</v>
      </c>
      <c r="M2956" t="n">
        <v>0.165</v>
      </c>
    </row>
    <row r="2957" spans="1:13">
      <c r="A2957" s="1">
        <f>HYPERLINK("http://www.twitter.com/NathanBLawrence/status/988646342980325376", "988646342980325376")</f>
        <v/>
      </c>
      <c r="B2957" s="2" t="n">
        <v>43214.215625</v>
      </c>
      <c r="C2957" t="n">
        <v>25</v>
      </c>
      <c r="D2957" t="n">
        <v>11</v>
      </c>
      <c r="E2957" t="s">
        <v>2964</v>
      </c>
      <c r="F2957" t="s"/>
      <c r="G2957" t="s"/>
      <c r="H2957" t="s"/>
      <c r="I2957" t="s"/>
      <c r="J2957" t="n">
        <v>-0.2304</v>
      </c>
      <c r="K2957" t="n">
        <v>0.112</v>
      </c>
      <c r="L2957" t="n">
        <v>0.744</v>
      </c>
      <c r="M2957" t="n">
        <v>0.143</v>
      </c>
    </row>
    <row r="2958" spans="1:13">
      <c r="A2958" s="1">
        <f>HYPERLINK("http://www.twitter.com/NathanBLawrence/status/988644644215902208", "988644644215902208")</f>
        <v/>
      </c>
      <c r="B2958" s="2" t="n">
        <v>43214.2109375</v>
      </c>
      <c r="C2958" t="n">
        <v>14</v>
      </c>
      <c r="D2958" t="n">
        <v>5</v>
      </c>
      <c r="E2958" t="s">
        <v>2965</v>
      </c>
      <c r="F2958" t="s"/>
      <c r="G2958" t="s"/>
      <c r="H2958" t="s"/>
      <c r="I2958" t="s"/>
      <c r="J2958" t="n">
        <v>0.126</v>
      </c>
      <c r="K2958" t="n">
        <v>0.061</v>
      </c>
      <c r="L2958" t="n">
        <v>0.864</v>
      </c>
      <c r="M2958" t="n">
        <v>0.075</v>
      </c>
    </row>
    <row r="2959" spans="1:13">
      <c r="A2959" s="1">
        <f>HYPERLINK("http://www.twitter.com/NathanBLawrence/status/988640731454558208", "988640731454558208")</f>
        <v/>
      </c>
      <c r="B2959" s="2" t="n">
        <v>43214.20015046297</v>
      </c>
      <c r="C2959" t="n">
        <v>0</v>
      </c>
      <c r="D2959" t="n">
        <v>2215</v>
      </c>
      <c r="E2959" t="s">
        <v>2966</v>
      </c>
      <c r="F2959">
        <f>HYPERLINK("http://pbs.twimg.com/media/DbfpdfwV4AAJbZk.jpg", "http://pbs.twimg.com/media/DbfpdfwV4AAJbZk.jpg")</f>
        <v/>
      </c>
      <c r="G2959" t="s"/>
      <c r="H2959" t="s"/>
      <c r="I2959" t="s"/>
      <c r="J2959" t="n">
        <v>0</v>
      </c>
      <c r="K2959" t="n">
        <v>0</v>
      </c>
      <c r="L2959" t="n">
        <v>1</v>
      </c>
      <c r="M2959" t="n">
        <v>0</v>
      </c>
    </row>
    <row r="2960" spans="1:13">
      <c r="A2960" s="1">
        <f>HYPERLINK("http://www.twitter.com/NathanBLawrence/status/988639959056707584", "988639959056707584")</f>
        <v/>
      </c>
      <c r="B2960" s="2" t="n">
        <v>43214.19800925926</v>
      </c>
      <c r="C2960" t="n">
        <v>0</v>
      </c>
      <c r="D2960" t="n">
        <v>18752</v>
      </c>
      <c r="E2960" t="s">
        <v>2967</v>
      </c>
      <c r="F2960" t="s"/>
      <c r="G2960" t="s"/>
      <c r="H2960" t="s"/>
      <c r="I2960" t="s"/>
      <c r="J2960" t="n">
        <v>-0.7783</v>
      </c>
      <c r="K2960" t="n">
        <v>0.264</v>
      </c>
      <c r="L2960" t="n">
        <v>0.736</v>
      </c>
      <c r="M2960" t="n">
        <v>0</v>
      </c>
    </row>
    <row r="2961" spans="1:13">
      <c r="A2961" s="1">
        <f>HYPERLINK("http://www.twitter.com/NathanBLawrence/status/988639709558521856", "988639709558521856")</f>
        <v/>
      </c>
      <c r="B2961" s="2" t="n">
        <v>43214.19732638889</v>
      </c>
      <c r="C2961" t="n">
        <v>6</v>
      </c>
      <c r="D2961" t="n">
        <v>4</v>
      </c>
      <c r="E2961" t="s">
        <v>2968</v>
      </c>
      <c r="F2961" t="s"/>
      <c r="G2961" t="s"/>
      <c r="H2961" t="s"/>
      <c r="I2961" t="s"/>
      <c r="J2961" t="n">
        <v>-0.75</v>
      </c>
      <c r="K2961" t="n">
        <v>0.299</v>
      </c>
      <c r="L2961" t="n">
        <v>0.701</v>
      </c>
      <c r="M2961" t="n">
        <v>0</v>
      </c>
    </row>
    <row r="2962" spans="1:13">
      <c r="A2962" s="1">
        <f>HYPERLINK("http://www.twitter.com/NathanBLawrence/status/988639658266447872", "988639658266447872")</f>
        <v/>
      </c>
      <c r="B2962" s="2" t="n">
        <v>43214.1971875</v>
      </c>
      <c r="C2962" t="n">
        <v>10</v>
      </c>
      <c r="D2962" t="n">
        <v>4</v>
      </c>
      <c r="E2962" t="s">
        <v>2969</v>
      </c>
      <c r="F2962" t="s"/>
      <c r="G2962" t="s"/>
      <c r="H2962" t="s"/>
      <c r="I2962" t="s"/>
      <c r="J2962" t="n">
        <v>0</v>
      </c>
      <c r="K2962" t="n">
        <v>0</v>
      </c>
      <c r="L2962" t="n">
        <v>1</v>
      </c>
      <c r="M2962" t="n">
        <v>0</v>
      </c>
    </row>
    <row r="2963" spans="1:13">
      <c r="A2963" s="1">
        <f>HYPERLINK("http://www.twitter.com/NathanBLawrence/status/988639413574946822", "988639413574946822")</f>
        <v/>
      </c>
      <c r="B2963" s="2" t="n">
        <v>43214.19650462963</v>
      </c>
      <c r="C2963" t="n">
        <v>11</v>
      </c>
      <c r="D2963" t="n">
        <v>5</v>
      </c>
      <c r="E2963" t="s">
        <v>2970</v>
      </c>
      <c r="F2963" t="s"/>
      <c r="G2963" t="s"/>
      <c r="H2963" t="s"/>
      <c r="I2963" t="s"/>
      <c r="J2963" t="n">
        <v>-0.5423</v>
      </c>
      <c r="K2963" t="n">
        <v>0.22</v>
      </c>
      <c r="L2963" t="n">
        <v>0.78</v>
      </c>
      <c r="M2963" t="n">
        <v>0</v>
      </c>
    </row>
    <row r="2964" spans="1:13">
      <c r="A2964" s="1">
        <f>HYPERLINK("http://www.twitter.com/NathanBLawrence/status/988639367622115328", "988639367622115328")</f>
        <v/>
      </c>
      <c r="B2964" s="2" t="n">
        <v>43214.19637731482</v>
      </c>
      <c r="C2964" t="n">
        <v>8</v>
      </c>
      <c r="D2964" t="n">
        <v>4</v>
      </c>
      <c r="E2964" t="s">
        <v>2971</v>
      </c>
      <c r="F2964" t="s"/>
      <c r="G2964" t="s"/>
      <c r="H2964" t="s"/>
      <c r="I2964" t="s"/>
      <c r="J2964" t="n">
        <v>-0.0601</v>
      </c>
      <c r="K2964" t="n">
        <v>0.188</v>
      </c>
      <c r="L2964" t="n">
        <v>0.669</v>
      </c>
      <c r="M2964" t="n">
        <v>0.142</v>
      </c>
    </row>
    <row r="2965" spans="1:13">
      <c r="A2965" s="1">
        <f>HYPERLINK("http://www.twitter.com/NathanBLawrence/status/988639187623555072", "988639187623555072")</f>
        <v/>
      </c>
      <c r="B2965" s="2" t="n">
        <v>43214.1958912037</v>
      </c>
      <c r="C2965" t="n">
        <v>4</v>
      </c>
      <c r="D2965" t="n">
        <v>3</v>
      </c>
      <c r="E2965" t="s">
        <v>2972</v>
      </c>
      <c r="F2965" t="s"/>
      <c r="G2965" t="s"/>
      <c r="H2965" t="s"/>
      <c r="I2965" t="s"/>
      <c r="J2965" t="n">
        <v>-0.8979</v>
      </c>
      <c r="K2965" t="n">
        <v>0.498</v>
      </c>
      <c r="L2965" t="n">
        <v>0.421</v>
      </c>
      <c r="M2965" t="n">
        <v>0.081</v>
      </c>
    </row>
    <row r="2966" spans="1:13">
      <c r="A2966" s="1">
        <f>HYPERLINK("http://www.twitter.com/NathanBLawrence/status/988638887273611264", "988638887273611264")</f>
        <v/>
      </c>
      <c r="B2966" s="2" t="n">
        <v>43214.19505787037</v>
      </c>
      <c r="C2966" t="n">
        <v>4</v>
      </c>
      <c r="D2966" t="n">
        <v>1</v>
      </c>
      <c r="E2966" t="s">
        <v>2973</v>
      </c>
      <c r="F2966" t="s"/>
      <c r="G2966" t="s"/>
      <c r="H2966" t="s"/>
      <c r="I2966" t="s"/>
      <c r="J2966" t="n">
        <v>-0.6597</v>
      </c>
      <c r="K2966" t="n">
        <v>0.252</v>
      </c>
      <c r="L2966" t="n">
        <v>0.748</v>
      </c>
      <c r="M2966" t="n">
        <v>0</v>
      </c>
    </row>
    <row r="2967" spans="1:13">
      <c r="A2967" s="1">
        <f>HYPERLINK("http://www.twitter.com/NathanBLawrence/status/988638775155703808", "988638775155703808")</f>
        <v/>
      </c>
      <c r="B2967" s="2" t="n">
        <v>43214.19474537037</v>
      </c>
      <c r="C2967" t="n">
        <v>8</v>
      </c>
      <c r="D2967" t="n">
        <v>2</v>
      </c>
      <c r="E2967" t="s">
        <v>2974</v>
      </c>
      <c r="F2967" t="s"/>
      <c r="G2967" t="s"/>
      <c r="H2967" t="s"/>
      <c r="I2967" t="s"/>
      <c r="J2967" t="n">
        <v>0</v>
      </c>
      <c r="K2967" t="n">
        <v>0</v>
      </c>
      <c r="L2967" t="n">
        <v>1</v>
      </c>
      <c r="M2967" t="n">
        <v>0</v>
      </c>
    </row>
    <row r="2968" spans="1:13">
      <c r="A2968" s="1">
        <f>HYPERLINK("http://www.twitter.com/NathanBLawrence/status/988638114888339457", "988638114888339457")</f>
        <v/>
      </c>
      <c r="B2968" s="2" t="n">
        <v>43214.19292824074</v>
      </c>
      <c r="C2968" t="n">
        <v>9</v>
      </c>
      <c r="D2968" t="n">
        <v>1</v>
      </c>
      <c r="E2968" t="s">
        <v>2975</v>
      </c>
      <c r="F2968" t="s"/>
      <c r="G2968" t="s"/>
      <c r="H2968" t="s"/>
      <c r="I2968" t="s"/>
      <c r="J2968" t="n">
        <v>-0.34</v>
      </c>
      <c r="K2968" t="n">
        <v>0.124</v>
      </c>
      <c r="L2968" t="n">
        <v>0.876</v>
      </c>
      <c r="M2968" t="n">
        <v>0</v>
      </c>
    </row>
    <row r="2969" spans="1:13">
      <c r="A2969" s="1">
        <f>HYPERLINK("http://www.twitter.com/NathanBLawrence/status/988638045908824065", "988638045908824065")</f>
        <v/>
      </c>
      <c r="B2969" s="2" t="n">
        <v>43214.19273148148</v>
      </c>
      <c r="C2969" t="n">
        <v>12</v>
      </c>
      <c r="D2969" t="n">
        <v>15</v>
      </c>
      <c r="E2969" t="s">
        <v>2976</v>
      </c>
      <c r="F2969" t="s"/>
      <c r="G2969" t="s"/>
      <c r="H2969" t="s"/>
      <c r="I2969" t="s"/>
      <c r="J2969" t="n">
        <v>0.7543</v>
      </c>
      <c r="K2969" t="n">
        <v>0</v>
      </c>
      <c r="L2969" t="n">
        <v>0.765</v>
      </c>
      <c r="M2969" t="n">
        <v>0.235</v>
      </c>
    </row>
    <row r="2970" spans="1:13">
      <c r="A2970" s="1">
        <f>HYPERLINK("http://www.twitter.com/NathanBLawrence/status/988637525970370560", "988637525970370560")</f>
        <v/>
      </c>
      <c r="B2970" s="2" t="n">
        <v>43214.1912962963</v>
      </c>
      <c r="C2970" t="n">
        <v>3</v>
      </c>
      <c r="D2970" t="n">
        <v>1</v>
      </c>
      <c r="E2970" t="s">
        <v>2977</v>
      </c>
      <c r="F2970" t="s"/>
      <c r="G2970" t="s"/>
      <c r="H2970" t="s"/>
      <c r="I2970" t="s"/>
      <c r="J2970" t="n">
        <v>0</v>
      </c>
      <c r="K2970" t="n">
        <v>0</v>
      </c>
      <c r="L2970" t="n">
        <v>1</v>
      </c>
      <c r="M2970" t="n">
        <v>0</v>
      </c>
    </row>
    <row r="2971" spans="1:13">
      <c r="A2971" s="1">
        <f>HYPERLINK("http://www.twitter.com/NathanBLawrence/status/988637368994316288", "988637368994316288")</f>
        <v/>
      </c>
      <c r="B2971" s="2" t="n">
        <v>43214.19086805556</v>
      </c>
      <c r="C2971" t="n">
        <v>3</v>
      </c>
      <c r="D2971" t="n">
        <v>1</v>
      </c>
      <c r="E2971" t="s">
        <v>2978</v>
      </c>
      <c r="F2971" t="s"/>
      <c r="G2971" t="s"/>
      <c r="H2971" t="s"/>
      <c r="I2971" t="s"/>
      <c r="J2971" t="n">
        <v>0.6249</v>
      </c>
      <c r="K2971" t="n">
        <v>0</v>
      </c>
      <c r="L2971" t="n">
        <v>0.806</v>
      </c>
      <c r="M2971" t="n">
        <v>0.194</v>
      </c>
    </row>
    <row r="2972" spans="1:13">
      <c r="A2972" s="1">
        <f>HYPERLINK("http://www.twitter.com/NathanBLawrence/status/988636269256196096", "988636269256196096")</f>
        <v/>
      </c>
      <c r="B2972" s="2" t="n">
        <v>43214.18783564815</v>
      </c>
      <c r="C2972" t="n">
        <v>4</v>
      </c>
      <c r="D2972" t="n">
        <v>1</v>
      </c>
      <c r="E2972" t="s">
        <v>2979</v>
      </c>
      <c r="F2972" t="s"/>
      <c r="G2972" t="s"/>
      <c r="H2972" t="s"/>
      <c r="I2972" t="s"/>
      <c r="J2972" t="n">
        <v>0</v>
      </c>
      <c r="K2972" t="n">
        <v>0</v>
      </c>
      <c r="L2972" t="n">
        <v>1</v>
      </c>
      <c r="M2972" t="n">
        <v>0</v>
      </c>
    </row>
    <row r="2973" spans="1:13">
      <c r="A2973" s="1">
        <f>HYPERLINK("http://www.twitter.com/NathanBLawrence/status/988635435176902656", "988635435176902656")</f>
        <v/>
      </c>
      <c r="B2973" s="2" t="n">
        <v>43214.18553240741</v>
      </c>
      <c r="C2973" t="n">
        <v>12</v>
      </c>
      <c r="D2973" t="n">
        <v>3</v>
      </c>
      <c r="E2973" t="s">
        <v>2980</v>
      </c>
      <c r="F2973" t="s"/>
      <c r="G2973" t="s"/>
      <c r="H2973" t="s"/>
      <c r="I2973" t="s"/>
      <c r="J2973" t="n">
        <v>-0.4404</v>
      </c>
      <c r="K2973" t="n">
        <v>0.145</v>
      </c>
      <c r="L2973" t="n">
        <v>0.855</v>
      </c>
      <c r="M2973" t="n">
        <v>0</v>
      </c>
    </row>
    <row r="2974" spans="1:13">
      <c r="A2974" s="1">
        <f>HYPERLINK("http://www.twitter.com/NathanBLawrence/status/988634669095649280", "988634669095649280")</f>
        <v/>
      </c>
      <c r="B2974" s="2" t="n">
        <v>43214.18341435185</v>
      </c>
      <c r="C2974" t="n">
        <v>5</v>
      </c>
      <c r="D2974" t="n">
        <v>7</v>
      </c>
      <c r="E2974" t="s">
        <v>2981</v>
      </c>
      <c r="F2974" t="s"/>
      <c r="G2974" t="s"/>
      <c r="H2974" t="s"/>
      <c r="I2974" t="s"/>
      <c r="J2974" t="n">
        <v>0</v>
      </c>
      <c r="K2974" t="n">
        <v>0</v>
      </c>
      <c r="L2974" t="n">
        <v>1</v>
      </c>
      <c r="M2974" t="n">
        <v>0</v>
      </c>
    </row>
    <row r="2975" spans="1:13">
      <c r="A2975" s="1">
        <f>HYPERLINK("http://www.twitter.com/NathanBLawrence/status/988634444348080128", "988634444348080128")</f>
        <v/>
      </c>
      <c r="B2975" s="2" t="n">
        <v>43214.18280092593</v>
      </c>
      <c r="C2975" t="n">
        <v>3</v>
      </c>
      <c r="D2975" t="n">
        <v>1</v>
      </c>
      <c r="E2975" t="s">
        <v>2982</v>
      </c>
      <c r="F2975" t="s"/>
      <c r="G2975" t="s"/>
      <c r="H2975" t="s"/>
      <c r="I2975" t="s"/>
      <c r="J2975" t="n">
        <v>0</v>
      </c>
      <c r="K2975" t="n">
        <v>0</v>
      </c>
      <c r="L2975" t="n">
        <v>1</v>
      </c>
      <c r="M2975" t="n">
        <v>0</v>
      </c>
    </row>
    <row r="2976" spans="1:13">
      <c r="A2976" s="1">
        <f>HYPERLINK("http://www.twitter.com/NathanBLawrence/status/988634011802025984", "988634011802025984")</f>
        <v/>
      </c>
      <c r="B2976" s="2" t="n">
        <v>43214.18160879629</v>
      </c>
      <c r="C2976" t="n">
        <v>7</v>
      </c>
      <c r="D2976" t="n">
        <v>2</v>
      </c>
      <c r="E2976" t="s">
        <v>2983</v>
      </c>
      <c r="F2976" t="s"/>
      <c r="G2976" t="s"/>
      <c r="H2976" t="s"/>
      <c r="I2976" t="s"/>
      <c r="J2976" t="n">
        <v>0.3384</v>
      </c>
      <c r="K2976" t="n">
        <v>0.13</v>
      </c>
      <c r="L2976" t="n">
        <v>0.673</v>
      </c>
      <c r="M2976" t="n">
        <v>0.197</v>
      </c>
    </row>
    <row r="2977" spans="1:13">
      <c r="A2977" s="1">
        <f>HYPERLINK("http://www.twitter.com/NathanBLawrence/status/988633697606750208", "988633697606750208")</f>
        <v/>
      </c>
      <c r="B2977" s="2" t="n">
        <v>43214.18074074074</v>
      </c>
      <c r="C2977" t="n">
        <v>6</v>
      </c>
      <c r="D2977" t="n">
        <v>2</v>
      </c>
      <c r="E2977" t="s">
        <v>2901</v>
      </c>
      <c r="F2977" t="s"/>
      <c r="G2977" t="s"/>
      <c r="H2977" t="s"/>
      <c r="I2977" t="s"/>
      <c r="J2977" t="n">
        <v>-0.4019</v>
      </c>
      <c r="K2977" t="n">
        <v>0.177</v>
      </c>
      <c r="L2977" t="n">
        <v>0.743</v>
      </c>
      <c r="M2977" t="n">
        <v>0.08</v>
      </c>
    </row>
    <row r="2978" spans="1:13">
      <c r="A2978" s="1">
        <f>HYPERLINK("http://www.twitter.com/NathanBLawrence/status/988633362863538177", "988633362863538177")</f>
        <v/>
      </c>
      <c r="B2978" s="2" t="n">
        <v>43214.17981481482</v>
      </c>
      <c r="C2978" t="n">
        <v>14</v>
      </c>
      <c r="D2978" t="n">
        <v>10</v>
      </c>
      <c r="E2978" t="s">
        <v>2984</v>
      </c>
      <c r="F2978" t="s"/>
      <c r="G2978" t="s"/>
      <c r="H2978" t="s"/>
      <c r="I2978" t="s"/>
      <c r="J2978" t="n">
        <v>-0.34</v>
      </c>
      <c r="K2978" t="n">
        <v>0.118</v>
      </c>
      <c r="L2978" t="n">
        <v>0.882</v>
      </c>
      <c r="M2978" t="n">
        <v>0</v>
      </c>
    </row>
    <row r="2979" spans="1:13">
      <c r="A2979" s="1">
        <f>HYPERLINK("http://www.twitter.com/NathanBLawrence/status/988633094411272193", "988633094411272193")</f>
        <v/>
      </c>
      <c r="B2979" s="2" t="n">
        <v>43214.17907407408</v>
      </c>
      <c r="C2979" t="n">
        <v>6</v>
      </c>
      <c r="D2979" t="n">
        <v>2</v>
      </c>
      <c r="E2979" t="s">
        <v>2985</v>
      </c>
      <c r="F2979" t="s"/>
      <c r="G2979" t="s"/>
      <c r="H2979" t="s"/>
      <c r="I2979" t="s"/>
      <c r="J2979" t="n">
        <v>0.128</v>
      </c>
      <c r="K2979" t="n">
        <v>0</v>
      </c>
      <c r="L2979" t="n">
        <v>0.87</v>
      </c>
      <c r="M2979" t="n">
        <v>0.13</v>
      </c>
    </row>
    <row r="2980" spans="1:13">
      <c r="A2980" s="1">
        <f>HYPERLINK("http://www.twitter.com/NathanBLawrence/status/988632929042550784", "988632929042550784")</f>
        <v/>
      </c>
      <c r="B2980" s="2" t="n">
        <v>43214.17861111111</v>
      </c>
      <c r="C2980" t="n">
        <v>15</v>
      </c>
      <c r="D2980" t="n">
        <v>6</v>
      </c>
      <c r="E2980" t="s">
        <v>2986</v>
      </c>
      <c r="F2980" t="s"/>
      <c r="G2980" t="s"/>
      <c r="H2980" t="s"/>
      <c r="I2980" t="s"/>
      <c r="J2980" t="n">
        <v>0.2846</v>
      </c>
      <c r="K2980" t="n">
        <v>0</v>
      </c>
      <c r="L2980" t="n">
        <v>0.893</v>
      </c>
      <c r="M2980" t="n">
        <v>0.107</v>
      </c>
    </row>
    <row r="2981" spans="1:13">
      <c r="A2981" s="1">
        <f>HYPERLINK("http://www.twitter.com/NathanBLawrence/status/988631459895263232", "988631459895263232")</f>
        <v/>
      </c>
      <c r="B2981" s="2" t="n">
        <v>43214.17456018519</v>
      </c>
      <c r="C2981" t="n">
        <v>13</v>
      </c>
      <c r="D2981" t="n">
        <v>9</v>
      </c>
      <c r="E2981" t="s">
        <v>2987</v>
      </c>
      <c r="F2981" t="s"/>
      <c r="G2981" t="s"/>
      <c r="H2981" t="s"/>
      <c r="I2981" t="s"/>
      <c r="J2981" t="n">
        <v>0</v>
      </c>
      <c r="K2981" t="n">
        <v>0</v>
      </c>
      <c r="L2981" t="n">
        <v>1</v>
      </c>
      <c r="M2981" t="n">
        <v>0</v>
      </c>
    </row>
    <row r="2982" spans="1:13">
      <c r="A2982" s="1">
        <f>HYPERLINK("http://www.twitter.com/NathanBLawrence/status/988631034693468160", "988631034693468160")</f>
        <v/>
      </c>
      <c r="B2982" s="2" t="n">
        <v>43214.1733912037</v>
      </c>
      <c r="C2982" t="n">
        <v>13</v>
      </c>
      <c r="D2982" t="n">
        <v>5</v>
      </c>
      <c r="E2982" t="s">
        <v>2988</v>
      </c>
      <c r="F2982" t="s"/>
      <c r="G2982" t="s"/>
      <c r="H2982" t="s"/>
      <c r="I2982" t="s"/>
      <c r="J2982" t="n">
        <v>-0.4215</v>
      </c>
      <c r="K2982" t="n">
        <v>0.074</v>
      </c>
      <c r="L2982" t="n">
        <v>0.926</v>
      </c>
      <c r="M2982" t="n">
        <v>0</v>
      </c>
    </row>
    <row r="2983" spans="1:13">
      <c r="A2983" s="1">
        <f>HYPERLINK("http://www.twitter.com/NathanBLawrence/status/988630028513492994", "988630028513492994")</f>
        <v/>
      </c>
      <c r="B2983" s="2" t="n">
        <v>43214.17061342593</v>
      </c>
      <c r="C2983" t="n">
        <v>14</v>
      </c>
      <c r="D2983" t="n">
        <v>6</v>
      </c>
      <c r="E2983" t="s">
        <v>2989</v>
      </c>
      <c r="F2983" t="s"/>
      <c r="G2983" t="s"/>
      <c r="H2983" t="s"/>
      <c r="I2983" t="s"/>
      <c r="J2983" t="n">
        <v>0.1759</v>
      </c>
      <c r="K2983" t="n">
        <v>0.136</v>
      </c>
      <c r="L2983" t="n">
        <v>0.713</v>
      </c>
      <c r="M2983" t="n">
        <v>0.152</v>
      </c>
    </row>
    <row r="2984" spans="1:13">
      <c r="A2984" s="1">
        <f>HYPERLINK("http://www.twitter.com/NathanBLawrence/status/988629483086168065", "988629483086168065")</f>
        <v/>
      </c>
      <c r="B2984" s="2" t="n">
        <v>43214.1691087963</v>
      </c>
      <c r="C2984" t="n">
        <v>1</v>
      </c>
      <c r="D2984" t="n">
        <v>0</v>
      </c>
      <c r="E2984" t="s">
        <v>2990</v>
      </c>
      <c r="F2984" t="s"/>
      <c r="G2984" t="s"/>
      <c r="H2984" t="s"/>
      <c r="I2984" t="s"/>
      <c r="J2984" t="n">
        <v>0.7574</v>
      </c>
      <c r="K2984" t="n">
        <v>0</v>
      </c>
      <c r="L2984" t="n">
        <v>0.236</v>
      </c>
      <c r="M2984" t="n">
        <v>0.764</v>
      </c>
    </row>
    <row r="2985" spans="1:13">
      <c r="A2985" s="1">
        <f>HYPERLINK("http://www.twitter.com/NathanBLawrence/status/988628747728314368", "988628747728314368")</f>
        <v/>
      </c>
      <c r="B2985" s="2" t="n">
        <v>43214.16707175926</v>
      </c>
      <c r="C2985" t="n">
        <v>12</v>
      </c>
      <c r="D2985" t="n">
        <v>5</v>
      </c>
      <c r="E2985" t="s">
        <v>2991</v>
      </c>
      <c r="F2985" t="s"/>
      <c r="G2985" t="s"/>
      <c r="H2985" t="s"/>
      <c r="I2985" t="s"/>
      <c r="J2985" t="n">
        <v>0.4926</v>
      </c>
      <c r="K2985" t="n">
        <v>0</v>
      </c>
      <c r="L2985" t="n">
        <v>0.849</v>
      </c>
      <c r="M2985" t="n">
        <v>0.151</v>
      </c>
    </row>
    <row r="2986" spans="1:13">
      <c r="A2986" s="1">
        <f>HYPERLINK("http://www.twitter.com/NathanBLawrence/status/988628422321618944", "988628422321618944")</f>
        <v/>
      </c>
      <c r="B2986" s="2" t="n">
        <v>43214.16618055556</v>
      </c>
      <c r="C2986" t="n">
        <v>8</v>
      </c>
      <c r="D2986" t="n">
        <v>3</v>
      </c>
      <c r="E2986" t="s">
        <v>2992</v>
      </c>
      <c r="F2986" t="s"/>
      <c r="G2986" t="s"/>
      <c r="H2986" t="s"/>
      <c r="I2986" t="s"/>
      <c r="J2986" t="n">
        <v>-0.1779</v>
      </c>
      <c r="K2986" t="n">
        <v>0.08500000000000001</v>
      </c>
      <c r="L2986" t="n">
        <v>0.85</v>
      </c>
      <c r="M2986" t="n">
        <v>0.065</v>
      </c>
    </row>
    <row r="2987" spans="1:13">
      <c r="A2987" s="1">
        <f>HYPERLINK("http://www.twitter.com/NathanBLawrence/status/988624053744287744", "988624053744287744")</f>
        <v/>
      </c>
      <c r="B2987" s="2" t="n">
        <v>43214.15412037037</v>
      </c>
      <c r="C2987" t="n">
        <v>16</v>
      </c>
      <c r="D2987" t="n">
        <v>4</v>
      </c>
      <c r="E2987" t="s">
        <v>2993</v>
      </c>
      <c r="F2987" t="s"/>
      <c r="G2987" t="s"/>
      <c r="H2987" t="s"/>
      <c r="I2987" t="s"/>
      <c r="J2987" t="n">
        <v>-0.8689</v>
      </c>
      <c r="K2987" t="n">
        <v>0.388</v>
      </c>
      <c r="L2987" t="n">
        <v>0.612</v>
      </c>
      <c r="M2987" t="n">
        <v>0</v>
      </c>
    </row>
    <row r="2988" spans="1:13">
      <c r="A2988" s="1">
        <f>HYPERLINK("http://www.twitter.com/NathanBLawrence/status/988621193392488449", "988621193392488449")</f>
        <v/>
      </c>
      <c r="B2988" s="2" t="n">
        <v>43214.14622685185</v>
      </c>
      <c r="C2988" t="n">
        <v>23</v>
      </c>
      <c r="D2988" t="n">
        <v>4</v>
      </c>
      <c r="E2988" t="s">
        <v>2994</v>
      </c>
      <c r="F2988" t="s"/>
      <c r="G2988" t="s"/>
      <c r="H2988" t="s"/>
      <c r="I2988" t="s"/>
      <c r="J2988" t="n">
        <v>-0.7739</v>
      </c>
      <c r="K2988" t="n">
        <v>0.167</v>
      </c>
      <c r="L2988" t="n">
        <v>0.787</v>
      </c>
      <c r="M2988" t="n">
        <v>0.046</v>
      </c>
    </row>
    <row r="2989" spans="1:13">
      <c r="A2989" s="1">
        <f>HYPERLINK("http://www.twitter.com/NathanBLawrence/status/988620519225278464", "988620519225278464")</f>
        <v/>
      </c>
      <c r="B2989" s="2" t="n">
        <v>43214.144375</v>
      </c>
      <c r="C2989" t="n">
        <v>19</v>
      </c>
      <c r="D2989" t="n">
        <v>10</v>
      </c>
      <c r="E2989" t="s">
        <v>2995</v>
      </c>
      <c r="F2989" t="s"/>
      <c r="G2989" t="s"/>
      <c r="H2989" t="s"/>
      <c r="I2989" t="s"/>
      <c r="J2989" t="n">
        <v>-0.7955</v>
      </c>
      <c r="K2989" t="n">
        <v>0.208</v>
      </c>
      <c r="L2989" t="n">
        <v>0.792</v>
      </c>
      <c r="M2989" t="n">
        <v>0</v>
      </c>
    </row>
    <row r="2990" spans="1:13">
      <c r="A2990" s="1">
        <f>HYPERLINK("http://www.twitter.com/NathanBLawrence/status/988618540553940992", "988618540553940992")</f>
        <v/>
      </c>
      <c r="B2990" s="2" t="n">
        <v>43214.13891203704</v>
      </c>
      <c r="C2990" t="n">
        <v>15</v>
      </c>
      <c r="D2990" t="n">
        <v>9</v>
      </c>
      <c r="E2990" t="s">
        <v>2996</v>
      </c>
      <c r="F2990" t="s"/>
      <c r="G2990" t="s"/>
      <c r="H2990" t="s"/>
      <c r="I2990" t="s"/>
      <c r="J2990" t="n">
        <v>0.7574</v>
      </c>
      <c r="K2990" t="n">
        <v>0.095</v>
      </c>
      <c r="L2990" t="n">
        <v>0.665</v>
      </c>
      <c r="M2990" t="n">
        <v>0.239</v>
      </c>
    </row>
    <row r="2991" spans="1:13">
      <c r="A2991" s="1">
        <f>HYPERLINK("http://www.twitter.com/NathanBLawrence/status/988614976892891143", "988614976892891143")</f>
        <v/>
      </c>
      <c r="B2991" s="2" t="n">
        <v>43214.12907407407</v>
      </c>
      <c r="C2991" t="n">
        <v>5</v>
      </c>
      <c r="D2991" t="n">
        <v>2</v>
      </c>
      <c r="E2991" t="s">
        <v>2997</v>
      </c>
      <c r="F2991" t="s"/>
      <c r="G2991" t="s"/>
      <c r="H2991" t="s"/>
      <c r="I2991" t="s"/>
      <c r="J2991" t="n">
        <v>-0.4976</v>
      </c>
      <c r="K2991" t="n">
        <v>0.161</v>
      </c>
      <c r="L2991" t="n">
        <v>0.839</v>
      </c>
      <c r="M2991" t="n">
        <v>0</v>
      </c>
    </row>
    <row r="2992" spans="1:13">
      <c r="A2992" s="1">
        <f>HYPERLINK("http://www.twitter.com/NathanBLawrence/status/988612844672303104", "988612844672303104")</f>
        <v/>
      </c>
      <c r="B2992" s="2" t="n">
        <v>43214.12319444444</v>
      </c>
      <c r="C2992" t="n">
        <v>0</v>
      </c>
      <c r="D2992" t="n">
        <v>164</v>
      </c>
      <c r="E2992" t="s">
        <v>2998</v>
      </c>
      <c r="F2992">
        <f>HYPERLINK("http://pbs.twimg.com/media/DavbN4rW4AAKerq.jpg", "http://pbs.twimg.com/media/DavbN4rW4AAKerq.jpg")</f>
        <v/>
      </c>
      <c r="G2992" t="s"/>
      <c r="H2992" t="s"/>
      <c r="I2992" t="s"/>
      <c r="J2992" t="n">
        <v>-0.6908</v>
      </c>
      <c r="K2992" t="n">
        <v>0.401</v>
      </c>
      <c r="L2992" t="n">
        <v>0.599</v>
      </c>
      <c r="M2992" t="n">
        <v>0</v>
      </c>
    </row>
    <row r="2993" spans="1:13">
      <c r="A2993" s="1">
        <f>HYPERLINK("http://www.twitter.com/NathanBLawrence/status/988612744017399808", "988612744017399808")</f>
        <v/>
      </c>
      <c r="B2993" s="2" t="n">
        <v>43214.12291666667</v>
      </c>
      <c r="C2993" t="n">
        <v>20</v>
      </c>
      <c r="D2993" t="n">
        <v>10</v>
      </c>
      <c r="E2993" t="s">
        <v>2999</v>
      </c>
      <c r="F2993" t="s"/>
      <c r="G2993" t="s"/>
      <c r="H2993" t="s"/>
      <c r="I2993" t="s"/>
      <c r="J2993" t="n">
        <v>-0.3182</v>
      </c>
      <c r="K2993" t="n">
        <v>0.099</v>
      </c>
      <c r="L2993" t="n">
        <v>0.901</v>
      </c>
      <c r="M2993" t="n">
        <v>0</v>
      </c>
    </row>
    <row r="2994" spans="1:13">
      <c r="A2994" s="1">
        <f>HYPERLINK("http://www.twitter.com/NathanBLawrence/status/988612548873211904", "988612548873211904")</f>
        <v/>
      </c>
      <c r="B2994" s="2" t="n">
        <v>43214.12237268518</v>
      </c>
      <c r="C2994" t="n">
        <v>2</v>
      </c>
      <c r="D2994" t="n">
        <v>0</v>
      </c>
      <c r="E2994" t="s">
        <v>3000</v>
      </c>
      <c r="F2994" t="s"/>
      <c r="G2994" t="s"/>
      <c r="H2994" t="s"/>
      <c r="I2994" t="s"/>
      <c r="J2994" t="n">
        <v>-0.6166</v>
      </c>
      <c r="K2994" t="n">
        <v>0.192</v>
      </c>
      <c r="L2994" t="n">
        <v>0.8080000000000001</v>
      </c>
      <c r="M2994" t="n">
        <v>0</v>
      </c>
    </row>
    <row r="2995" spans="1:13">
      <c r="A2995" s="1">
        <f>HYPERLINK("http://www.twitter.com/NathanBLawrence/status/988611779587489792", "988611779587489792")</f>
        <v/>
      </c>
      <c r="B2995" s="2" t="n">
        <v>43214.12025462963</v>
      </c>
      <c r="C2995" t="n">
        <v>0</v>
      </c>
      <c r="D2995" t="n">
        <v>6178</v>
      </c>
      <c r="E2995" t="s">
        <v>3001</v>
      </c>
      <c r="F2995">
        <f>HYPERLINK("https://video.twimg.com/ext_tw_video/988152794925297664/pu/vid/638x360/huDuKEUDqtPLyiFD.mp4?tag=3", "https://video.twimg.com/ext_tw_video/988152794925297664/pu/vid/638x360/huDuKEUDqtPLyiFD.mp4?tag=3")</f>
        <v/>
      </c>
      <c r="G2995" t="s"/>
      <c r="H2995" t="s"/>
      <c r="I2995" t="s"/>
      <c r="J2995" t="n">
        <v>0</v>
      </c>
      <c r="K2995" t="n">
        <v>0</v>
      </c>
      <c r="L2995" t="n">
        <v>1</v>
      </c>
      <c r="M2995" t="n">
        <v>0</v>
      </c>
    </row>
    <row r="2996" spans="1:13">
      <c r="A2996" s="1">
        <f>HYPERLINK("http://www.twitter.com/NathanBLawrence/status/988610237903994881", "988610237903994881")</f>
        <v/>
      </c>
      <c r="B2996" s="2" t="n">
        <v>43214.11599537037</v>
      </c>
      <c r="C2996" t="n">
        <v>0</v>
      </c>
      <c r="D2996" t="n">
        <v>339</v>
      </c>
      <c r="E2996" t="s">
        <v>3002</v>
      </c>
      <c r="F2996" t="s"/>
      <c r="G2996" t="s"/>
      <c r="H2996" t="s"/>
      <c r="I2996" t="s"/>
      <c r="J2996" t="n">
        <v>0</v>
      </c>
      <c r="K2996" t="n">
        <v>0</v>
      </c>
      <c r="L2996" t="n">
        <v>1</v>
      </c>
      <c r="M2996" t="n">
        <v>0</v>
      </c>
    </row>
    <row r="2997" spans="1:13">
      <c r="A2997" s="1">
        <f>HYPERLINK("http://www.twitter.com/NathanBLawrence/status/988609862790627329", "988609862790627329")</f>
        <v/>
      </c>
      <c r="B2997" s="2" t="n">
        <v>43214.11496527777</v>
      </c>
      <c r="C2997" t="n">
        <v>8</v>
      </c>
      <c r="D2997" t="n">
        <v>1</v>
      </c>
      <c r="E2997" t="s">
        <v>3003</v>
      </c>
      <c r="F2997" t="s"/>
      <c r="G2997" t="s"/>
      <c r="H2997" t="s"/>
      <c r="I2997" t="s"/>
      <c r="J2997" t="n">
        <v>-0.3736</v>
      </c>
      <c r="K2997" t="n">
        <v>0.125</v>
      </c>
      <c r="L2997" t="n">
        <v>0.875</v>
      </c>
      <c r="M2997" t="n">
        <v>0</v>
      </c>
    </row>
    <row r="2998" spans="1:13">
      <c r="A2998" s="1">
        <f>HYPERLINK("http://www.twitter.com/NathanBLawrence/status/988609681110138880", "988609681110138880")</f>
        <v/>
      </c>
      <c r="B2998" s="2" t="n">
        <v>43214.11446759259</v>
      </c>
      <c r="C2998" t="n">
        <v>0</v>
      </c>
      <c r="D2998" t="n">
        <v>2950</v>
      </c>
      <c r="E2998" t="s">
        <v>3004</v>
      </c>
      <c r="F2998" t="s"/>
      <c r="G2998" t="s"/>
      <c r="H2998" t="s"/>
      <c r="I2998" t="s"/>
      <c r="J2998" t="n">
        <v>-0.128</v>
      </c>
      <c r="K2998" t="n">
        <v>0.225</v>
      </c>
      <c r="L2998" t="n">
        <v>0.622</v>
      </c>
      <c r="M2998" t="n">
        <v>0.153</v>
      </c>
    </row>
    <row r="2999" spans="1:13">
      <c r="A2999" s="1">
        <f>HYPERLINK("http://www.twitter.com/NathanBLawrence/status/988607838137204736", "988607838137204736")</f>
        <v/>
      </c>
      <c r="B2999" s="2" t="n">
        <v>43214.109375</v>
      </c>
      <c r="C2999" t="n">
        <v>17</v>
      </c>
      <c r="D2999" t="n">
        <v>3</v>
      </c>
      <c r="E2999" t="s">
        <v>3005</v>
      </c>
      <c r="F2999" t="s"/>
      <c r="G2999" t="s"/>
      <c r="H2999" t="s"/>
      <c r="I2999" t="s"/>
      <c r="J2999" t="n">
        <v>-0.6114000000000001</v>
      </c>
      <c r="K2999" t="n">
        <v>0.255</v>
      </c>
      <c r="L2999" t="n">
        <v>0.639</v>
      </c>
      <c r="M2999" t="n">
        <v>0.105</v>
      </c>
    </row>
    <row r="3000" spans="1:13">
      <c r="A3000" s="1">
        <f>HYPERLINK("http://www.twitter.com/NathanBLawrence/status/988607025851465729", "988607025851465729")</f>
        <v/>
      </c>
      <c r="B3000" s="2" t="n">
        <v>43214.10714120371</v>
      </c>
      <c r="C3000" t="n">
        <v>6</v>
      </c>
      <c r="D3000" t="n">
        <v>2</v>
      </c>
      <c r="E3000" t="s">
        <v>3006</v>
      </c>
      <c r="F3000" t="s"/>
      <c r="G3000" t="s"/>
      <c r="H3000" t="s"/>
      <c r="I3000" t="s"/>
      <c r="J3000" t="n">
        <v>0</v>
      </c>
      <c r="K3000" t="n">
        <v>0</v>
      </c>
      <c r="L3000" t="n">
        <v>1</v>
      </c>
      <c r="M3000" t="n">
        <v>0</v>
      </c>
    </row>
    <row r="3001" spans="1:13">
      <c r="A3001" s="1">
        <f>HYPERLINK("http://www.twitter.com/NathanBLawrence/status/988606757852229632", "988606757852229632")</f>
        <v/>
      </c>
      <c r="B3001" s="2" t="n">
        <v>43214.10640046297</v>
      </c>
      <c r="C3001" t="n">
        <v>0</v>
      </c>
      <c r="D3001" t="n">
        <v>225</v>
      </c>
      <c r="E3001" t="s">
        <v>3007</v>
      </c>
      <c r="F3001" t="s"/>
      <c r="G3001" t="s"/>
      <c r="H3001" t="s"/>
      <c r="I3001" t="s"/>
      <c r="J3001" t="n">
        <v>0.4168</v>
      </c>
      <c r="K3001" t="n">
        <v>0</v>
      </c>
      <c r="L3001" t="n">
        <v>0.783</v>
      </c>
      <c r="M3001" t="n">
        <v>0.217</v>
      </c>
    </row>
    <row r="3002" spans="1:13">
      <c r="A3002" s="1">
        <f>HYPERLINK("http://www.twitter.com/NathanBLawrence/status/988606005486407680", "988606005486407680")</f>
        <v/>
      </c>
      <c r="B3002" s="2" t="n">
        <v>43214.10431712963</v>
      </c>
      <c r="C3002" t="n">
        <v>3</v>
      </c>
      <c r="D3002" t="n">
        <v>8</v>
      </c>
      <c r="E3002" t="s">
        <v>3008</v>
      </c>
      <c r="F3002" t="s"/>
      <c r="G3002" t="s"/>
      <c r="H3002" t="s"/>
      <c r="I3002" t="s"/>
      <c r="J3002" t="n">
        <v>0</v>
      </c>
      <c r="K3002" t="n">
        <v>0</v>
      </c>
      <c r="L3002" t="n">
        <v>1</v>
      </c>
      <c r="M3002" t="n">
        <v>0</v>
      </c>
    </row>
    <row r="3003" spans="1:13">
      <c r="A3003" s="1">
        <f>HYPERLINK("http://www.twitter.com/NathanBLawrence/status/988605241816829952", "988605241816829952")</f>
        <v/>
      </c>
      <c r="B3003" s="2" t="n">
        <v>43214.10221064815</v>
      </c>
      <c r="C3003" t="n">
        <v>17</v>
      </c>
      <c r="D3003" t="n">
        <v>5</v>
      </c>
      <c r="E3003" t="s">
        <v>3009</v>
      </c>
      <c r="F3003" t="s"/>
      <c r="G3003" t="s"/>
      <c r="H3003" t="s"/>
      <c r="I3003" t="s"/>
      <c r="J3003" t="n">
        <v>-0.945</v>
      </c>
      <c r="K3003" t="n">
        <v>0.445</v>
      </c>
      <c r="L3003" t="n">
        <v>0.482</v>
      </c>
      <c r="M3003" t="n">
        <v>0.073</v>
      </c>
    </row>
    <row r="3004" spans="1:13">
      <c r="A3004" s="1">
        <f>HYPERLINK("http://www.twitter.com/NathanBLawrence/status/988604293132337153", "988604293132337153")</f>
        <v/>
      </c>
      <c r="B3004" s="2" t="n">
        <v>43214.09959490741</v>
      </c>
      <c r="C3004" t="n">
        <v>0</v>
      </c>
      <c r="D3004" t="n">
        <v>137</v>
      </c>
      <c r="E3004" t="s">
        <v>3010</v>
      </c>
      <c r="F3004" t="s"/>
      <c r="G3004" t="s"/>
      <c r="H3004" t="s"/>
      <c r="I3004" t="s"/>
      <c r="J3004" t="n">
        <v>0.2716</v>
      </c>
      <c r="K3004" t="n">
        <v>0</v>
      </c>
      <c r="L3004" t="n">
        <v>0.917</v>
      </c>
      <c r="M3004" t="n">
        <v>0.083</v>
      </c>
    </row>
    <row r="3005" spans="1:13">
      <c r="A3005" s="1">
        <f>HYPERLINK("http://www.twitter.com/NathanBLawrence/status/988604027188342784", "988604027188342784")</f>
        <v/>
      </c>
      <c r="B3005" s="2" t="n">
        <v>43214.09886574074</v>
      </c>
      <c r="C3005" t="n">
        <v>18</v>
      </c>
      <c r="D3005" t="n">
        <v>7</v>
      </c>
      <c r="E3005" t="s">
        <v>3011</v>
      </c>
      <c r="F3005" t="s"/>
      <c r="G3005" t="s"/>
      <c r="H3005" t="s"/>
      <c r="I3005" t="s"/>
      <c r="J3005" t="n">
        <v>0.3116</v>
      </c>
      <c r="K3005" t="n">
        <v>0.176</v>
      </c>
      <c r="L3005" t="n">
        <v>0.653</v>
      </c>
      <c r="M3005" t="n">
        <v>0.171</v>
      </c>
    </row>
    <row r="3006" spans="1:13">
      <c r="A3006" s="1">
        <f>HYPERLINK("http://www.twitter.com/NathanBLawrence/status/988603444314320896", "988603444314320896")</f>
        <v/>
      </c>
      <c r="B3006" s="2" t="n">
        <v>43214.09725694444</v>
      </c>
      <c r="C3006" t="n">
        <v>15</v>
      </c>
      <c r="D3006" t="n">
        <v>8</v>
      </c>
      <c r="E3006" t="s">
        <v>3012</v>
      </c>
      <c r="F3006" t="s"/>
      <c r="G3006" t="s"/>
      <c r="H3006" t="s"/>
      <c r="I3006" t="s"/>
      <c r="J3006" t="n">
        <v>-0.6027</v>
      </c>
      <c r="K3006" t="n">
        <v>0.149</v>
      </c>
      <c r="L3006" t="n">
        <v>0.76</v>
      </c>
      <c r="M3006" t="n">
        <v>0.092</v>
      </c>
    </row>
    <row r="3007" spans="1:13">
      <c r="A3007" s="1">
        <f>HYPERLINK("http://www.twitter.com/NathanBLawrence/status/988602713104502784", "988602713104502784")</f>
        <v/>
      </c>
      <c r="B3007" s="2" t="n">
        <v>43214.09523148148</v>
      </c>
      <c r="C3007" t="n">
        <v>0</v>
      </c>
      <c r="D3007" t="n">
        <v>1329</v>
      </c>
      <c r="E3007" t="s">
        <v>3013</v>
      </c>
      <c r="F3007">
        <f>HYPERLINK("http://pbs.twimg.com/media/DbgtaDAU8AAmyNh.jpg", "http://pbs.twimg.com/media/DbgtaDAU8AAmyNh.jpg")</f>
        <v/>
      </c>
      <c r="G3007" t="s"/>
      <c r="H3007" t="s"/>
      <c r="I3007" t="s"/>
      <c r="J3007" t="n">
        <v>0</v>
      </c>
      <c r="K3007" t="n">
        <v>0</v>
      </c>
      <c r="L3007" t="n">
        <v>1</v>
      </c>
      <c r="M3007" t="n">
        <v>0</v>
      </c>
    </row>
    <row r="3008" spans="1:13">
      <c r="A3008" s="1">
        <f>HYPERLINK("http://www.twitter.com/NathanBLawrence/status/988602552546607106", "988602552546607106")</f>
        <v/>
      </c>
      <c r="B3008" s="2" t="n">
        <v>43214.09479166667</v>
      </c>
      <c r="C3008" t="n">
        <v>9</v>
      </c>
      <c r="D3008" t="n">
        <v>1</v>
      </c>
      <c r="E3008" t="s">
        <v>3014</v>
      </c>
      <c r="F3008" t="s"/>
      <c r="G3008" t="s"/>
      <c r="H3008" t="s"/>
      <c r="I3008" t="s"/>
      <c r="J3008" t="n">
        <v>0.2263</v>
      </c>
      <c r="K3008" t="n">
        <v>0.09</v>
      </c>
      <c r="L3008" t="n">
        <v>0.752</v>
      </c>
      <c r="M3008" t="n">
        <v>0.158</v>
      </c>
    </row>
    <row r="3009" spans="1:13">
      <c r="A3009" s="1">
        <f>HYPERLINK("http://www.twitter.com/NathanBLawrence/status/988601368469389312", "988601368469389312")</f>
        <v/>
      </c>
      <c r="B3009" s="2" t="n">
        <v>43214.09152777777</v>
      </c>
      <c r="C3009" t="n">
        <v>5</v>
      </c>
      <c r="D3009" t="n">
        <v>8</v>
      </c>
      <c r="E3009" t="s">
        <v>3015</v>
      </c>
      <c r="F3009" t="s"/>
      <c r="G3009" t="s"/>
      <c r="H3009" t="s"/>
      <c r="I3009" t="s"/>
      <c r="J3009" t="n">
        <v>-0.9398</v>
      </c>
      <c r="K3009" t="n">
        <v>0.309</v>
      </c>
      <c r="L3009" t="n">
        <v>0.656</v>
      </c>
      <c r="M3009" t="n">
        <v>0.034</v>
      </c>
    </row>
    <row r="3010" spans="1:13">
      <c r="A3010" s="1">
        <f>HYPERLINK("http://www.twitter.com/NathanBLawrence/status/988566443913498624", "988566443913498624")</f>
        <v/>
      </c>
      <c r="B3010" s="2" t="n">
        <v>43213.99515046296</v>
      </c>
      <c r="C3010" t="n">
        <v>0</v>
      </c>
      <c r="D3010" t="n">
        <v>23054</v>
      </c>
      <c r="E3010" t="s">
        <v>3016</v>
      </c>
      <c r="F3010" t="s"/>
      <c r="G3010" t="s"/>
      <c r="H3010" t="s"/>
      <c r="I3010" t="s"/>
      <c r="J3010" t="n">
        <v>-0.6249</v>
      </c>
      <c r="K3010" t="n">
        <v>0.181</v>
      </c>
      <c r="L3010" t="n">
        <v>0.819</v>
      </c>
      <c r="M3010" t="n">
        <v>0</v>
      </c>
    </row>
    <row r="3011" spans="1:13">
      <c r="A3011" s="1">
        <f>HYPERLINK("http://www.twitter.com/NathanBLawrence/status/988565328245309440", "988565328245309440")</f>
        <v/>
      </c>
      <c r="B3011" s="2" t="n">
        <v>43213.99207175926</v>
      </c>
      <c r="C3011" t="n">
        <v>17</v>
      </c>
      <c r="D3011" t="n">
        <v>12</v>
      </c>
      <c r="E3011" t="s">
        <v>3017</v>
      </c>
      <c r="F3011" t="s"/>
      <c r="G3011" t="s"/>
      <c r="H3011" t="s"/>
      <c r="I3011" t="s"/>
      <c r="J3011" t="n">
        <v>0</v>
      </c>
      <c r="K3011" t="n">
        <v>0.147</v>
      </c>
      <c r="L3011" t="n">
        <v>0.705</v>
      </c>
      <c r="M3011" t="n">
        <v>0.147</v>
      </c>
    </row>
    <row r="3012" spans="1:13">
      <c r="A3012" s="1">
        <f>HYPERLINK("http://www.twitter.com/NathanBLawrence/status/988565074993270784", "988565074993270784")</f>
        <v/>
      </c>
      <c r="B3012" s="2" t="n">
        <v>43213.99137731481</v>
      </c>
      <c r="C3012" t="n">
        <v>0</v>
      </c>
      <c r="D3012" t="n">
        <v>347</v>
      </c>
      <c r="E3012" t="s">
        <v>3018</v>
      </c>
      <c r="F3012" t="s"/>
      <c r="G3012" t="s"/>
      <c r="H3012" t="s"/>
      <c r="I3012" t="s"/>
      <c r="J3012" t="n">
        <v>0.8395</v>
      </c>
      <c r="K3012" t="n">
        <v>0</v>
      </c>
      <c r="L3012" t="n">
        <v>0.715</v>
      </c>
      <c r="M3012" t="n">
        <v>0.285</v>
      </c>
    </row>
    <row r="3013" spans="1:13">
      <c r="A3013" s="1">
        <f>HYPERLINK("http://www.twitter.com/NathanBLawrence/status/988564887197515776", "988564887197515776")</f>
        <v/>
      </c>
      <c r="B3013" s="2" t="n">
        <v>43213.99085648148</v>
      </c>
      <c r="C3013" t="n">
        <v>9</v>
      </c>
      <c r="D3013" t="n">
        <v>6</v>
      </c>
      <c r="E3013" t="s">
        <v>3019</v>
      </c>
      <c r="F3013" t="s"/>
      <c r="G3013" t="s"/>
      <c r="H3013" t="s"/>
      <c r="I3013" t="s"/>
      <c r="J3013" t="n">
        <v>-0.8687</v>
      </c>
      <c r="K3013" t="n">
        <v>0.231</v>
      </c>
      <c r="L3013" t="n">
        <v>0.769</v>
      </c>
      <c r="M3013" t="n">
        <v>0</v>
      </c>
    </row>
    <row r="3014" spans="1:13">
      <c r="A3014" s="1">
        <f>HYPERLINK("http://www.twitter.com/NathanBLawrence/status/988562876339142656", "988562876339142656")</f>
        <v/>
      </c>
      <c r="B3014" s="2" t="n">
        <v>43213.98530092592</v>
      </c>
      <c r="C3014" t="n">
        <v>12</v>
      </c>
      <c r="D3014" t="n">
        <v>4</v>
      </c>
      <c r="E3014" t="s">
        <v>3020</v>
      </c>
      <c r="F3014" t="s"/>
      <c r="G3014" t="s"/>
      <c r="H3014" t="s"/>
      <c r="I3014" t="s"/>
      <c r="J3014" t="n">
        <v>0.6027</v>
      </c>
      <c r="K3014" t="n">
        <v>0</v>
      </c>
      <c r="L3014" t="n">
        <v>0.641</v>
      </c>
      <c r="M3014" t="n">
        <v>0.359</v>
      </c>
    </row>
    <row r="3015" spans="1:13">
      <c r="A3015" s="1">
        <f>HYPERLINK("http://www.twitter.com/NathanBLawrence/status/988562650354208768", "988562650354208768")</f>
        <v/>
      </c>
      <c r="B3015" s="2" t="n">
        <v>43213.9846875</v>
      </c>
      <c r="C3015" t="n">
        <v>14</v>
      </c>
      <c r="D3015" t="n">
        <v>2</v>
      </c>
      <c r="E3015" t="s">
        <v>3021</v>
      </c>
      <c r="F3015" t="s"/>
      <c r="G3015" t="s"/>
      <c r="H3015" t="s"/>
      <c r="I3015" t="s"/>
      <c r="J3015" t="n">
        <v>0.8313</v>
      </c>
      <c r="K3015" t="n">
        <v>0</v>
      </c>
      <c r="L3015" t="n">
        <v>0.278</v>
      </c>
      <c r="M3015" t="n">
        <v>0.722</v>
      </c>
    </row>
    <row r="3016" spans="1:13">
      <c r="A3016" s="1">
        <f>HYPERLINK("http://www.twitter.com/NathanBLawrence/status/988560179481362432", "988560179481362432")</f>
        <v/>
      </c>
      <c r="B3016" s="2" t="n">
        <v>43213.97787037037</v>
      </c>
      <c r="C3016" t="n">
        <v>0</v>
      </c>
      <c r="D3016" t="n">
        <v>409</v>
      </c>
      <c r="E3016" t="s">
        <v>3022</v>
      </c>
      <c r="F3016" t="s"/>
      <c r="G3016" t="s"/>
      <c r="H3016" t="s"/>
      <c r="I3016" t="s"/>
      <c r="J3016" t="n">
        <v>0</v>
      </c>
      <c r="K3016" t="n">
        <v>0</v>
      </c>
      <c r="L3016" t="n">
        <v>1</v>
      </c>
      <c r="M3016" t="n">
        <v>0</v>
      </c>
    </row>
    <row r="3017" spans="1:13">
      <c r="A3017" s="1">
        <f>HYPERLINK("http://www.twitter.com/NathanBLawrence/status/988559278708424705", "988559278708424705")</f>
        <v/>
      </c>
      <c r="B3017" s="2" t="n">
        <v>43213.97538194444</v>
      </c>
      <c r="C3017" t="n">
        <v>17</v>
      </c>
      <c r="D3017" t="n">
        <v>5</v>
      </c>
      <c r="E3017" t="s">
        <v>3023</v>
      </c>
      <c r="F3017" t="s"/>
      <c r="G3017" t="s"/>
      <c r="H3017" t="s"/>
      <c r="I3017" t="s"/>
      <c r="J3017" t="n">
        <v>-0.5256</v>
      </c>
      <c r="K3017" t="n">
        <v>0.175</v>
      </c>
      <c r="L3017" t="n">
        <v>0.825</v>
      </c>
      <c r="M3017" t="n">
        <v>0</v>
      </c>
    </row>
    <row r="3018" spans="1:13">
      <c r="A3018" s="1">
        <f>HYPERLINK("http://www.twitter.com/NathanBLawrence/status/988558720295563264", "988558720295563264")</f>
        <v/>
      </c>
      <c r="B3018" s="2" t="n">
        <v>43213.97384259259</v>
      </c>
      <c r="C3018" t="n">
        <v>4</v>
      </c>
      <c r="D3018" t="n">
        <v>1</v>
      </c>
      <c r="E3018" t="s">
        <v>3024</v>
      </c>
      <c r="F3018" t="s"/>
      <c r="G3018" t="s"/>
      <c r="H3018" t="s"/>
      <c r="I3018" t="s"/>
      <c r="J3018" t="n">
        <v>-0.8205</v>
      </c>
      <c r="K3018" t="n">
        <v>0.354</v>
      </c>
      <c r="L3018" t="n">
        <v>0.553</v>
      </c>
      <c r="M3018" t="n">
        <v>0.093</v>
      </c>
    </row>
    <row r="3019" spans="1:13">
      <c r="A3019" s="1">
        <f>HYPERLINK("http://www.twitter.com/NathanBLawrence/status/988558374538133505", "988558374538133505")</f>
        <v/>
      </c>
      <c r="B3019" s="2" t="n">
        <v>43213.97288194444</v>
      </c>
      <c r="C3019" t="n">
        <v>5</v>
      </c>
      <c r="D3019" t="n">
        <v>3</v>
      </c>
      <c r="E3019" t="s">
        <v>3025</v>
      </c>
      <c r="F3019" t="s"/>
      <c r="G3019" t="s"/>
      <c r="H3019" t="s"/>
      <c r="I3019" t="s"/>
      <c r="J3019" t="n">
        <v>0</v>
      </c>
      <c r="K3019" t="n">
        <v>0</v>
      </c>
      <c r="L3019" t="n">
        <v>1</v>
      </c>
      <c r="M3019" t="n">
        <v>0</v>
      </c>
    </row>
    <row r="3020" spans="1:13">
      <c r="A3020" s="1">
        <f>HYPERLINK("http://www.twitter.com/NathanBLawrence/status/988558192765419521", "988558192765419521")</f>
        <v/>
      </c>
      <c r="B3020" s="2" t="n">
        <v>43213.97238425926</v>
      </c>
      <c r="C3020" t="n">
        <v>7</v>
      </c>
      <c r="D3020" t="n">
        <v>1</v>
      </c>
      <c r="E3020" t="s">
        <v>3026</v>
      </c>
      <c r="F3020" t="s"/>
      <c r="G3020" t="s"/>
      <c r="H3020" t="s"/>
      <c r="I3020" t="s"/>
      <c r="J3020" t="n">
        <v>0.4019</v>
      </c>
      <c r="K3020" t="n">
        <v>0.061</v>
      </c>
      <c r="L3020" t="n">
        <v>0.8110000000000001</v>
      </c>
      <c r="M3020" t="n">
        <v>0.128</v>
      </c>
    </row>
    <row r="3021" spans="1:13">
      <c r="A3021" s="1">
        <f>HYPERLINK("http://www.twitter.com/NathanBLawrence/status/988557157233651712", "988557157233651712")</f>
        <v/>
      </c>
      <c r="B3021" s="2" t="n">
        <v>43213.96952546296</v>
      </c>
      <c r="C3021" t="n">
        <v>11</v>
      </c>
      <c r="D3021" t="n">
        <v>7</v>
      </c>
      <c r="E3021" t="s">
        <v>3027</v>
      </c>
      <c r="F3021" t="s"/>
      <c r="G3021" t="s"/>
      <c r="H3021" t="s"/>
      <c r="I3021" t="s"/>
      <c r="J3021" t="n">
        <v>-0.7712</v>
      </c>
      <c r="K3021" t="n">
        <v>0.15</v>
      </c>
      <c r="L3021" t="n">
        <v>0.85</v>
      </c>
      <c r="M3021" t="n">
        <v>0</v>
      </c>
    </row>
    <row r="3022" spans="1:13">
      <c r="A3022" s="1">
        <f>HYPERLINK("http://www.twitter.com/NathanBLawrence/status/988556459410518016", "988556459410518016")</f>
        <v/>
      </c>
      <c r="B3022" s="2" t="n">
        <v>43213.96760416667</v>
      </c>
      <c r="C3022" t="n">
        <v>0</v>
      </c>
      <c r="D3022" t="n">
        <v>10</v>
      </c>
      <c r="E3022" t="s">
        <v>3028</v>
      </c>
      <c r="F3022" t="s"/>
      <c r="G3022" t="s"/>
      <c r="H3022" t="s"/>
      <c r="I3022" t="s"/>
      <c r="J3022" t="n">
        <v>0.4199</v>
      </c>
      <c r="K3022" t="n">
        <v>0</v>
      </c>
      <c r="L3022" t="n">
        <v>0.866</v>
      </c>
      <c r="M3022" t="n">
        <v>0.134</v>
      </c>
    </row>
    <row r="3023" spans="1:13">
      <c r="A3023" s="1">
        <f>HYPERLINK("http://www.twitter.com/NathanBLawrence/status/988556278891884544", "988556278891884544")</f>
        <v/>
      </c>
      <c r="B3023" s="2" t="n">
        <v>43213.96710648148</v>
      </c>
      <c r="C3023" t="n">
        <v>12</v>
      </c>
      <c r="D3023" t="n">
        <v>7</v>
      </c>
      <c r="E3023" t="s">
        <v>3029</v>
      </c>
      <c r="F3023" t="s"/>
      <c r="G3023" t="s"/>
      <c r="H3023" t="s"/>
      <c r="I3023" t="s"/>
      <c r="J3023" t="n">
        <v>-0.3274</v>
      </c>
      <c r="K3023" t="n">
        <v>0.183</v>
      </c>
      <c r="L3023" t="n">
        <v>0.6870000000000001</v>
      </c>
      <c r="M3023" t="n">
        <v>0.129</v>
      </c>
    </row>
    <row r="3024" spans="1:13">
      <c r="A3024" s="1">
        <f>HYPERLINK("http://www.twitter.com/NathanBLawrence/status/988555769950842880", "988555769950842880")</f>
        <v/>
      </c>
      <c r="B3024" s="2" t="n">
        <v>43213.96569444444</v>
      </c>
      <c r="C3024" t="n">
        <v>4</v>
      </c>
      <c r="D3024" t="n">
        <v>1</v>
      </c>
      <c r="E3024" t="s">
        <v>3030</v>
      </c>
      <c r="F3024" t="s"/>
      <c r="G3024" t="s"/>
      <c r="H3024" t="s"/>
      <c r="I3024" t="s"/>
      <c r="J3024" t="n">
        <v>0</v>
      </c>
      <c r="K3024" t="n">
        <v>0</v>
      </c>
      <c r="L3024" t="n">
        <v>1</v>
      </c>
      <c r="M3024" t="n">
        <v>0</v>
      </c>
    </row>
    <row r="3025" spans="1:13">
      <c r="A3025" s="1">
        <f>HYPERLINK("http://www.twitter.com/NathanBLawrence/status/988555652623577089", "988555652623577089")</f>
        <v/>
      </c>
      <c r="B3025" s="2" t="n">
        <v>43213.96537037037</v>
      </c>
      <c r="C3025" t="n">
        <v>0</v>
      </c>
      <c r="D3025" t="n">
        <v>5226</v>
      </c>
      <c r="E3025" t="s">
        <v>3031</v>
      </c>
      <c r="F3025">
        <f>HYPERLINK("http://pbs.twimg.com/media/DbfszEaU0AEhDzP.jpg", "http://pbs.twimg.com/media/DbfszEaU0AEhDzP.jpg")</f>
        <v/>
      </c>
      <c r="G3025" t="s"/>
      <c r="H3025" t="s"/>
      <c r="I3025" t="s"/>
      <c r="J3025" t="n">
        <v>0</v>
      </c>
      <c r="K3025" t="n">
        <v>0</v>
      </c>
      <c r="L3025" t="n">
        <v>1</v>
      </c>
      <c r="M3025" t="n">
        <v>0</v>
      </c>
    </row>
    <row r="3026" spans="1:13">
      <c r="A3026" s="1">
        <f>HYPERLINK("http://www.twitter.com/NathanBLawrence/status/988555328047407104", "988555328047407104")</f>
        <v/>
      </c>
      <c r="B3026" s="2" t="n">
        <v>43213.96447916667</v>
      </c>
      <c r="C3026" t="n">
        <v>0</v>
      </c>
      <c r="D3026" t="n">
        <v>129</v>
      </c>
      <c r="E3026" t="s">
        <v>3032</v>
      </c>
      <c r="F3026" t="s"/>
      <c r="G3026" t="s"/>
      <c r="H3026" t="s"/>
      <c r="I3026" t="s"/>
      <c r="J3026" t="n">
        <v>0</v>
      </c>
      <c r="K3026" t="n">
        <v>0</v>
      </c>
      <c r="L3026" t="n">
        <v>1</v>
      </c>
      <c r="M3026" t="n">
        <v>0</v>
      </c>
    </row>
    <row r="3027" spans="1:13">
      <c r="A3027" s="1">
        <f>HYPERLINK("http://www.twitter.com/NathanBLawrence/status/988552914657406976", "988552914657406976")</f>
        <v/>
      </c>
      <c r="B3027" s="2" t="n">
        <v>43213.9578125</v>
      </c>
      <c r="C3027" t="n">
        <v>0</v>
      </c>
      <c r="D3027" t="n">
        <v>177</v>
      </c>
      <c r="E3027" t="s">
        <v>3033</v>
      </c>
      <c r="F3027">
        <f>HYPERLINK("http://pbs.twimg.com/media/Dbe-69cWkAASr_C.jpg", "http://pbs.twimg.com/media/Dbe-69cWkAASr_C.jpg")</f>
        <v/>
      </c>
      <c r="G3027" t="s"/>
      <c r="H3027" t="s"/>
      <c r="I3027" t="s"/>
      <c r="J3027" t="n">
        <v>0.5994</v>
      </c>
      <c r="K3027" t="n">
        <v>0</v>
      </c>
      <c r="L3027" t="n">
        <v>0.8110000000000001</v>
      </c>
      <c r="M3027" t="n">
        <v>0.189</v>
      </c>
    </row>
    <row r="3028" spans="1:13">
      <c r="A3028" s="1">
        <f>HYPERLINK("http://www.twitter.com/NathanBLawrence/status/988552493981302784", "988552493981302784")</f>
        <v/>
      </c>
      <c r="B3028" s="2" t="n">
        <v>43213.9566550926</v>
      </c>
      <c r="C3028" t="n">
        <v>5</v>
      </c>
      <c r="D3028" t="n">
        <v>2</v>
      </c>
      <c r="E3028" t="s">
        <v>3034</v>
      </c>
      <c r="F3028" t="s"/>
      <c r="G3028" t="s"/>
      <c r="H3028" t="s"/>
      <c r="I3028" t="s"/>
      <c r="J3028" t="n">
        <v>0.4199</v>
      </c>
      <c r="K3028" t="n">
        <v>0</v>
      </c>
      <c r="L3028" t="n">
        <v>0.834</v>
      </c>
      <c r="M3028" t="n">
        <v>0.166</v>
      </c>
    </row>
    <row r="3029" spans="1:13">
      <c r="A3029" s="1">
        <f>HYPERLINK("http://www.twitter.com/NathanBLawrence/status/988552349940510720", "988552349940510720")</f>
        <v/>
      </c>
      <c r="B3029" s="2" t="n">
        <v>43213.95626157407</v>
      </c>
      <c r="C3029" t="n">
        <v>0</v>
      </c>
      <c r="D3029" t="n">
        <v>520</v>
      </c>
      <c r="E3029" t="s">
        <v>3035</v>
      </c>
      <c r="F3029" t="s"/>
      <c r="G3029" t="s"/>
      <c r="H3029" t="s"/>
      <c r="I3029" t="s"/>
      <c r="J3029" t="n">
        <v>0</v>
      </c>
      <c r="K3029" t="n">
        <v>0</v>
      </c>
      <c r="L3029" t="n">
        <v>1</v>
      </c>
      <c r="M3029" t="n">
        <v>0</v>
      </c>
    </row>
    <row r="3030" spans="1:13">
      <c r="A3030" s="1">
        <f>HYPERLINK("http://www.twitter.com/NathanBLawrence/status/988552060709650432", "988552060709650432")</f>
        <v/>
      </c>
      <c r="B3030" s="2" t="n">
        <v>43213.95546296296</v>
      </c>
      <c r="C3030" t="n">
        <v>0</v>
      </c>
      <c r="D3030" t="n">
        <v>174</v>
      </c>
      <c r="E3030" t="s">
        <v>3036</v>
      </c>
      <c r="F3030" t="s"/>
      <c r="G3030" t="s"/>
      <c r="H3030" t="s"/>
      <c r="I3030" t="s"/>
      <c r="J3030" t="n">
        <v>0.5574</v>
      </c>
      <c r="K3030" t="n">
        <v>0</v>
      </c>
      <c r="L3030" t="n">
        <v>0.847</v>
      </c>
      <c r="M3030" t="n">
        <v>0.153</v>
      </c>
    </row>
    <row r="3031" spans="1:13">
      <c r="A3031" s="1">
        <f>HYPERLINK("http://www.twitter.com/NathanBLawrence/status/988551993311416320", "988551993311416320")</f>
        <v/>
      </c>
      <c r="B3031" s="2" t="n">
        <v>43213.95527777778</v>
      </c>
      <c r="C3031" t="n">
        <v>3</v>
      </c>
      <c r="D3031" t="n">
        <v>1</v>
      </c>
      <c r="E3031" t="s">
        <v>3037</v>
      </c>
      <c r="F3031" t="s"/>
      <c r="G3031" t="s"/>
      <c r="H3031" t="s"/>
      <c r="I3031" t="s"/>
      <c r="J3031" t="n">
        <v>-0.368</v>
      </c>
      <c r="K3031" t="n">
        <v>0.102</v>
      </c>
      <c r="L3031" t="n">
        <v>0.835</v>
      </c>
      <c r="M3031" t="n">
        <v>0.063</v>
      </c>
    </row>
    <row r="3032" spans="1:13">
      <c r="A3032" s="1">
        <f>HYPERLINK("http://www.twitter.com/NathanBLawrence/status/988549726285918208", "988549726285918208")</f>
        <v/>
      </c>
      <c r="B3032" s="2" t="n">
        <v>43213.9490162037</v>
      </c>
      <c r="C3032" t="n">
        <v>0</v>
      </c>
      <c r="D3032" t="n">
        <v>816</v>
      </c>
      <c r="E3032" t="s">
        <v>3038</v>
      </c>
      <c r="F3032" t="s"/>
      <c r="G3032" t="s"/>
      <c r="H3032" t="s"/>
      <c r="I3032" t="s"/>
      <c r="J3032" t="n">
        <v>0.3818</v>
      </c>
      <c r="K3032" t="n">
        <v>0</v>
      </c>
      <c r="L3032" t="n">
        <v>0.843</v>
      </c>
      <c r="M3032" t="n">
        <v>0.157</v>
      </c>
    </row>
    <row r="3033" spans="1:13">
      <c r="A3033" s="1">
        <f>HYPERLINK("http://www.twitter.com/NathanBLawrence/status/988549690554630144", "988549690554630144")</f>
        <v/>
      </c>
      <c r="B3033" s="2" t="n">
        <v>43213.94892361111</v>
      </c>
      <c r="C3033" t="n">
        <v>0</v>
      </c>
      <c r="D3033" t="n">
        <v>689</v>
      </c>
      <c r="E3033" t="s">
        <v>3039</v>
      </c>
      <c r="F3033" t="s"/>
      <c r="G3033" t="s"/>
      <c r="H3033" t="s"/>
      <c r="I3033" t="s"/>
      <c r="J3033" t="n">
        <v>0.6249</v>
      </c>
      <c r="K3033" t="n">
        <v>0</v>
      </c>
      <c r="L3033" t="n">
        <v>0.8139999999999999</v>
      </c>
      <c r="M3033" t="n">
        <v>0.186</v>
      </c>
    </row>
    <row r="3034" spans="1:13">
      <c r="A3034" s="1">
        <f>HYPERLINK("http://www.twitter.com/NathanBLawrence/status/988549568974405633", "988549568974405633")</f>
        <v/>
      </c>
      <c r="B3034" s="2" t="n">
        <v>43213.94858796296</v>
      </c>
      <c r="C3034" t="n">
        <v>5</v>
      </c>
      <c r="D3034" t="n">
        <v>1</v>
      </c>
      <c r="E3034" t="s">
        <v>3040</v>
      </c>
      <c r="F3034" t="s"/>
      <c r="G3034" t="s"/>
      <c r="H3034" t="s"/>
      <c r="I3034" t="s"/>
      <c r="J3034" t="n">
        <v>-0.8158</v>
      </c>
      <c r="K3034" t="n">
        <v>0.453</v>
      </c>
      <c r="L3034" t="n">
        <v>0.547</v>
      </c>
      <c r="M3034" t="n">
        <v>0</v>
      </c>
    </row>
    <row r="3035" spans="1:13">
      <c r="A3035" s="1">
        <f>HYPERLINK("http://www.twitter.com/NathanBLawrence/status/988549226115182592", "988549226115182592")</f>
        <v/>
      </c>
      <c r="B3035" s="2" t="n">
        <v>43213.94763888889</v>
      </c>
      <c r="C3035" t="n">
        <v>0</v>
      </c>
      <c r="D3035" t="n">
        <v>702</v>
      </c>
      <c r="E3035" t="s">
        <v>3041</v>
      </c>
      <c r="F3035" t="s"/>
      <c r="G3035" t="s"/>
      <c r="H3035" t="s"/>
      <c r="I3035" t="s"/>
      <c r="J3035" t="n">
        <v>0.4648</v>
      </c>
      <c r="K3035" t="n">
        <v>0.119</v>
      </c>
      <c r="L3035" t="n">
        <v>0.651</v>
      </c>
      <c r="M3035" t="n">
        <v>0.229</v>
      </c>
    </row>
    <row r="3036" spans="1:13">
      <c r="A3036" s="1">
        <f>HYPERLINK("http://www.twitter.com/NathanBLawrence/status/988518862306988032", "988518862306988032")</f>
        <v/>
      </c>
      <c r="B3036" s="2" t="n">
        <v>43213.86385416667</v>
      </c>
      <c r="C3036" t="n">
        <v>9</v>
      </c>
      <c r="D3036" t="n">
        <v>6</v>
      </c>
      <c r="E3036" t="s">
        <v>3042</v>
      </c>
      <c r="F3036" t="s"/>
      <c r="G3036" t="s"/>
      <c r="H3036" t="s"/>
      <c r="I3036" t="s"/>
      <c r="J3036" t="n">
        <v>0.481</v>
      </c>
      <c r="K3036" t="n">
        <v>0.111</v>
      </c>
      <c r="L3036" t="n">
        <v>0.673</v>
      </c>
      <c r="M3036" t="n">
        <v>0.216</v>
      </c>
    </row>
    <row r="3037" spans="1:13">
      <c r="A3037" s="1">
        <f>HYPERLINK("http://www.twitter.com/NathanBLawrence/status/988518113367941120", "988518113367941120")</f>
        <v/>
      </c>
      <c r="B3037" s="2" t="n">
        <v>43213.86178240741</v>
      </c>
      <c r="C3037" t="n">
        <v>15</v>
      </c>
      <c r="D3037" t="n">
        <v>6</v>
      </c>
      <c r="E3037" t="s">
        <v>3043</v>
      </c>
      <c r="F3037" t="s"/>
      <c r="G3037" t="s"/>
      <c r="H3037" t="s"/>
      <c r="I3037" t="s"/>
      <c r="J3037" t="n">
        <v>-0.3822</v>
      </c>
      <c r="K3037" t="n">
        <v>0.151</v>
      </c>
      <c r="L3037" t="n">
        <v>0.771</v>
      </c>
      <c r="M3037" t="n">
        <v>0.077</v>
      </c>
    </row>
    <row r="3038" spans="1:13">
      <c r="A3038" s="1">
        <f>HYPERLINK("http://www.twitter.com/NathanBLawrence/status/988518016831836160", "988518016831836160")</f>
        <v/>
      </c>
      <c r="B3038" s="2" t="n">
        <v>43213.8615162037</v>
      </c>
      <c r="C3038" t="n">
        <v>13</v>
      </c>
      <c r="D3038" t="n">
        <v>6</v>
      </c>
      <c r="E3038" t="s">
        <v>3044</v>
      </c>
      <c r="F3038" t="s"/>
      <c r="G3038" t="s"/>
      <c r="H3038" t="s"/>
      <c r="I3038" t="s"/>
      <c r="J3038" t="n">
        <v>0.8555</v>
      </c>
      <c r="K3038" t="n">
        <v>0</v>
      </c>
      <c r="L3038" t="n">
        <v>0.701</v>
      </c>
      <c r="M3038" t="n">
        <v>0.299</v>
      </c>
    </row>
    <row r="3039" spans="1:13">
      <c r="A3039" s="1">
        <f>HYPERLINK("http://www.twitter.com/NathanBLawrence/status/988517875815137280", "988517875815137280")</f>
        <v/>
      </c>
      <c r="B3039" s="2" t="n">
        <v>43213.86113425926</v>
      </c>
      <c r="C3039" t="n">
        <v>4</v>
      </c>
      <c r="D3039" t="n">
        <v>5</v>
      </c>
      <c r="E3039" t="s">
        <v>3045</v>
      </c>
      <c r="F3039" t="s"/>
      <c r="G3039" t="s"/>
      <c r="H3039" t="s"/>
      <c r="I3039" t="s"/>
      <c r="J3039" t="n">
        <v>-0.9364</v>
      </c>
      <c r="K3039" t="n">
        <v>0.384</v>
      </c>
      <c r="L3039" t="n">
        <v>0.616</v>
      </c>
      <c r="M3039" t="n">
        <v>0</v>
      </c>
    </row>
    <row r="3040" spans="1:13">
      <c r="A3040" s="1">
        <f>HYPERLINK("http://www.twitter.com/NathanBLawrence/status/988517515197218816", "988517515197218816")</f>
        <v/>
      </c>
      <c r="B3040" s="2" t="n">
        <v>43213.86013888889</v>
      </c>
      <c r="C3040" t="n">
        <v>4</v>
      </c>
      <c r="D3040" t="n">
        <v>2</v>
      </c>
      <c r="E3040" t="s">
        <v>3046</v>
      </c>
      <c r="F3040" t="s"/>
      <c r="G3040" t="s"/>
      <c r="H3040" t="s"/>
      <c r="I3040" t="s"/>
      <c r="J3040" t="n">
        <v>-0.7959000000000001</v>
      </c>
      <c r="K3040" t="n">
        <v>0.408</v>
      </c>
      <c r="L3040" t="n">
        <v>0.47</v>
      </c>
      <c r="M3040" t="n">
        <v>0.122</v>
      </c>
    </row>
    <row r="3041" spans="1:13">
      <c r="A3041" s="1">
        <f>HYPERLINK("http://www.twitter.com/NathanBLawrence/status/988489394238771200", "988489394238771200")</f>
        <v/>
      </c>
      <c r="B3041" s="2" t="n">
        <v>43213.78253472222</v>
      </c>
      <c r="C3041" t="n">
        <v>5</v>
      </c>
      <c r="D3041" t="n">
        <v>2</v>
      </c>
      <c r="E3041" t="s">
        <v>3047</v>
      </c>
      <c r="F3041" t="s"/>
      <c r="G3041" t="s"/>
      <c r="H3041" t="s"/>
      <c r="I3041" t="s"/>
      <c r="J3041" t="n">
        <v>0.6124000000000001</v>
      </c>
      <c r="K3041" t="n">
        <v>0.074</v>
      </c>
      <c r="L3041" t="n">
        <v>0.762</v>
      </c>
      <c r="M3041" t="n">
        <v>0.164</v>
      </c>
    </row>
    <row r="3042" spans="1:13">
      <c r="A3042" s="1">
        <f>HYPERLINK("http://www.twitter.com/NathanBLawrence/status/988488882449801217", "988488882449801217")</f>
        <v/>
      </c>
      <c r="B3042" s="2" t="n">
        <v>43213.78112268518</v>
      </c>
      <c r="C3042" t="n">
        <v>26</v>
      </c>
      <c r="D3042" t="n">
        <v>10</v>
      </c>
      <c r="E3042" t="s">
        <v>3048</v>
      </c>
      <c r="F3042" t="s"/>
      <c r="G3042" t="s"/>
      <c r="H3042" t="s"/>
      <c r="I3042" t="s"/>
      <c r="J3042" t="n">
        <v>-0.3195</v>
      </c>
      <c r="K3042" t="n">
        <v>0.16</v>
      </c>
      <c r="L3042" t="n">
        <v>0.745</v>
      </c>
      <c r="M3042" t="n">
        <v>0.094</v>
      </c>
    </row>
    <row r="3043" spans="1:13">
      <c r="A3043" s="1">
        <f>HYPERLINK("http://www.twitter.com/NathanBLawrence/status/988488220869611526", "988488220869611526")</f>
        <v/>
      </c>
      <c r="B3043" s="2" t="n">
        <v>43213.77929398148</v>
      </c>
      <c r="C3043" t="n">
        <v>9</v>
      </c>
      <c r="D3043" t="n">
        <v>4</v>
      </c>
      <c r="E3043" t="s">
        <v>3049</v>
      </c>
      <c r="F3043" t="s"/>
      <c r="G3043" t="s"/>
      <c r="H3043" t="s"/>
      <c r="I3043" t="s"/>
      <c r="J3043" t="n">
        <v>0.8602</v>
      </c>
      <c r="K3043" t="n">
        <v>0.108</v>
      </c>
      <c r="L3043" t="n">
        <v>0.599</v>
      </c>
      <c r="M3043" t="n">
        <v>0.293</v>
      </c>
    </row>
    <row r="3044" spans="1:13">
      <c r="A3044" s="1">
        <f>HYPERLINK("http://www.twitter.com/NathanBLawrence/status/988487796947148801", "988487796947148801")</f>
        <v/>
      </c>
      <c r="B3044" s="2" t="n">
        <v>43213.778125</v>
      </c>
      <c r="C3044" t="n">
        <v>14</v>
      </c>
      <c r="D3044" t="n">
        <v>9</v>
      </c>
      <c r="E3044" t="s">
        <v>3050</v>
      </c>
      <c r="F3044" t="s"/>
      <c r="G3044" t="s"/>
      <c r="H3044" t="s"/>
      <c r="I3044" t="s"/>
      <c r="J3044" t="n">
        <v>-0.1063</v>
      </c>
      <c r="K3044" t="n">
        <v>0.114</v>
      </c>
      <c r="L3044" t="n">
        <v>0.805</v>
      </c>
      <c r="M3044" t="n">
        <v>0.081</v>
      </c>
    </row>
    <row r="3045" spans="1:13">
      <c r="A3045" s="1">
        <f>HYPERLINK("http://www.twitter.com/NathanBLawrence/status/988487269458817024", "988487269458817024")</f>
        <v/>
      </c>
      <c r="B3045" s="2" t="n">
        <v>43213.77666666666</v>
      </c>
      <c r="C3045" t="n">
        <v>2</v>
      </c>
      <c r="D3045" t="n">
        <v>0</v>
      </c>
      <c r="E3045" t="s">
        <v>3051</v>
      </c>
      <c r="F3045" t="s"/>
      <c r="G3045" t="s"/>
      <c r="H3045" t="s"/>
      <c r="I3045" t="s"/>
      <c r="J3045" t="n">
        <v>0.3987</v>
      </c>
      <c r="K3045" t="n">
        <v>0.082</v>
      </c>
      <c r="L3045" t="n">
        <v>0.77</v>
      </c>
      <c r="M3045" t="n">
        <v>0.149</v>
      </c>
    </row>
    <row r="3046" spans="1:13">
      <c r="A3046" s="1">
        <f>HYPERLINK("http://www.twitter.com/NathanBLawrence/status/988485219203203072", "988485219203203072")</f>
        <v/>
      </c>
      <c r="B3046" s="2" t="n">
        <v>43213.77101851852</v>
      </c>
      <c r="C3046" t="n">
        <v>0</v>
      </c>
      <c r="D3046" t="n">
        <v>204</v>
      </c>
      <c r="E3046" t="s">
        <v>3052</v>
      </c>
      <c r="F3046" t="s"/>
      <c r="G3046" t="s"/>
      <c r="H3046" t="s"/>
      <c r="I3046" t="s"/>
      <c r="J3046" t="n">
        <v>0.2263</v>
      </c>
      <c r="K3046" t="n">
        <v>0.117</v>
      </c>
      <c r="L3046" t="n">
        <v>0.696</v>
      </c>
      <c r="M3046" t="n">
        <v>0.187</v>
      </c>
    </row>
    <row r="3047" spans="1:13">
      <c r="A3047" s="1">
        <f>HYPERLINK("http://www.twitter.com/NathanBLawrence/status/988485123640180736", "988485123640180736")</f>
        <v/>
      </c>
      <c r="B3047" s="2" t="n">
        <v>43213.77075231481</v>
      </c>
      <c r="C3047" t="n">
        <v>0</v>
      </c>
      <c r="D3047" t="n">
        <v>2766</v>
      </c>
      <c r="E3047" t="s">
        <v>3053</v>
      </c>
      <c r="F3047">
        <f>HYPERLINK("http://pbs.twimg.com/media/DaxMZwHU0AAsWzR.jpg", "http://pbs.twimg.com/media/DaxMZwHU0AAsWzR.jpg")</f>
        <v/>
      </c>
      <c r="G3047" t="s"/>
      <c r="H3047" t="s"/>
      <c r="I3047" t="s"/>
      <c r="J3047" t="n">
        <v>-0.5719</v>
      </c>
      <c r="K3047" t="n">
        <v>0.202</v>
      </c>
      <c r="L3047" t="n">
        <v>0.717</v>
      </c>
      <c r="M3047" t="n">
        <v>0.081</v>
      </c>
    </row>
    <row r="3048" spans="1:13">
      <c r="A3048" s="1">
        <f>HYPERLINK("http://www.twitter.com/NathanBLawrence/status/988484978177490944", "988484978177490944")</f>
        <v/>
      </c>
      <c r="B3048" s="2" t="n">
        <v>43213.77034722222</v>
      </c>
      <c r="C3048" t="n">
        <v>0</v>
      </c>
      <c r="D3048" t="n">
        <v>152</v>
      </c>
      <c r="E3048" t="s">
        <v>3054</v>
      </c>
      <c r="F3048" t="s"/>
      <c r="G3048" t="s"/>
      <c r="H3048" t="s"/>
      <c r="I3048" t="s"/>
      <c r="J3048" t="n">
        <v>-0.296</v>
      </c>
      <c r="K3048" t="n">
        <v>0.132</v>
      </c>
      <c r="L3048" t="n">
        <v>0.789</v>
      </c>
      <c r="M3048" t="n">
        <v>0.079</v>
      </c>
    </row>
    <row r="3049" spans="1:13">
      <c r="A3049" s="1">
        <f>HYPERLINK("http://www.twitter.com/NathanBLawrence/status/988484905351823364", "988484905351823364")</f>
        <v/>
      </c>
      <c r="B3049" s="2" t="n">
        <v>43213.77015046297</v>
      </c>
      <c r="C3049" t="n">
        <v>1</v>
      </c>
      <c r="D3049" t="n">
        <v>0</v>
      </c>
      <c r="E3049" t="s">
        <v>3055</v>
      </c>
      <c r="F3049" t="s"/>
      <c r="G3049" t="s"/>
      <c r="H3049" t="s"/>
      <c r="I3049" t="s"/>
      <c r="J3049" t="n">
        <v>0.0941</v>
      </c>
      <c r="K3049" t="n">
        <v>0.136</v>
      </c>
      <c r="L3049" t="n">
        <v>0.694</v>
      </c>
      <c r="M3049" t="n">
        <v>0.17</v>
      </c>
    </row>
    <row r="3050" spans="1:13">
      <c r="A3050" s="1">
        <f>HYPERLINK("http://www.twitter.com/NathanBLawrence/status/988484246061776896", "988484246061776896")</f>
        <v/>
      </c>
      <c r="B3050" s="2" t="n">
        <v>43213.76833333333</v>
      </c>
      <c r="C3050" t="n">
        <v>3</v>
      </c>
      <c r="D3050" t="n">
        <v>0</v>
      </c>
      <c r="E3050" t="s">
        <v>3056</v>
      </c>
      <c r="F3050" t="s"/>
      <c r="G3050" t="s"/>
      <c r="H3050" t="s"/>
      <c r="I3050" t="s"/>
      <c r="J3050" t="n">
        <v>0.9825</v>
      </c>
      <c r="K3050" t="n">
        <v>0</v>
      </c>
      <c r="L3050" t="n">
        <v>0.314</v>
      </c>
      <c r="M3050" t="n">
        <v>0.6860000000000001</v>
      </c>
    </row>
    <row r="3051" spans="1:13">
      <c r="A3051" s="1">
        <f>HYPERLINK("http://www.twitter.com/NathanBLawrence/status/988483708633006081", "988483708633006081")</f>
        <v/>
      </c>
      <c r="B3051" s="2" t="n">
        <v>43213.76684027778</v>
      </c>
      <c r="C3051" t="n">
        <v>1</v>
      </c>
      <c r="D3051" t="n">
        <v>2</v>
      </c>
      <c r="E3051" t="s">
        <v>3057</v>
      </c>
      <c r="F3051" t="s"/>
      <c r="G3051" t="s"/>
      <c r="H3051" t="s"/>
      <c r="I3051" t="s"/>
      <c r="J3051" t="n">
        <v>0</v>
      </c>
      <c r="K3051" t="n">
        <v>0</v>
      </c>
      <c r="L3051" t="n">
        <v>1</v>
      </c>
      <c r="M3051" t="n">
        <v>0</v>
      </c>
    </row>
    <row r="3052" spans="1:13">
      <c r="A3052" s="1">
        <f>HYPERLINK("http://www.twitter.com/NathanBLawrence/status/988483465459916800", "988483465459916800")</f>
        <v/>
      </c>
      <c r="B3052" s="2" t="n">
        <v>43213.76616898148</v>
      </c>
      <c r="C3052" t="n">
        <v>0</v>
      </c>
      <c r="D3052" t="n">
        <v>652</v>
      </c>
      <c r="E3052" t="s">
        <v>3058</v>
      </c>
      <c r="F3052">
        <f>HYPERLINK("http://pbs.twimg.com/media/DbaWZfqVQAAq01Y.jpg", "http://pbs.twimg.com/media/DbaWZfqVQAAq01Y.jpg")</f>
        <v/>
      </c>
      <c r="G3052" t="s"/>
      <c r="H3052" t="s"/>
      <c r="I3052" t="s"/>
      <c r="J3052" t="n">
        <v>0.3612</v>
      </c>
      <c r="K3052" t="n">
        <v>0</v>
      </c>
      <c r="L3052" t="n">
        <v>0.894</v>
      </c>
      <c r="M3052" t="n">
        <v>0.106</v>
      </c>
    </row>
    <row r="3053" spans="1:13">
      <c r="A3053" s="1">
        <f>HYPERLINK("http://www.twitter.com/NathanBLawrence/status/988483364079321088", "988483364079321088")</f>
        <v/>
      </c>
      <c r="B3053" s="2" t="n">
        <v>43213.7658912037</v>
      </c>
      <c r="C3053" t="n">
        <v>0</v>
      </c>
      <c r="D3053" t="n">
        <v>974</v>
      </c>
      <c r="E3053" t="s">
        <v>3059</v>
      </c>
      <c r="F3053" t="s"/>
      <c r="G3053" t="s"/>
      <c r="H3053" t="s"/>
      <c r="I3053" t="s"/>
      <c r="J3053" t="n">
        <v>-0.1531</v>
      </c>
      <c r="K3053" t="n">
        <v>0.144</v>
      </c>
      <c r="L3053" t="n">
        <v>0.758</v>
      </c>
      <c r="M3053" t="n">
        <v>0.098</v>
      </c>
    </row>
    <row r="3054" spans="1:13">
      <c r="A3054" s="1">
        <f>HYPERLINK("http://www.twitter.com/NathanBLawrence/status/988483005827039233", "988483005827039233")</f>
        <v/>
      </c>
      <c r="B3054" s="2" t="n">
        <v>43213.76490740741</v>
      </c>
      <c r="C3054" t="n">
        <v>9</v>
      </c>
      <c r="D3054" t="n">
        <v>3</v>
      </c>
      <c r="E3054" t="s">
        <v>3060</v>
      </c>
      <c r="F3054" t="s"/>
      <c r="G3054" t="s"/>
      <c r="H3054" t="s"/>
      <c r="I3054" t="s"/>
      <c r="J3054" t="n">
        <v>0.1346</v>
      </c>
      <c r="K3054" t="n">
        <v>0.185</v>
      </c>
      <c r="L3054" t="n">
        <v>0.638</v>
      </c>
      <c r="M3054" t="n">
        <v>0.177</v>
      </c>
    </row>
    <row r="3055" spans="1:13">
      <c r="A3055" s="1">
        <f>HYPERLINK("http://www.twitter.com/NathanBLawrence/status/988465845142675456", "988465845142675456")</f>
        <v/>
      </c>
      <c r="B3055" s="2" t="n">
        <v>43213.7175462963</v>
      </c>
      <c r="C3055" t="n">
        <v>8</v>
      </c>
      <c r="D3055" t="n">
        <v>5</v>
      </c>
      <c r="E3055" t="s">
        <v>3061</v>
      </c>
      <c r="F3055" t="s"/>
      <c r="G3055" t="s"/>
      <c r="H3055" t="s"/>
      <c r="I3055" t="s"/>
      <c r="J3055" t="n">
        <v>-0.8139</v>
      </c>
      <c r="K3055" t="n">
        <v>0.233</v>
      </c>
      <c r="L3055" t="n">
        <v>0.718</v>
      </c>
      <c r="M3055" t="n">
        <v>0.049</v>
      </c>
    </row>
    <row r="3056" spans="1:13">
      <c r="A3056" s="1">
        <f>HYPERLINK("http://www.twitter.com/NathanBLawrence/status/988463576401698816", "988463576401698816")</f>
        <v/>
      </c>
      <c r="B3056" s="2" t="n">
        <v>43213.71129629629</v>
      </c>
      <c r="C3056" t="n">
        <v>18</v>
      </c>
      <c r="D3056" t="n">
        <v>4</v>
      </c>
      <c r="E3056" t="s">
        <v>3062</v>
      </c>
      <c r="F3056" t="s"/>
      <c r="G3056" t="s"/>
      <c r="H3056" t="s"/>
      <c r="I3056" t="s"/>
      <c r="J3056" t="n">
        <v>-0.2263</v>
      </c>
      <c r="K3056" t="n">
        <v>0.226</v>
      </c>
      <c r="L3056" t="n">
        <v>0.582</v>
      </c>
      <c r="M3056" t="n">
        <v>0.191</v>
      </c>
    </row>
    <row r="3057" spans="1:13">
      <c r="A3057" s="1">
        <f>HYPERLINK("http://www.twitter.com/NathanBLawrence/status/988462628035952640", "988462628035952640")</f>
        <v/>
      </c>
      <c r="B3057" s="2" t="n">
        <v>43213.70866898148</v>
      </c>
      <c r="C3057" t="n">
        <v>0</v>
      </c>
      <c r="D3057" t="n">
        <v>3947</v>
      </c>
      <c r="E3057" t="s">
        <v>3063</v>
      </c>
      <c r="F3057" t="s"/>
      <c r="G3057" t="s"/>
      <c r="H3057" t="s"/>
      <c r="I3057" t="s"/>
      <c r="J3057" t="n">
        <v>0.7003</v>
      </c>
      <c r="K3057" t="n">
        <v>0</v>
      </c>
      <c r="L3057" t="n">
        <v>0.655</v>
      </c>
      <c r="M3057" t="n">
        <v>0.345</v>
      </c>
    </row>
    <row r="3058" spans="1:13">
      <c r="A3058" s="1">
        <f>HYPERLINK("http://www.twitter.com/NathanBLawrence/status/988462482837520384", "988462482837520384")</f>
        <v/>
      </c>
      <c r="B3058" s="2" t="n">
        <v>43213.70827546297</v>
      </c>
      <c r="C3058" t="n">
        <v>1</v>
      </c>
      <c r="D3058" t="n">
        <v>1</v>
      </c>
      <c r="E3058" t="s">
        <v>3064</v>
      </c>
      <c r="F3058" t="s"/>
      <c r="G3058" t="s"/>
      <c r="H3058" t="s"/>
      <c r="I3058" t="s"/>
      <c r="J3058" t="n">
        <v>0.6696</v>
      </c>
      <c r="K3058" t="n">
        <v>0</v>
      </c>
      <c r="L3058" t="n">
        <v>0.848</v>
      </c>
      <c r="M3058" t="n">
        <v>0.152</v>
      </c>
    </row>
    <row r="3059" spans="1:13">
      <c r="A3059" s="1">
        <f>HYPERLINK("http://www.twitter.com/NathanBLawrence/status/988461164307759104", "988461164307759104")</f>
        <v/>
      </c>
      <c r="B3059" s="2" t="n">
        <v>43213.70462962963</v>
      </c>
      <c r="C3059" t="n">
        <v>3</v>
      </c>
      <c r="D3059" t="n">
        <v>0</v>
      </c>
      <c r="E3059" t="s">
        <v>3065</v>
      </c>
      <c r="F3059" t="s"/>
      <c r="G3059" t="s"/>
      <c r="H3059" t="s"/>
      <c r="I3059" t="s"/>
      <c r="J3059" t="n">
        <v>-0.7983</v>
      </c>
      <c r="K3059" t="n">
        <v>0.223</v>
      </c>
      <c r="L3059" t="n">
        <v>0.701</v>
      </c>
      <c r="M3059" t="n">
        <v>0.076</v>
      </c>
    </row>
    <row r="3060" spans="1:13">
      <c r="A3060" s="1">
        <f>HYPERLINK("http://www.twitter.com/NathanBLawrence/status/988460291045244930", "988460291045244930")</f>
        <v/>
      </c>
      <c r="B3060" s="2" t="n">
        <v>43213.70222222222</v>
      </c>
      <c r="C3060" t="n">
        <v>0</v>
      </c>
      <c r="D3060" t="n">
        <v>0</v>
      </c>
      <c r="E3060" t="s">
        <v>3066</v>
      </c>
      <c r="F3060" t="s"/>
      <c r="G3060" t="s"/>
      <c r="H3060" t="s"/>
      <c r="I3060" t="s"/>
      <c r="J3060" t="n">
        <v>0.6199</v>
      </c>
      <c r="K3060" t="n">
        <v>0.148</v>
      </c>
      <c r="L3060" t="n">
        <v>0.644</v>
      </c>
      <c r="M3060" t="n">
        <v>0.208</v>
      </c>
    </row>
    <row r="3061" spans="1:13">
      <c r="A3061" s="1">
        <f>HYPERLINK("http://www.twitter.com/NathanBLawrence/status/988459501291384832", "988459501291384832")</f>
        <v/>
      </c>
      <c r="B3061" s="2" t="n">
        <v>43213.7000462963</v>
      </c>
      <c r="C3061" t="n">
        <v>1</v>
      </c>
      <c r="D3061" t="n">
        <v>0</v>
      </c>
      <c r="E3061" t="s">
        <v>3067</v>
      </c>
      <c r="F3061" t="s"/>
      <c r="G3061" t="s"/>
      <c r="H3061" t="s"/>
      <c r="I3061" t="s"/>
      <c r="J3061" t="n">
        <v>0</v>
      </c>
      <c r="K3061" t="n">
        <v>0</v>
      </c>
      <c r="L3061" t="n">
        <v>1</v>
      </c>
      <c r="M3061" t="n">
        <v>0</v>
      </c>
    </row>
    <row r="3062" spans="1:13">
      <c r="A3062" s="1">
        <f>HYPERLINK("http://www.twitter.com/NathanBLawrence/status/988459247003254784", "988459247003254784")</f>
        <v/>
      </c>
      <c r="B3062" s="2" t="n">
        <v>43213.69934027778</v>
      </c>
      <c r="C3062" t="n">
        <v>0</v>
      </c>
      <c r="D3062" t="n">
        <v>147</v>
      </c>
      <c r="E3062" t="s">
        <v>3068</v>
      </c>
      <c r="F3062">
        <f>HYPERLINK("http://pbs.twimg.com/media/DbcHtREW4AERbeW.jpg", "http://pbs.twimg.com/media/DbcHtREW4AERbeW.jpg")</f>
        <v/>
      </c>
      <c r="G3062" t="s"/>
      <c r="H3062" t="s"/>
      <c r="I3062" t="s"/>
      <c r="J3062" t="n">
        <v>0.6808</v>
      </c>
      <c r="K3062" t="n">
        <v>0</v>
      </c>
      <c r="L3062" t="n">
        <v>0.781</v>
      </c>
      <c r="M3062" t="n">
        <v>0.219</v>
      </c>
    </row>
    <row r="3063" spans="1:13">
      <c r="A3063" s="1">
        <f>HYPERLINK("http://www.twitter.com/NathanBLawrence/status/988459049074114561", "988459049074114561")</f>
        <v/>
      </c>
      <c r="B3063" s="2" t="n">
        <v>43213.6987962963</v>
      </c>
      <c r="C3063" t="n">
        <v>0</v>
      </c>
      <c r="D3063" t="n">
        <v>208</v>
      </c>
      <c r="E3063" t="s">
        <v>3069</v>
      </c>
      <c r="F3063" t="s"/>
      <c r="G3063" t="s"/>
      <c r="H3063" t="s"/>
      <c r="I3063" t="s"/>
      <c r="J3063" t="n">
        <v>0</v>
      </c>
      <c r="K3063" t="n">
        <v>0</v>
      </c>
      <c r="L3063" t="n">
        <v>1</v>
      </c>
      <c r="M3063" t="n">
        <v>0</v>
      </c>
    </row>
    <row r="3064" spans="1:13">
      <c r="A3064" s="1">
        <f>HYPERLINK("http://www.twitter.com/NathanBLawrence/status/988458161370677248", "988458161370677248")</f>
        <v/>
      </c>
      <c r="B3064" s="2" t="n">
        <v>43213.69634259259</v>
      </c>
      <c r="C3064" t="n">
        <v>0</v>
      </c>
      <c r="D3064" t="n">
        <v>0</v>
      </c>
      <c r="E3064" t="s">
        <v>3070</v>
      </c>
      <c r="F3064" t="s"/>
      <c r="G3064" t="s"/>
      <c r="H3064" t="s"/>
      <c r="I3064" t="s"/>
      <c r="J3064" t="n">
        <v>-0.6249</v>
      </c>
      <c r="K3064" t="n">
        <v>0.223</v>
      </c>
      <c r="L3064" t="n">
        <v>0.706</v>
      </c>
      <c r="M3064" t="n">
        <v>0.07099999999999999</v>
      </c>
    </row>
    <row r="3065" spans="1:13">
      <c r="A3065" s="1">
        <f>HYPERLINK("http://www.twitter.com/NathanBLawrence/status/988457698785017857", "988457698785017857")</f>
        <v/>
      </c>
      <c r="B3065" s="2" t="n">
        <v>43213.69506944445</v>
      </c>
      <c r="C3065" t="n">
        <v>3</v>
      </c>
      <c r="D3065" t="n">
        <v>3</v>
      </c>
      <c r="E3065" t="s">
        <v>3071</v>
      </c>
      <c r="F3065" t="s"/>
      <c r="G3065" t="s"/>
      <c r="H3065" t="s"/>
      <c r="I3065" t="s"/>
      <c r="J3065" t="n">
        <v>-0.2732</v>
      </c>
      <c r="K3065" t="n">
        <v>0.08699999999999999</v>
      </c>
      <c r="L3065" t="n">
        <v>0.913</v>
      </c>
      <c r="M3065" t="n">
        <v>0</v>
      </c>
    </row>
    <row r="3066" spans="1:13">
      <c r="A3066" s="1">
        <f>HYPERLINK("http://www.twitter.com/NathanBLawrence/status/988456536820203520", "988456536820203520")</f>
        <v/>
      </c>
      <c r="B3066" s="2" t="n">
        <v>43213.69186342593</v>
      </c>
      <c r="C3066" t="n">
        <v>8</v>
      </c>
      <c r="D3066" t="n">
        <v>6</v>
      </c>
      <c r="E3066" t="s">
        <v>3072</v>
      </c>
      <c r="F3066" t="s"/>
      <c r="G3066" t="s"/>
      <c r="H3066" t="s"/>
      <c r="I3066" t="s"/>
      <c r="J3066" t="n">
        <v>-0.8481</v>
      </c>
      <c r="K3066" t="n">
        <v>0.234</v>
      </c>
      <c r="L3066" t="n">
        <v>0.72</v>
      </c>
      <c r="M3066" t="n">
        <v>0.046</v>
      </c>
    </row>
    <row r="3067" spans="1:13">
      <c r="A3067" s="1">
        <f>HYPERLINK("http://www.twitter.com/NathanBLawrence/status/988455338088194048", "988455338088194048")</f>
        <v/>
      </c>
      <c r="B3067" s="2" t="n">
        <v>43213.68855324074</v>
      </c>
      <c r="C3067" t="n">
        <v>7</v>
      </c>
      <c r="D3067" t="n">
        <v>2</v>
      </c>
      <c r="E3067" t="s">
        <v>3073</v>
      </c>
      <c r="F3067" t="s"/>
      <c r="G3067" t="s"/>
      <c r="H3067" t="s"/>
      <c r="I3067" t="s"/>
      <c r="J3067" t="n">
        <v>-0.8109</v>
      </c>
      <c r="K3067" t="n">
        <v>0.596</v>
      </c>
      <c r="L3067" t="n">
        <v>0.404</v>
      </c>
      <c r="M3067" t="n">
        <v>0</v>
      </c>
    </row>
    <row r="3068" spans="1:13">
      <c r="A3068" s="1">
        <f>HYPERLINK("http://www.twitter.com/NathanBLawrence/status/988455151420637184", "988455151420637184")</f>
        <v/>
      </c>
      <c r="B3068" s="2" t="n">
        <v>43213.68804398148</v>
      </c>
      <c r="C3068" t="n">
        <v>0</v>
      </c>
      <c r="D3068" t="n">
        <v>885</v>
      </c>
      <c r="E3068" t="s">
        <v>3074</v>
      </c>
      <c r="F3068" t="s"/>
      <c r="G3068" t="s"/>
      <c r="H3068" t="s"/>
      <c r="I3068" t="s"/>
      <c r="J3068" t="n">
        <v>-0.3595</v>
      </c>
      <c r="K3068" t="n">
        <v>0.106</v>
      </c>
      <c r="L3068" t="n">
        <v>0.894</v>
      </c>
      <c r="M3068" t="n">
        <v>0</v>
      </c>
    </row>
    <row r="3069" spans="1:13">
      <c r="A3069" s="1">
        <f>HYPERLINK("http://www.twitter.com/NathanBLawrence/status/988455088871030785", "988455088871030785")</f>
        <v/>
      </c>
      <c r="B3069" s="2" t="n">
        <v>43213.68787037037</v>
      </c>
      <c r="C3069" t="n">
        <v>2</v>
      </c>
      <c r="D3069" t="n">
        <v>1</v>
      </c>
      <c r="E3069" t="s">
        <v>3075</v>
      </c>
      <c r="F3069" t="s"/>
      <c r="G3069" t="s"/>
      <c r="H3069" t="s"/>
      <c r="I3069" t="s"/>
      <c r="J3069" t="n">
        <v>0</v>
      </c>
      <c r="K3069" t="n">
        <v>0</v>
      </c>
      <c r="L3069" t="n">
        <v>1</v>
      </c>
      <c r="M3069" t="n">
        <v>0</v>
      </c>
    </row>
    <row r="3070" spans="1:13">
      <c r="A3070" s="1">
        <f>HYPERLINK("http://www.twitter.com/NathanBLawrence/status/988454921543434240", "988454921543434240")</f>
        <v/>
      </c>
      <c r="B3070" s="2" t="n">
        <v>43213.68740740741</v>
      </c>
      <c r="C3070" t="n">
        <v>0</v>
      </c>
      <c r="D3070" t="n">
        <v>66</v>
      </c>
      <c r="E3070" t="s">
        <v>3076</v>
      </c>
      <c r="F3070">
        <f>HYPERLINK("http://pbs.twimg.com/media/DbeOawzW4AEAXws.jpg", "http://pbs.twimg.com/media/DbeOawzW4AEAXws.jpg")</f>
        <v/>
      </c>
      <c r="G3070" t="s"/>
      <c r="H3070" t="s"/>
      <c r="I3070" t="s"/>
      <c r="J3070" t="n">
        <v>0</v>
      </c>
      <c r="K3070" t="n">
        <v>0</v>
      </c>
      <c r="L3070" t="n">
        <v>1</v>
      </c>
      <c r="M3070" t="n">
        <v>0</v>
      </c>
    </row>
    <row r="3071" spans="1:13">
      <c r="A3071" s="1">
        <f>HYPERLINK("http://www.twitter.com/NathanBLawrence/status/988454880753868800", "988454880753868800")</f>
        <v/>
      </c>
      <c r="B3071" s="2" t="n">
        <v>43213.68729166667</v>
      </c>
      <c r="C3071" t="n">
        <v>6</v>
      </c>
      <c r="D3071" t="n">
        <v>1</v>
      </c>
      <c r="E3071" t="s">
        <v>3077</v>
      </c>
      <c r="F3071" t="s"/>
      <c r="G3071" t="s"/>
      <c r="H3071" t="s"/>
      <c r="I3071" t="s"/>
      <c r="J3071" t="n">
        <v>0.3147</v>
      </c>
      <c r="K3071" t="n">
        <v>0</v>
      </c>
      <c r="L3071" t="n">
        <v>0.882</v>
      </c>
      <c r="M3071" t="n">
        <v>0.118</v>
      </c>
    </row>
    <row r="3072" spans="1:13">
      <c r="A3072" s="1">
        <f>HYPERLINK("http://www.twitter.com/NathanBLawrence/status/988454665619570688", "988454665619570688")</f>
        <v/>
      </c>
      <c r="B3072" s="2" t="n">
        <v>43213.68670138889</v>
      </c>
      <c r="C3072" t="n">
        <v>7</v>
      </c>
      <c r="D3072" t="n">
        <v>2</v>
      </c>
      <c r="E3072" t="s">
        <v>3078</v>
      </c>
      <c r="F3072" t="s"/>
      <c r="G3072" t="s"/>
      <c r="H3072" t="s"/>
      <c r="I3072" t="s"/>
      <c r="J3072" t="n">
        <v>0.9274</v>
      </c>
      <c r="K3072" t="n">
        <v>0</v>
      </c>
      <c r="L3072" t="n">
        <v>0.137</v>
      </c>
      <c r="M3072" t="n">
        <v>0.863</v>
      </c>
    </row>
    <row r="3073" spans="1:13">
      <c r="A3073" s="1">
        <f>HYPERLINK("http://www.twitter.com/NathanBLawrence/status/988454515761270784", "988454515761270784")</f>
        <v/>
      </c>
      <c r="B3073" s="2" t="n">
        <v>43213.68628472222</v>
      </c>
      <c r="C3073" t="n">
        <v>11</v>
      </c>
      <c r="D3073" t="n">
        <v>6</v>
      </c>
      <c r="E3073" t="s">
        <v>3079</v>
      </c>
      <c r="F3073" t="s"/>
      <c r="G3073" t="s"/>
      <c r="H3073" t="s"/>
      <c r="I3073" t="s"/>
      <c r="J3073" t="n">
        <v>0</v>
      </c>
      <c r="K3073" t="n">
        <v>0</v>
      </c>
      <c r="L3073" t="n">
        <v>1</v>
      </c>
      <c r="M3073" t="n">
        <v>0</v>
      </c>
    </row>
    <row r="3074" spans="1:13">
      <c r="A3074" s="1">
        <f>HYPERLINK("http://www.twitter.com/NathanBLawrence/status/988454420399587328", "988454420399587328")</f>
        <v/>
      </c>
      <c r="B3074" s="2" t="n">
        <v>43213.68603009259</v>
      </c>
      <c r="C3074" t="n">
        <v>0</v>
      </c>
      <c r="D3074" t="n">
        <v>26876</v>
      </c>
      <c r="E3074" t="s">
        <v>3080</v>
      </c>
      <c r="F3074" t="s"/>
      <c r="G3074" t="s"/>
      <c r="H3074" t="s"/>
      <c r="I3074" t="s"/>
      <c r="J3074" t="n">
        <v>0.2263</v>
      </c>
      <c r="K3074" t="n">
        <v>0</v>
      </c>
      <c r="L3074" t="n">
        <v>0.905</v>
      </c>
      <c r="M3074" t="n">
        <v>0.095</v>
      </c>
    </row>
    <row r="3075" spans="1:13">
      <c r="A3075" s="1">
        <f>HYPERLINK("http://www.twitter.com/NathanBLawrence/status/988450410120732672", "988450410120732672")</f>
        <v/>
      </c>
      <c r="B3075" s="2" t="n">
        <v>43213.6749537037</v>
      </c>
      <c r="C3075" t="n">
        <v>2</v>
      </c>
      <c r="D3075" t="n">
        <v>0</v>
      </c>
      <c r="E3075" t="s">
        <v>3081</v>
      </c>
      <c r="F3075" t="s"/>
      <c r="G3075" t="s"/>
      <c r="H3075" t="s"/>
      <c r="I3075" t="s"/>
      <c r="J3075" t="n">
        <v>0.1759</v>
      </c>
      <c r="K3075" t="n">
        <v>0.126</v>
      </c>
      <c r="L3075" t="n">
        <v>0.723</v>
      </c>
      <c r="M3075" t="n">
        <v>0.152</v>
      </c>
    </row>
    <row r="3076" spans="1:13">
      <c r="A3076" s="1">
        <f>HYPERLINK("http://www.twitter.com/NathanBLawrence/status/988446468162797568", "988446468162797568")</f>
        <v/>
      </c>
      <c r="B3076" s="2" t="n">
        <v>43213.66408564815</v>
      </c>
      <c r="C3076" t="n">
        <v>3</v>
      </c>
      <c r="D3076" t="n">
        <v>1</v>
      </c>
      <c r="E3076" t="s">
        <v>3082</v>
      </c>
      <c r="F3076" t="s"/>
      <c r="G3076" t="s"/>
      <c r="H3076" t="s"/>
      <c r="I3076" t="s"/>
      <c r="J3076" t="n">
        <v>0</v>
      </c>
      <c r="K3076" t="n">
        <v>0</v>
      </c>
      <c r="L3076" t="n">
        <v>1</v>
      </c>
      <c r="M3076" t="n">
        <v>0</v>
      </c>
    </row>
    <row r="3077" spans="1:13">
      <c r="A3077" s="1">
        <f>HYPERLINK("http://www.twitter.com/NathanBLawrence/status/988446073986236416", "988446073986236416")</f>
        <v/>
      </c>
      <c r="B3077" s="2" t="n">
        <v>43213.66299768518</v>
      </c>
      <c r="C3077" t="n">
        <v>8</v>
      </c>
      <c r="D3077" t="n">
        <v>1</v>
      </c>
      <c r="E3077" t="s">
        <v>3083</v>
      </c>
      <c r="F3077" t="s"/>
      <c r="G3077" t="s"/>
      <c r="H3077" t="s"/>
      <c r="I3077" t="s"/>
      <c r="J3077" t="n">
        <v>-0.8941</v>
      </c>
      <c r="K3077" t="n">
        <v>0.2</v>
      </c>
      <c r="L3077" t="n">
        <v>0.8</v>
      </c>
      <c r="M3077" t="n">
        <v>0</v>
      </c>
    </row>
    <row r="3078" spans="1:13">
      <c r="A3078" s="1">
        <f>HYPERLINK("http://www.twitter.com/NathanBLawrence/status/988445031496204289", "988445031496204289")</f>
        <v/>
      </c>
      <c r="B3078" s="2" t="n">
        <v>43213.66011574074</v>
      </c>
      <c r="C3078" t="n">
        <v>2</v>
      </c>
      <c r="D3078" t="n">
        <v>0</v>
      </c>
      <c r="E3078" t="s">
        <v>3084</v>
      </c>
      <c r="F3078" t="s"/>
      <c r="G3078" t="s"/>
      <c r="H3078" t="s"/>
      <c r="I3078" t="s"/>
      <c r="J3078" t="n">
        <v>-0.5106000000000001</v>
      </c>
      <c r="K3078" t="n">
        <v>0.171</v>
      </c>
      <c r="L3078" t="n">
        <v>0.829</v>
      </c>
      <c r="M3078" t="n">
        <v>0</v>
      </c>
    </row>
    <row r="3079" spans="1:13">
      <c r="A3079" s="1">
        <f>HYPERLINK("http://www.twitter.com/NathanBLawrence/status/988444168933462016", "988444168933462016")</f>
        <v/>
      </c>
      <c r="B3079" s="2" t="n">
        <v>43213.65773148148</v>
      </c>
      <c r="C3079" t="n">
        <v>4</v>
      </c>
      <c r="D3079" t="n">
        <v>0</v>
      </c>
      <c r="E3079" t="s">
        <v>3085</v>
      </c>
      <c r="F3079" t="s"/>
      <c r="G3079" t="s"/>
      <c r="H3079" t="s"/>
      <c r="I3079" t="s"/>
      <c r="J3079" t="n">
        <v>-0.5106000000000001</v>
      </c>
      <c r="K3079" t="n">
        <v>0.105</v>
      </c>
      <c r="L3079" t="n">
        <v>0.895</v>
      </c>
      <c r="M3079" t="n">
        <v>0</v>
      </c>
    </row>
    <row r="3080" spans="1:13">
      <c r="A3080" s="1">
        <f>HYPERLINK("http://www.twitter.com/NathanBLawrence/status/988443476307066880", "988443476307066880")</f>
        <v/>
      </c>
      <c r="B3080" s="2" t="n">
        <v>43213.65582175926</v>
      </c>
      <c r="C3080" t="n">
        <v>5</v>
      </c>
      <c r="D3080" t="n">
        <v>0</v>
      </c>
      <c r="E3080" t="s">
        <v>3086</v>
      </c>
      <c r="F3080" t="s"/>
      <c r="G3080" t="s"/>
      <c r="H3080" t="s"/>
      <c r="I3080" t="s"/>
      <c r="J3080" t="n">
        <v>-0.3182</v>
      </c>
      <c r="K3080" t="n">
        <v>0.096</v>
      </c>
      <c r="L3080" t="n">
        <v>0.845</v>
      </c>
      <c r="M3080" t="n">
        <v>0.058</v>
      </c>
    </row>
    <row r="3081" spans="1:13">
      <c r="A3081" s="1">
        <f>HYPERLINK("http://www.twitter.com/NathanBLawrence/status/988443126837592064", "988443126837592064")</f>
        <v/>
      </c>
      <c r="B3081" s="2" t="n">
        <v>43213.65486111111</v>
      </c>
      <c r="C3081" t="n">
        <v>4</v>
      </c>
      <c r="D3081" t="n">
        <v>1</v>
      </c>
      <c r="E3081" t="s">
        <v>3087</v>
      </c>
      <c r="F3081" t="s"/>
      <c r="G3081" t="s"/>
      <c r="H3081" t="s"/>
      <c r="I3081" t="s"/>
      <c r="J3081" t="n">
        <v>0</v>
      </c>
      <c r="K3081" t="n">
        <v>0</v>
      </c>
      <c r="L3081" t="n">
        <v>1</v>
      </c>
      <c r="M3081" t="n">
        <v>0</v>
      </c>
    </row>
    <row r="3082" spans="1:13">
      <c r="A3082" s="1">
        <f>HYPERLINK("http://www.twitter.com/NathanBLawrence/status/988439540850352129", "988439540850352129")</f>
        <v/>
      </c>
      <c r="B3082" s="2" t="n">
        <v>43213.64496527778</v>
      </c>
      <c r="C3082" t="n">
        <v>10</v>
      </c>
      <c r="D3082" t="n">
        <v>3</v>
      </c>
      <c r="E3082" t="s">
        <v>3088</v>
      </c>
      <c r="F3082" t="s"/>
      <c r="G3082" t="s"/>
      <c r="H3082" t="s"/>
      <c r="I3082" t="s"/>
      <c r="J3082" t="n">
        <v>0</v>
      </c>
      <c r="K3082" t="n">
        <v>0</v>
      </c>
      <c r="L3082" t="n">
        <v>1</v>
      </c>
      <c r="M3082" t="n">
        <v>0</v>
      </c>
    </row>
    <row r="3083" spans="1:13">
      <c r="A3083" s="1">
        <f>HYPERLINK("http://www.twitter.com/NathanBLawrence/status/988329998107820033", "988329998107820033")</f>
        <v/>
      </c>
      <c r="B3083" s="2" t="n">
        <v>43213.34268518518</v>
      </c>
      <c r="C3083" t="n">
        <v>0</v>
      </c>
      <c r="D3083" t="n">
        <v>370</v>
      </c>
      <c r="E3083" t="s">
        <v>3089</v>
      </c>
      <c r="F3083" t="s"/>
      <c r="G3083" t="s"/>
      <c r="H3083" t="s"/>
      <c r="I3083" t="s"/>
      <c r="J3083" t="n">
        <v>0</v>
      </c>
      <c r="K3083" t="n">
        <v>0</v>
      </c>
      <c r="L3083" t="n">
        <v>1</v>
      </c>
      <c r="M3083" t="n">
        <v>0</v>
      </c>
    </row>
    <row r="3084" spans="1:13">
      <c r="A3084" s="1">
        <f>HYPERLINK("http://www.twitter.com/NathanBLawrence/status/988329632242925568", "988329632242925568")</f>
        <v/>
      </c>
      <c r="B3084" s="2" t="n">
        <v>43213.34167824074</v>
      </c>
      <c r="C3084" t="n">
        <v>0</v>
      </c>
      <c r="D3084" t="n">
        <v>688</v>
      </c>
      <c r="E3084" t="s">
        <v>3090</v>
      </c>
      <c r="F3084">
        <f>HYPERLINK("http://pbs.twimg.com/media/DbRxY_VUQAAzY1L.jpg", "http://pbs.twimg.com/media/DbRxY_VUQAAzY1L.jpg")</f>
        <v/>
      </c>
      <c r="G3084" t="s"/>
      <c r="H3084" t="s"/>
      <c r="I3084" t="s"/>
      <c r="J3084" t="n">
        <v>0</v>
      </c>
      <c r="K3084" t="n">
        <v>0</v>
      </c>
      <c r="L3084" t="n">
        <v>1</v>
      </c>
      <c r="M3084" t="n">
        <v>0</v>
      </c>
    </row>
    <row r="3085" spans="1:13">
      <c r="A3085" s="1">
        <f>HYPERLINK("http://www.twitter.com/NathanBLawrence/status/988329183276236800", "988329183276236800")</f>
        <v/>
      </c>
      <c r="B3085" s="2" t="n">
        <v>43213.34043981481</v>
      </c>
      <c r="C3085" t="n">
        <v>0</v>
      </c>
      <c r="D3085" t="n">
        <v>258</v>
      </c>
      <c r="E3085" t="s">
        <v>3091</v>
      </c>
      <c r="F3085" t="s"/>
      <c r="G3085" t="s"/>
      <c r="H3085" t="s"/>
      <c r="I3085" t="s"/>
      <c r="J3085" t="n">
        <v>0</v>
      </c>
      <c r="K3085" t="n">
        <v>0</v>
      </c>
      <c r="L3085" t="n">
        <v>1</v>
      </c>
      <c r="M3085" t="n">
        <v>0</v>
      </c>
    </row>
    <row r="3086" spans="1:13">
      <c r="A3086" s="1">
        <f>HYPERLINK("http://www.twitter.com/NathanBLawrence/status/988328910902329344", "988328910902329344")</f>
        <v/>
      </c>
      <c r="B3086" s="2" t="n">
        <v>43213.3396875</v>
      </c>
      <c r="C3086" t="n">
        <v>0</v>
      </c>
      <c r="D3086" t="n">
        <v>3687</v>
      </c>
      <c r="E3086" t="s">
        <v>3092</v>
      </c>
      <c r="F3086" t="s"/>
      <c r="G3086" t="s"/>
      <c r="H3086" t="s"/>
      <c r="I3086" t="s"/>
      <c r="J3086" t="n">
        <v>0.0258</v>
      </c>
      <c r="K3086" t="n">
        <v>0</v>
      </c>
      <c r="L3086" t="n">
        <v>0.95</v>
      </c>
      <c r="M3086" t="n">
        <v>0.05</v>
      </c>
    </row>
    <row r="3087" spans="1:13">
      <c r="A3087" s="1">
        <f>HYPERLINK("http://www.twitter.com/NathanBLawrence/status/988328366792101889", "988328366792101889")</f>
        <v/>
      </c>
      <c r="B3087" s="2" t="n">
        <v>43213.33818287037</v>
      </c>
      <c r="C3087" t="n">
        <v>7</v>
      </c>
      <c r="D3087" t="n">
        <v>4</v>
      </c>
      <c r="E3087" t="s">
        <v>3093</v>
      </c>
      <c r="F3087" t="s"/>
      <c r="G3087" t="s"/>
      <c r="H3087" t="s"/>
      <c r="I3087" t="s"/>
      <c r="J3087" t="n">
        <v>-0.4184</v>
      </c>
      <c r="K3087" t="n">
        <v>0.112</v>
      </c>
      <c r="L3087" t="n">
        <v>0.821</v>
      </c>
      <c r="M3087" t="n">
        <v>0.067</v>
      </c>
    </row>
    <row r="3088" spans="1:13">
      <c r="A3088" s="1">
        <f>HYPERLINK("http://www.twitter.com/NathanBLawrence/status/988328003124908033", "988328003124908033")</f>
        <v/>
      </c>
      <c r="B3088" s="2" t="n">
        <v>43213.33717592592</v>
      </c>
      <c r="C3088" t="n">
        <v>0</v>
      </c>
      <c r="D3088" t="n">
        <v>17</v>
      </c>
      <c r="E3088" t="s">
        <v>3094</v>
      </c>
      <c r="F3088" t="s"/>
      <c r="G3088" t="s"/>
      <c r="H3088" t="s"/>
      <c r="I3088" t="s"/>
      <c r="J3088" t="n">
        <v>0.0772</v>
      </c>
      <c r="K3088" t="n">
        <v>0</v>
      </c>
      <c r="L3088" t="n">
        <v>0.894</v>
      </c>
      <c r="M3088" t="n">
        <v>0.106</v>
      </c>
    </row>
    <row r="3089" spans="1:13">
      <c r="A3089" s="1">
        <f>HYPERLINK("http://www.twitter.com/NathanBLawrence/status/988327832022466560", "988327832022466560")</f>
        <v/>
      </c>
      <c r="B3089" s="2" t="n">
        <v>43213.33671296296</v>
      </c>
      <c r="C3089" t="n">
        <v>4</v>
      </c>
      <c r="D3089" t="n">
        <v>0</v>
      </c>
      <c r="E3089" t="s">
        <v>3095</v>
      </c>
      <c r="F3089" t="s"/>
      <c r="G3089" t="s"/>
      <c r="H3089" t="s"/>
      <c r="I3089" t="s"/>
      <c r="J3089" t="n">
        <v>-0.8176</v>
      </c>
      <c r="K3089" t="n">
        <v>0.251</v>
      </c>
      <c r="L3089" t="n">
        <v>0.6870000000000001</v>
      </c>
      <c r="M3089" t="n">
        <v>0.062</v>
      </c>
    </row>
    <row r="3090" spans="1:13">
      <c r="A3090" s="1">
        <f>HYPERLINK("http://www.twitter.com/NathanBLawrence/status/988327098849738752", "988327098849738752")</f>
        <v/>
      </c>
      <c r="B3090" s="2" t="n">
        <v>43213.3346875</v>
      </c>
      <c r="C3090" t="n">
        <v>11</v>
      </c>
      <c r="D3090" t="n">
        <v>5</v>
      </c>
      <c r="E3090" t="s">
        <v>3096</v>
      </c>
      <c r="F3090" t="s"/>
      <c r="G3090" t="s"/>
      <c r="H3090" t="s"/>
      <c r="I3090" t="s"/>
      <c r="J3090" t="n">
        <v>-0.5707</v>
      </c>
      <c r="K3090" t="n">
        <v>0.103</v>
      </c>
      <c r="L3090" t="n">
        <v>0.897</v>
      </c>
      <c r="M3090" t="n">
        <v>0</v>
      </c>
    </row>
    <row r="3091" spans="1:13">
      <c r="A3091" s="1">
        <f>HYPERLINK("http://www.twitter.com/NathanBLawrence/status/988325018739200000", "988325018739200000")</f>
        <v/>
      </c>
      <c r="B3091" s="2" t="n">
        <v>43213.32894675926</v>
      </c>
      <c r="C3091" t="n">
        <v>4</v>
      </c>
      <c r="D3091" t="n">
        <v>2</v>
      </c>
      <c r="E3091" t="s">
        <v>3097</v>
      </c>
      <c r="F3091" t="s"/>
      <c r="G3091" t="s"/>
      <c r="H3091" t="s"/>
      <c r="I3091" t="s"/>
      <c r="J3091" t="n">
        <v>-0.905</v>
      </c>
      <c r="K3091" t="n">
        <v>0.258</v>
      </c>
      <c r="L3091" t="n">
        <v>0.742</v>
      </c>
      <c r="M3091" t="n">
        <v>0</v>
      </c>
    </row>
    <row r="3092" spans="1:13">
      <c r="A3092" s="1">
        <f>HYPERLINK("http://www.twitter.com/NathanBLawrence/status/988324094515990528", "988324094515990528")</f>
        <v/>
      </c>
      <c r="B3092" s="2" t="n">
        <v>43213.32638888889</v>
      </c>
      <c r="C3092" t="n">
        <v>6</v>
      </c>
      <c r="D3092" t="n">
        <v>2</v>
      </c>
      <c r="E3092" t="s">
        <v>3098</v>
      </c>
      <c r="F3092" t="s"/>
      <c r="G3092" t="s"/>
      <c r="H3092" t="s"/>
      <c r="I3092" t="s"/>
      <c r="J3092" t="n">
        <v>-0.2287</v>
      </c>
      <c r="K3092" t="n">
        <v>0.117</v>
      </c>
      <c r="L3092" t="n">
        <v>0.8139999999999999</v>
      </c>
      <c r="M3092" t="n">
        <v>0.06900000000000001</v>
      </c>
    </row>
    <row r="3093" spans="1:13">
      <c r="A3093" s="1">
        <f>HYPERLINK("http://www.twitter.com/NathanBLawrence/status/988323703137038336", "988323703137038336")</f>
        <v/>
      </c>
      <c r="B3093" s="2" t="n">
        <v>43213.3253125</v>
      </c>
      <c r="C3093" t="n">
        <v>8</v>
      </c>
      <c r="D3093" t="n">
        <v>6</v>
      </c>
      <c r="E3093" t="s">
        <v>3099</v>
      </c>
      <c r="F3093" t="s"/>
      <c r="G3093" t="s"/>
      <c r="H3093" t="s"/>
      <c r="I3093" t="s"/>
      <c r="J3093" t="n">
        <v>-0.8591</v>
      </c>
      <c r="K3093" t="n">
        <v>0.254</v>
      </c>
      <c r="L3093" t="n">
        <v>0.719</v>
      </c>
      <c r="M3093" t="n">
        <v>0.026</v>
      </c>
    </row>
    <row r="3094" spans="1:13">
      <c r="A3094" s="1">
        <f>HYPERLINK("http://www.twitter.com/NathanBLawrence/status/988323203767451650", "988323203767451650")</f>
        <v/>
      </c>
      <c r="B3094" s="2" t="n">
        <v>43213.32393518519</v>
      </c>
      <c r="C3094" t="n">
        <v>3</v>
      </c>
      <c r="D3094" t="n">
        <v>0</v>
      </c>
      <c r="E3094" t="s">
        <v>3100</v>
      </c>
      <c r="F3094" t="s"/>
      <c r="G3094" t="s"/>
      <c r="H3094" t="s"/>
      <c r="I3094" t="s"/>
      <c r="J3094" t="n">
        <v>-0.5175</v>
      </c>
      <c r="K3094" t="n">
        <v>0.147</v>
      </c>
      <c r="L3094" t="n">
        <v>0.803</v>
      </c>
      <c r="M3094" t="n">
        <v>0.05</v>
      </c>
    </row>
    <row r="3095" spans="1:13">
      <c r="A3095" s="1">
        <f>HYPERLINK("http://www.twitter.com/NathanBLawrence/status/988322330349682688", "988322330349682688")</f>
        <v/>
      </c>
      <c r="B3095" s="2" t="n">
        <v>43213.32152777778</v>
      </c>
      <c r="C3095" t="n">
        <v>4</v>
      </c>
      <c r="D3095" t="n">
        <v>1</v>
      </c>
      <c r="E3095" t="s">
        <v>3101</v>
      </c>
      <c r="F3095" t="s"/>
      <c r="G3095" t="s"/>
      <c r="H3095" t="s"/>
      <c r="I3095" t="s"/>
      <c r="J3095" t="n">
        <v>-0.7269</v>
      </c>
      <c r="K3095" t="n">
        <v>0.184</v>
      </c>
      <c r="L3095" t="n">
        <v>0.8159999999999999</v>
      </c>
      <c r="M3095" t="n">
        <v>0</v>
      </c>
    </row>
    <row r="3096" spans="1:13">
      <c r="A3096" s="1">
        <f>HYPERLINK("http://www.twitter.com/NathanBLawrence/status/988321270977593344", "988321270977593344")</f>
        <v/>
      </c>
      <c r="B3096" s="2" t="n">
        <v>43213.31859953704</v>
      </c>
      <c r="C3096" t="n">
        <v>3</v>
      </c>
      <c r="D3096" t="n">
        <v>1</v>
      </c>
      <c r="E3096" t="s">
        <v>3102</v>
      </c>
      <c r="F3096" t="s"/>
      <c r="G3096" t="s"/>
      <c r="H3096" t="s"/>
      <c r="I3096" t="s"/>
      <c r="J3096" t="n">
        <v>0.5904</v>
      </c>
      <c r="K3096" t="n">
        <v>0</v>
      </c>
      <c r="L3096" t="n">
        <v>0.876</v>
      </c>
      <c r="M3096" t="n">
        <v>0.124</v>
      </c>
    </row>
    <row r="3097" spans="1:13">
      <c r="A3097" s="1">
        <f>HYPERLINK("http://www.twitter.com/NathanBLawrence/status/988320939086561280", "988320939086561280")</f>
        <v/>
      </c>
      <c r="B3097" s="2" t="n">
        <v>43213.31768518518</v>
      </c>
      <c r="C3097" t="n">
        <v>0</v>
      </c>
      <c r="D3097" t="n">
        <v>3020</v>
      </c>
      <c r="E3097" t="s">
        <v>3103</v>
      </c>
      <c r="F3097">
        <f>HYPERLINK("http://pbs.twimg.com/media/DbVEKQ6V4AA7-wY.jpg", "http://pbs.twimg.com/media/DbVEKQ6V4AA7-wY.jpg")</f>
        <v/>
      </c>
      <c r="G3097" t="s"/>
      <c r="H3097" t="s"/>
      <c r="I3097" t="s"/>
      <c r="J3097" t="n">
        <v>0</v>
      </c>
      <c r="K3097" t="n">
        <v>0</v>
      </c>
      <c r="L3097" t="n">
        <v>1</v>
      </c>
      <c r="M3097" t="n">
        <v>0</v>
      </c>
    </row>
    <row r="3098" spans="1:13">
      <c r="A3098" s="1">
        <f>HYPERLINK("http://www.twitter.com/NathanBLawrence/status/988320136535789568", "988320136535789568")</f>
        <v/>
      </c>
      <c r="B3098" s="2" t="n">
        <v>43213.31547453703</v>
      </c>
      <c r="C3098" t="n">
        <v>0</v>
      </c>
      <c r="D3098" t="n">
        <v>63</v>
      </c>
      <c r="E3098" t="s">
        <v>3104</v>
      </c>
      <c r="F3098">
        <f>HYPERLINK("http://pbs.twimg.com/media/DbceRDeUwAATkDC.jpg", "http://pbs.twimg.com/media/DbceRDeUwAATkDC.jpg")</f>
        <v/>
      </c>
      <c r="G3098" t="s"/>
      <c r="H3098" t="s"/>
      <c r="I3098" t="s"/>
      <c r="J3098" t="n">
        <v>-0.6808</v>
      </c>
      <c r="K3098" t="n">
        <v>0.315</v>
      </c>
      <c r="L3098" t="n">
        <v>0.6850000000000001</v>
      </c>
      <c r="M3098" t="n">
        <v>0</v>
      </c>
    </row>
    <row r="3099" spans="1:13">
      <c r="A3099" s="1">
        <f>HYPERLINK("http://www.twitter.com/NathanBLawrence/status/988319930876481536", "988319930876481536")</f>
        <v/>
      </c>
      <c r="B3099" s="2" t="n">
        <v>43213.31490740741</v>
      </c>
      <c r="C3099" t="n">
        <v>1</v>
      </c>
      <c r="D3099" t="n">
        <v>0</v>
      </c>
      <c r="E3099" t="s">
        <v>3105</v>
      </c>
      <c r="F3099" t="s"/>
      <c r="G3099" t="s"/>
      <c r="H3099" t="s"/>
      <c r="I3099" t="s"/>
      <c r="J3099" t="n">
        <v>-0.4199</v>
      </c>
      <c r="K3099" t="n">
        <v>0.091</v>
      </c>
      <c r="L3099" t="n">
        <v>0.909</v>
      </c>
      <c r="M3099" t="n">
        <v>0</v>
      </c>
    </row>
    <row r="3100" spans="1:13">
      <c r="A3100" s="1">
        <f>HYPERLINK("http://www.twitter.com/NathanBLawrence/status/988318930715295745", "988318930715295745")</f>
        <v/>
      </c>
      <c r="B3100" s="2" t="n">
        <v>43213.31214120371</v>
      </c>
      <c r="C3100" t="n">
        <v>2</v>
      </c>
      <c r="D3100" t="n">
        <v>0</v>
      </c>
      <c r="E3100" t="s">
        <v>3106</v>
      </c>
      <c r="F3100" t="s"/>
      <c r="G3100" t="s"/>
      <c r="H3100" t="s"/>
      <c r="I3100" t="s"/>
      <c r="J3100" t="n">
        <v>-0.2732</v>
      </c>
      <c r="K3100" t="n">
        <v>0.2</v>
      </c>
      <c r="L3100" t="n">
        <v>0.667</v>
      </c>
      <c r="M3100" t="n">
        <v>0.133</v>
      </c>
    </row>
    <row r="3101" spans="1:13">
      <c r="A3101" s="1">
        <f>HYPERLINK("http://www.twitter.com/NathanBLawrence/status/988318779040919552", "988318779040919552")</f>
        <v/>
      </c>
      <c r="B3101" s="2" t="n">
        <v>43213.31172453704</v>
      </c>
      <c r="C3101" t="n">
        <v>0</v>
      </c>
      <c r="D3101" t="n">
        <v>63</v>
      </c>
      <c r="E3101" t="s">
        <v>3107</v>
      </c>
      <c r="F3101" t="s"/>
      <c r="G3101" t="s"/>
      <c r="H3101" t="s"/>
      <c r="I3101" t="s"/>
      <c r="J3101" t="n">
        <v>0.1511</v>
      </c>
      <c r="K3101" t="n">
        <v>0.128</v>
      </c>
      <c r="L3101" t="n">
        <v>0.6909999999999999</v>
      </c>
      <c r="M3101" t="n">
        <v>0.181</v>
      </c>
    </row>
    <row r="3102" spans="1:13">
      <c r="A3102" s="1">
        <f>HYPERLINK("http://www.twitter.com/NathanBLawrence/status/988318075324776448", "988318075324776448")</f>
        <v/>
      </c>
      <c r="B3102" s="2" t="n">
        <v>43213.30978009259</v>
      </c>
      <c r="C3102" t="n">
        <v>1</v>
      </c>
      <c r="D3102" t="n">
        <v>0</v>
      </c>
      <c r="E3102" t="s">
        <v>3108</v>
      </c>
      <c r="F3102" t="s"/>
      <c r="G3102" t="s"/>
      <c r="H3102" t="s"/>
      <c r="I3102" t="s"/>
      <c r="J3102" t="n">
        <v>0.9698</v>
      </c>
      <c r="K3102" t="n">
        <v>0</v>
      </c>
      <c r="L3102" t="n">
        <v>0.592</v>
      </c>
      <c r="M3102" t="n">
        <v>0.408</v>
      </c>
    </row>
    <row r="3103" spans="1:13">
      <c r="A3103" s="1">
        <f>HYPERLINK("http://www.twitter.com/NathanBLawrence/status/988317108902674432", "988317108902674432")</f>
        <v/>
      </c>
      <c r="B3103" s="2" t="n">
        <v>43213.30711805556</v>
      </c>
      <c r="C3103" t="n">
        <v>1</v>
      </c>
      <c r="D3103" t="n">
        <v>0</v>
      </c>
      <c r="E3103" t="s">
        <v>3109</v>
      </c>
      <c r="F3103" t="s"/>
      <c r="G3103" t="s"/>
      <c r="H3103" t="s"/>
      <c r="I3103" t="s"/>
      <c r="J3103" t="n">
        <v>-0.6369</v>
      </c>
      <c r="K3103" t="n">
        <v>0.222</v>
      </c>
      <c r="L3103" t="n">
        <v>0.695</v>
      </c>
      <c r="M3103" t="n">
        <v>0.083</v>
      </c>
    </row>
    <row r="3104" spans="1:13">
      <c r="A3104" s="1">
        <f>HYPERLINK("http://www.twitter.com/NathanBLawrence/status/988316782602604544", "988316782602604544")</f>
        <v/>
      </c>
      <c r="B3104" s="2" t="n">
        <v>43213.30621527778</v>
      </c>
      <c r="C3104" t="n">
        <v>0</v>
      </c>
      <c r="D3104" t="n">
        <v>1102</v>
      </c>
      <c r="E3104" t="s">
        <v>3110</v>
      </c>
      <c r="F3104" t="s"/>
      <c r="G3104" t="s"/>
      <c r="H3104" t="s"/>
      <c r="I3104" t="s"/>
      <c r="J3104" t="n">
        <v>-0.25</v>
      </c>
      <c r="K3104" t="n">
        <v>0.083</v>
      </c>
      <c r="L3104" t="n">
        <v>0.917</v>
      </c>
      <c r="M3104" t="n">
        <v>0</v>
      </c>
    </row>
    <row r="3105" spans="1:13">
      <c r="A3105" s="1">
        <f>HYPERLINK("http://www.twitter.com/NathanBLawrence/status/988316643586588672", "988316643586588672")</f>
        <v/>
      </c>
      <c r="B3105" s="2" t="n">
        <v>43213.30583333333</v>
      </c>
      <c r="C3105" t="n">
        <v>0</v>
      </c>
      <c r="D3105" t="n">
        <v>239</v>
      </c>
      <c r="E3105" t="s">
        <v>3111</v>
      </c>
      <c r="F3105">
        <f>HYPERLINK("http://pbs.twimg.com/media/DbZ2BD_X0AAdyDq.jpg", "http://pbs.twimg.com/media/DbZ2BD_X0AAdyDq.jpg")</f>
        <v/>
      </c>
      <c r="G3105" t="s"/>
      <c r="H3105" t="s"/>
      <c r="I3105" t="s"/>
      <c r="J3105" t="n">
        <v>-0.5994</v>
      </c>
      <c r="K3105" t="n">
        <v>0.187</v>
      </c>
      <c r="L3105" t="n">
        <v>0.8129999999999999</v>
      </c>
      <c r="M3105" t="n">
        <v>0</v>
      </c>
    </row>
    <row r="3106" spans="1:13">
      <c r="A3106" s="1">
        <f>HYPERLINK("http://www.twitter.com/NathanBLawrence/status/988316547293761537", "988316547293761537")</f>
        <v/>
      </c>
      <c r="B3106" s="2" t="n">
        <v>43213.30556712963</v>
      </c>
      <c r="C3106" t="n">
        <v>0</v>
      </c>
      <c r="D3106" t="n">
        <v>50</v>
      </c>
      <c r="E3106" t="s">
        <v>3112</v>
      </c>
      <c r="F3106">
        <f>HYPERLINK("http://pbs.twimg.com/media/DbNenCrVQAEE8Dd.jpg", "http://pbs.twimg.com/media/DbNenCrVQAEE8Dd.jpg")</f>
        <v/>
      </c>
      <c r="G3106" t="s"/>
      <c r="H3106" t="s"/>
      <c r="I3106" t="s"/>
      <c r="J3106" t="n">
        <v>0</v>
      </c>
      <c r="K3106" t="n">
        <v>0</v>
      </c>
      <c r="L3106" t="n">
        <v>1</v>
      </c>
      <c r="M3106" t="n">
        <v>0</v>
      </c>
    </row>
    <row r="3107" spans="1:13">
      <c r="A3107" s="1">
        <f>HYPERLINK("http://www.twitter.com/NathanBLawrence/status/988315913752526848", "988315913752526848")</f>
        <v/>
      </c>
      <c r="B3107" s="2" t="n">
        <v>43213.30381944445</v>
      </c>
      <c r="C3107" t="n">
        <v>4</v>
      </c>
      <c r="D3107" t="n">
        <v>2</v>
      </c>
      <c r="E3107" t="s">
        <v>3113</v>
      </c>
      <c r="F3107" t="s"/>
      <c r="G3107" t="s"/>
      <c r="H3107" t="s"/>
      <c r="I3107" t="s"/>
      <c r="J3107" t="n">
        <v>0</v>
      </c>
      <c r="K3107" t="n">
        <v>0</v>
      </c>
      <c r="L3107" t="n">
        <v>1</v>
      </c>
      <c r="M3107" t="n">
        <v>0</v>
      </c>
    </row>
    <row r="3108" spans="1:13">
      <c r="A3108" s="1">
        <f>HYPERLINK("http://www.twitter.com/NathanBLawrence/status/988315721338839040", "988315721338839040")</f>
        <v/>
      </c>
      <c r="B3108" s="2" t="n">
        <v>43213.30328703704</v>
      </c>
      <c r="C3108" t="n">
        <v>0</v>
      </c>
      <c r="D3108" t="n">
        <v>17395</v>
      </c>
      <c r="E3108" t="s">
        <v>3114</v>
      </c>
      <c r="F3108">
        <f>HYPERLINK("http://pbs.twimg.com/media/Dbab1avV4AANUCf.jpg", "http://pbs.twimg.com/media/Dbab1avV4AANUCf.jpg")</f>
        <v/>
      </c>
      <c r="G3108" t="s"/>
      <c r="H3108" t="s"/>
      <c r="I3108" t="s"/>
      <c r="J3108" t="n">
        <v>0.6597</v>
      </c>
      <c r="K3108" t="n">
        <v>0</v>
      </c>
      <c r="L3108" t="n">
        <v>0.787</v>
      </c>
      <c r="M3108" t="n">
        <v>0.213</v>
      </c>
    </row>
    <row r="3109" spans="1:13">
      <c r="A3109" s="1">
        <f>HYPERLINK("http://www.twitter.com/NathanBLawrence/status/988315681404813312", "988315681404813312")</f>
        <v/>
      </c>
      <c r="B3109" s="2" t="n">
        <v>43213.30318287037</v>
      </c>
      <c r="C3109" t="n">
        <v>0</v>
      </c>
      <c r="D3109" t="n">
        <v>1977</v>
      </c>
      <c r="E3109" t="s">
        <v>3115</v>
      </c>
      <c r="F3109" t="s"/>
      <c r="G3109" t="s"/>
      <c r="H3109" t="s"/>
      <c r="I3109" t="s"/>
      <c r="J3109" t="n">
        <v>0.4939</v>
      </c>
      <c r="K3109" t="n">
        <v>0</v>
      </c>
      <c r="L3109" t="n">
        <v>0.873</v>
      </c>
      <c r="M3109" t="n">
        <v>0.127</v>
      </c>
    </row>
    <row r="3110" spans="1:13">
      <c r="A3110" s="1">
        <f>HYPERLINK("http://www.twitter.com/NathanBLawrence/status/988315621728272384", "988315621728272384")</f>
        <v/>
      </c>
      <c r="B3110" s="2" t="n">
        <v>43213.30300925926</v>
      </c>
      <c r="C3110" t="n">
        <v>0</v>
      </c>
      <c r="D3110" t="n">
        <v>0</v>
      </c>
      <c r="E3110" t="s">
        <v>3116</v>
      </c>
      <c r="F3110" t="s"/>
      <c r="G3110" t="s"/>
      <c r="H3110" t="s"/>
      <c r="I3110" t="s"/>
      <c r="J3110" t="n">
        <v>0.4588</v>
      </c>
      <c r="K3110" t="n">
        <v>0</v>
      </c>
      <c r="L3110" t="n">
        <v>0.667</v>
      </c>
      <c r="M3110" t="n">
        <v>0.333</v>
      </c>
    </row>
    <row r="3111" spans="1:13">
      <c r="A3111" s="1">
        <f>HYPERLINK("http://www.twitter.com/NathanBLawrence/status/988315169536159745", "988315169536159745")</f>
        <v/>
      </c>
      <c r="B3111" s="2" t="n">
        <v>43213.30177083334</v>
      </c>
      <c r="C3111" t="n">
        <v>0</v>
      </c>
      <c r="D3111" t="n">
        <v>3796</v>
      </c>
      <c r="E3111" t="s">
        <v>3117</v>
      </c>
      <c r="F3111" t="s"/>
      <c r="G3111" t="s"/>
      <c r="H3111" t="s"/>
      <c r="I3111" t="s"/>
      <c r="J3111" t="n">
        <v>0.1531</v>
      </c>
      <c r="K3111" t="n">
        <v>0.08799999999999999</v>
      </c>
      <c r="L3111" t="n">
        <v>0.798</v>
      </c>
      <c r="M3111" t="n">
        <v>0.113</v>
      </c>
    </row>
    <row r="3112" spans="1:13">
      <c r="A3112" s="1">
        <f>HYPERLINK("http://www.twitter.com/NathanBLawrence/status/988315071456526336", "988315071456526336")</f>
        <v/>
      </c>
      <c r="B3112" s="2" t="n">
        <v>43213.30149305556</v>
      </c>
      <c r="C3112" t="n">
        <v>7</v>
      </c>
      <c r="D3112" t="n">
        <v>1</v>
      </c>
      <c r="E3112" t="s">
        <v>3118</v>
      </c>
      <c r="F3112" t="s"/>
      <c r="G3112" t="s"/>
      <c r="H3112" t="s"/>
      <c r="I3112" t="s"/>
      <c r="J3112" t="n">
        <v>-0.2973</v>
      </c>
      <c r="K3112" t="n">
        <v>0.107</v>
      </c>
      <c r="L3112" t="n">
        <v>0.846</v>
      </c>
      <c r="M3112" t="n">
        <v>0.047</v>
      </c>
    </row>
    <row r="3113" spans="1:13">
      <c r="A3113" s="1">
        <f>HYPERLINK("http://www.twitter.com/NathanBLawrence/status/988313869255757824", "988313869255757824")</f>
        <v/>
      </c>
      <c r="B3113" s="2" t="n">
        <v>43213.29818287037</v>
      </c>
      <c r="C3113" t="n">
        <v>0</v>
      </c>
      <c r="D3113" t="n">
        <v>834</v>
      </c>
      <c r="E3113" t="s">
        <v>3119</v>
      </c>
      <c r="F3113" t="s"/>
      <c r="G3113" t="s"/>
      <c r="H3113" t="s"/>
      <c r="I3113" t="s"/>
      <c r="J3113" t="n">
        <v>0.5106000000000001</v>
      </c>
      <c r="K3113" t="n">
        <v>0</v>
      </c>
      <c r="L3113" t="n">
        <v>0.845</v>
      </c>
      <c r="M3113" t="n">
        <v>0.155</v>
      </c>
    </row>
    <row r="3114" spans="1:13">
      <c r="A3114" s="1">
        <f>HYPERLINK("http://www.twitter.com/NathanBLawrence/status/988313801018638336", "988313801018638336")</f>
        <v/>
      </c>
      <c r="B3114" s="2" t="n">
        <v>43213.29798611111</v>
      </c>
      <c r="C3114" t="n">
        <v>0</v>
      </c>
      <c r="D3114" t="n">
        <v>1420</v>
      </c>
      <c r="E3114" t="s">
        <v>3120</v>
      </c>
      <c r="F3114">
        <f>HYPERLINK("https://video.twimg.com/amplify_video/984001998319243264/vid/626x360/olhcsrNavgGVjUE0.mp4?tag=2", "https://video.twimg.com/amplify_video/984001998319243264/vid/626x360/olhcsrNavgGVjUE0.mp4?tag=2")</f>
        <v/>
      </c>
      <c r="G3114" t="s"/>
      <c r="H3114" t="s"/>
      <c r="I3114" t="s"/>
      <c r="J3114" t="n">
        <v>-0.3197</v>
      </c>
      <c r="K3114" t="n">
        <v>0.164</v>
      </c>
      <c r="L3114" t="n">
        <v>0.743</v>
      </c>
      <c r="M3114" t="n">
        <v>0.093</v>
      </c>
    </row>
    <row r="3115" spans="1:13">
      <c r="A3115" s="1">
        <f>HYPERLINK("http://www.twitter.com/NathanBLawrence/status/988313718336319488", "988313718336319488")</f>
        <v/>
      </c>
      <c r="B3115" s="2" t="n">
        <v>43213.2977662037</v>
      </c>
      <c r="C3115" t="n">
        <v>0</v>
      </c>
      <c r="D3115" t="n">
        <v>13201</v>
      </c>
      <c r="E3115" t="s">
        <v>3121</v>
      </c>
      <c r="F3115">
        <f>HYPERLINK("http://pbs.twimg.com/media/DbQiCWCX4AAoYHc.jpg", "http://pbs.twimg.com/media/DbQiCWCX4AAoYHc.jpg")</f>
        <v/>
      </c>
      <c r="G3115" t="s"/>
      <c r="H3115" t="s"/>
      <c r="I3115" t="s"/>
      <c r="J3115" t="n">
        <v>-0.2263</v>
      </c>
      <c r="K3115" t="n">
        <v>0.182</v>
      </c>
      <c r="L3115" t="n">
        <v>0.711</v>
      </c>
      <c r="M3115" t="n">
        <v>0.107</v>
      </c>
    </row>
    <row r="3116" spans="1:13">
      <c r="A3116" s="1">
        <f>HYPERLINK("http://www.twitter.com/NathanBLawrence/status/988313506926612480", "988313506926612480")</f>
        <v/>
      </c>
      <c r="B3116" s="2" t="n">
        <v>43213.29717592592</v>
      </c>
      <c r="C3116" t="n">
        <v>5</v>
      </c>
      <c r="D3116" t="n">
        <v>2</v>
      </c>
      <c r="E3116" t="s">
        <v>3122</v>
      </c>
      <c r="F3116" t="s"/>
      <c r="G3116" t="s"/>
      <c r="H3116" t="s"/>
      <c r="I3116" t="s"/>
      <c r="J3116" t="n">
        <v>-0.8369</v>
      </c>
      <c r="K3116" t="n">
        <v>0.29</v>
      </c>
      <c r="L3116" t="n">
        <v>0.638</v>
      </c>
      <c r="M3116" t="n">
        <v>0.07099999999999999</v>
      </c>
    </row>
    <row r="3117" spans="1:13">
      <c r="A3117" s="1">
        <f>HYPERLINK("http://www.twitter.com/NathanBLawrence/status/988312927085117442", "988312927085117442")</f>
        <v/>
      </c>
      <c r="B3117" s="2" t="n">
        <v>43213.29557870371</v>
      </c>
      <c r="C3117" t="n">
        <v>0</v>
      </c>
      <c r="D3117" t="n">
        <v>1157</v>
      </c>
      <c r="E3117" t="s">
        <v>3123</v>
      </c>
      <c r="F3117" t="s"/>
      <c r="G3117" t="s"/>
      <c r="H3117" t="s"/>
      <c r="I3117" t="s"/>
      <c r="J3117" t="n">
        <v>-0.1096</v>
      </c>
      <c r="K3117" t="n">
        <v>0.117</v>
      </c>
      <c r="L3117" t="n">
        <v>0.78</v>
      </c>
      <c r="M3117" t="n">
        <v>0.103</v>
      </c>
    </row>
    <row r="3118" spans="1:13">
      <c r="A3118" s="1">
        <f>HYPERLINK("http://www.twitter.com/NathanBLawrence/status/988312856281010176", "988312856281010176")</f>
        <v/>
      </c>
      <c r="B3118" s="2" t="n">
        <v>43213.29538194444</v>
      </c>
      <c r="C3118" t="n">
        <v>0</v>
      </c>
      <c r="D3118" t="n">
        <v>9668</v>
      </c>
      <c r="E3118" t="s">
        <v>3124</v>
      </c>
      <c r="F3118">
        <f>HYPERLINK("http://pbs.twimg.com/media/DbcpFXYW4AAv4Xl.jpg", "http://pbs.twimg.com/media/DbcpFXYW4AAv4Xl.jpg")</f>
        <v/>
      </c>
      <c r="G3118" t="s"/>
      <c r="H3118" t="s"/>
      <c r="I3118" t="s"/>
      <c r="J3118" t="n">
        <v>-0.6124000000000001</v>
      </c>
      <c r="K3118" t="n">
        <v>0.266</v>
      </c>
      <c r="L3118" t="n">
        <v>0.664</v>
      </c>
      <c r="M3118" t="n">
        <v>0.07000000000000001</v>
      </c>
    </row>
    <row r="3119" spans="1:13">
      <c r="A3119" s="1">
        <f>HYPERLINK("http://www.twitter.com/NathanBLawrence/status/988183165003968512", "988183165003968512")</f>
        <v/>
      </c>
      <c r="B3119" s="2" t="n">
        <v>43212.9375</v>
      </c>
      <c r="C3119" t="n">
        <v>4</v>
      </c>
      <c r="D3119" t="n">
        <v>0</v>
      </c>
      <c r="E3119" t="s">
        <v>3125</v>
      </c>
      <c r="F3119" t="s"/>
      <c r="G3119" t="s"/>
      <c r="H3119" t="s"/>
      <c r="I3119" t="s"/>
      <c r="J3119" t="n">
        <v>0</v>
      </c>
      <c r="K3119" t="n">
        <v>0</v>
      </c>
      <c r="L3119" t="n">
        <v>1</v>
      </c>
      <c r="M3119" t="n">
        <v>0</v>
      </c>
    </row>
    <row r="3120" spans="1:13">
      <c r="A3120" s="1">
        <f>HYPERLINK("http://www.twitter.com/NathanBLawrence/status/988182785092272128", "988182785092272128")</f>
        <v/>
      </c>
      <c r="B3120" s="2" t="n">
        <v>43212.93645833333</v>
      </c>
      <c r="C3120" t="n">
        <v>10</v>
      </c>
      <c r="D3120" t="n">
        <v>6</v>
      </c>
      <c r="E3120" t="s">
        <v>3126</v>
      </c>
      <c r="F3120" t="s"/>
      <c r="G3120" t="s"/>
      <c r="H3120" t="s"/>
      <c r="I3120" t="s"/>
      <c r="J3120" t="n">
        <v>-0.6514</v>
      </c>
      <c r="K3120" t="n">
        <v>0.213</v>
      </c>
      <c r="L3120" t="n">
        <v>0.787</v>
      </c>
      <c r="M3120" t="n">
        <v>0</v>
      </c>
    </row>
    <row r="3121" spans="1:13">
      <c r="A3121" s="1">
        <f>HYPERLINK("http://www.twitter.com/NathanBLawrence/status/988182402244603904", "988182402244603904")</f>
        <v/>
      </c>
      <c r="B3121" s="2" t="n">
        <v>43212.93539351852</v>
      </c>
      <c r="C3121" t="n">
        <v>7</v>
      </c>
      <c r="D3121" t="n">
        <v>6</v>
      </c>
      <c r="E3121" t="s">
        <v>3127</v>
      </c>
      <c r="F3121" t="s"/>
      <c r="G3121" t="s"/>
      <c r="H3121" t="s"/>
      <c r="I3121" t="s"/>
      <c r="J3121" t="n">
        <v>-0.4588</v>
      </c>
      <c r="K3121" t="n">
        <v>0.188</v>
      </c>
      <c r="L3121" t="n">
        <v>0.8120000000000001</v>
      </c>
      <c r="M3121" t="n">
        <v>0</v>
      </c>
    </row>
    <row r="3122" spans="1:13">
      <c r="A3122" s="1">
        <f>HYPERLINK("http://www.twitter.com/NathanBLawrence/status/988182246795325441", "988182246795325441")</f>
        <v/>
      </c>
      <c r="B3122" s="2" t="n">
        <v>43212.93496527777</v>
      </c>
      <c r="C3122" t="n">
        <v>16</v>
      </c>
      <c r="D3122" t="n">
        <v>5</v>
      </c>
      <c r="E3122" t="s">
        <v>3128</v>
      </c>
      <c r="F3122" t="s"/>
      <c r="G3122" t="s"/>
      <c r="H3122" t="s"/>
      <c r="I3122" t="s"/>
      <c r="J3122" t="n">
        <v>-0.6705</v>
      </c>
      <c r="K3122" t="n">
        <v>0.371</v>
      </c>
      <c r="L3122" t="n">
        <v>0.629</v>
      </c>
      <c r="M3122" t="n">
        <v>0</v>
      </c>
    </row>
    <row r="3123" spans="1:13">
      <c r="A3123" s="1">
        <f>HYPERLINK("http://www.twitter.com/NathanBLawrence/status/988182104230920194", "988182104230920194")</f>
        <v/>
      </c>
      <c r="B3123" s="2" t="n">
        <v>43212.93457175926</v>
      </c>
      <c r="C3123" t="n">
        <v>2</v>
      </c>
      <c r="D3123" t="n">
        <v>1</v>
      </c>
      <c r="E3123" t="s">
        <v>3129</v>
      </c>
      <c r="F3123" t="s"/>
      <c r="G3123" t="s"/>
      <c r="H3123" t="s"/>
      <c r="I3123" t="s"/>
      <c r="J3123" t="n">
        <v>-0.2944</v>
      </c>
      <c r="K3123" t="n">
        <v>0.155</v>
      </c>
      <c r="L3123" t="n">
        <v>0.845</v>
      </c>
      <c r="M3123" t="n">
        <v>0</v>
      </c>
    </row>
    <row r="3124" spans="1:13">
      <c r="A3124" s="1">
        <f>HYPERLINK("http://www.twitter.com/NathanBLawrence/status/988182015794016256", "988182015794016256")</f>
        <v/>
      </c>
      <c r="B3124" s="2" t="n">
        <v>43212.9343287037</v>
      </c>
      <c r="C3124" t="n">
        <v>7</v>
      </c>
      <c r="D3124" t="n">
        <v>1</v>
      </c>
      <c r="E3124" t="s">
        <v>3130</v>
      </c>
      <c r="F3124" t="s"/>
      <c r="G3124" t="s"/>
      <c r="H3124" t="s"/>
      <c r="I3124" t="s"/>
      <c r="J3124" t="n">
        <v>-0.3182</v>
      </c>
      <c r="K3124" t="n">
        <v>0.161</v>
      </c>
      <c r="L3124" t="n">
        <v>0.839</v>
      </c>
      <c r="M3124" t="n">
        <v>0</v>
      </c>
    </row>
    <row r="3125" spans="1:13">
      <c r="A3125" s="1">
        <f>HYPERLINK("http://www.twitter.com/NathanBLawrence/status/988180857193091072", "988180857193091072")</f>
        <v/>
      </c>
      <c r="B3125" s="2" t="n">
        <v>43212.93113425926</v>
      </c>
      <c r="C3125" t="n">
        <v>0</v>
      </c>
      <c r="D3125" t="n">
        <v>0</v>
      </c>
      <c r="E3125" t="s">
        <v>3131</v>
      </c>
      <c r="F3125" t="s"/>
      <c r="G3125" t="s"/>
      <c r="H3125" t="s"/>
      <c r="I3125" t="s"/>
      <c r="J3125" t="n">
        <v>-0.9151</v>
      </c>
      <c r="K3125" t="n">
        <v>0.279</v>
      </c>
      <c r="L3125" t="n">
        <v>0.721</v>
      </c>
      <c r="M3125" t="n">
        <v>0</v>
      </c>
    </row>
    <row r="3126" spans="1:13">
      <c r="A3126" s="1">
        <f>HYPERLINK("http://www.twitter.com/NathanBLawrence/status/988180613730484224", "988180613730484224")</f>
        <v/>
      </c>
      <c r="B3126" s="2" t="n">
        <v>43212.93046296296</v>
      </c>
      <c r="C3126" t="n">
        <v>12</v>
      </c>
      <c r="D3126" t="n">
        <v>0</v>
      </c>
      <c r="E3126" t="s">
        <v>3132</v>
      </c>
      <c r="F3126" t="s"/>
      <c r="G3126" t="s"/>
      <c r="H3126" t="s"/>
      <c r="I3126" t="s"/>
      <c r="J3126" t="n">
        <v>0.7906</v>
      </c>
      <c r="K3126" t="n">
        <v>0.121</v>
      </c>
      <c r="L3126" t="n">
        <v>0.625</v>
      </c>
      <c r="M3126" t="n">
        <v>0.254</v>
      </c>
    </row>
    <row r="3127" spans="1:13">
      <c r="A3127" s="1">
        <f>HYPERLINK("http://www.twitter.com/NathanBLawrence/status/988180217834323968", "988180217834323968")</f>
        <v/>
      </c>
      <c r="B3127" s="2" t="n">
        <v>43212.929375</v>
      </c>
      <c r="C3127" t="n">
        <v>7</v>
      </c>
      <c r="D3127" t="n">
        <v>5</v>
      </c>
      <c r="E3127" t="s">
        <v>3133</v>
      </c>
      <c r="F3127" t="s"/>
      <c r="G3127" t="s"/>
      <c r="H3127" t="s"/>
      <c r="I3127" t="s"/>
      <c r="J3127" t="n">
        <v>-0.1887</v>
      </c>
      <c r="K3127" t="n">
        <v>0.207</v>
      </c>
      <c r="L3127" t="n">
        <v>0.647</v>
      </c>
      <c r="M3127" t="n">
        <v>0.146</v>
      </c>
    </row>
    <row r="3128" spans="1:13">
      <c r="A3128" s="1">
        <f>HYPERLINK("http://www.twitter.com/NathanBLawrence/status/988179044955865088", "988179044955865088")</f>
        <v/>
      </c>
      <c r="B3128" s="2" t="n">
        <v>43212.92613425926</v>
      </c>
      <c r="C3128" t="n">
        <v>1</v>
      </c>
      <c r="D3128" t="n">
        <v>0</v>
      </c>
      <c r="E3128" t="s">
        <v>3134</v>
      </c>
      <c r="F3128" t="s"/>
      <c r="G3128" t="s"/>
      <c r="H3128" t="s"/>
      <c r="I3128" t="s"/>
      <c r="J3128" t="n">
        <v>-0.5106000000000001</v>
      </c>
      <c r="K3128" t="n">
        <v>0.292</v>
      </c>
      <c r="L3128" t="n">
        <v>0.708</v>
      </c>
      <c r="M3128" t="n">
        <v>0</v>
      </c>
    </row>
    <row r="3129" spans="1:13">
      <c r="A3129" s="1">
        <f>HYPERLINK("http://www.twitter.com/NathanBLawrence/status/988178931449643009", "988178931449643009")</f>
        <v/>
      </c>
      <c r="B3129" s="2" t="n">
        <v>43212.92582175926</v>
      </c>
      <c r="C3129" t="n">
        <v>10</v>
      </c>
      <c r="D3129" t="n">
        <v>7</v>
      </c>
      <c r="E3129" t="s">
        <v>3135</v>
      </c>
      <c r="F3129" t="s"/>
      <c r="G3129" t="s"/>
      <c r="H3129" t="s"/>
      <c r="I3129" t="s"/>
      <c r="J3129" t="n">
        <v>0</v>
      </c>
      <c r="K3129" t="n">
        <v>0</v>
      </c>
      <c r="L3129" t="n">
        <v>1</v>
      </c>
      <c r="M3129" t="n">
        <v>0</v>
      </c>
    </row>
    <row r="3130" spans="1:13">
      <c r="A3130" s="1">
        <f>HYPERLINK("http://www.twitter.com/NathanBLawrence/status/988178342808469505", "988178342808469505")</f>
        <v/>
      </c>
      <c r="B3130" s="2" t="n">
        <v>43212.92420138889</v>
      </c>
      <c r="C3130" t="n">
        <v>7</v>
      </c>
      <c r="D3130" t="n">
        <v>3</v>
      </c>
      <c r="E3130" t="s">
        <v>3136</v>
      </c>
      <c r="F3130" t="s"/>
      <c r="G3130" t="s"/>
      <c r="H3130" t="s"/>
      <c r="I3130" t="s"/>
      <c r="J3130" t="n">
        <v>0.7423999999999999</v>
      </c>
      <c r="K3130" t="n">
        <v>0</v>
      </c>
      <c r="L3130" t="n">
        <v>0.636</v>
      </c>
      <c r="M3130" t="n">
        <v>0.364</v>
      </c>
    </row>
    <row r="3131" spans="1:13">
      <c r="A3131" s="1">
        <f>HYPERLINK("http://www.twitter.com/NathanBLawrence/status/988177883691606016", "988177883691606016")</f>
        <v/>
      </c>
      <c r="B3131" s="2" t="n">
        <v>43212.92292824074</v>
      </c>
      <c r="C3131" t="n">
        <v>10</v>
      </c>
      <c r="D3131" t="n">
        <v>2</v>
      </c>
      <c r="E3131" t="s">
        <v>3137</v>
      </c>
      <c r="F3131" t="s"/>
      <c r="G3131" t="s"/>
      <c r="H3131" t="s"/>
      <c r="I3131" t="s"/>
      <c r="J3131" t="n">
        <v>-0.2023</v>
      </c>
      <c r="K3131" t="n">
        <v>0.234</v>
      </c>
      <c r="L3131" t="n">
        <v>0.497</v>
      </c>
      <c r="M3131" t="n">
        <v>0.269</v>
      </c>
    </row>
    <row r="3132" spans="1:13">
      <c r="A3132" s="1">
        <f>HYPERLINK("http://www.twitter.com/NathanBLawrence/status/988177600047558657", "988177600047558657")</f>
        <v/>
      </c>
      <c r="B3132" s="2" t="n">
        <v>43212.9221412037</v>
      </c>
      <c r="C3132" t="n">
        <v>8</v>
      </c>
      <c r="D3132" t="n">
        <v>3</v>
      </c>
      <c r="E3132" t="s">
        <v>3138</v>
      </c>
      <c r="F3132" t="s"/>
      <c r="G3132" t="s"/>
      <c r="H3132" t="s"/>
      <c r="I3132" t="s"/>
      <c r="J3132" t="n">
        <v>-0.4023</v>
      </c>
      <c r="K3132" t="n">
        <v>0.153</v>
      </c>
      <c r="L3132" t="n">
        <v>0.847</v>
      </c>
      <c r="M3132" t="n">
        <v>0</v>
      </c>
    </row>
    <row r="3133" spans="1:13">
      <c r="A3133" s="1">
        <f>HYPERLINK("http://www.twitter.com/NathanBLawrence/status/988177477448097792", "988177477448097792")</f>
        <v/>
      </c>
      <c r="B3133" s="2" t="n">
        <v>43212.92180555555</v>
      </c>
      <c r="C3133" t="n">
        <v>0</v>
      </c>
      <c r="D3133" t="n">
        <v>125</v>
      </c>
      <c r="E3133" t="s">
        <v>3139</v>
      </c>
      <c r="F3133" t="s"/>
      <c r="G3133" t="s"/>
      <c r="H3133" t="s"/>
      <c r="I3133" t="s"/>
      <c r="J3133" t="n">
        <v>0</v>
      </c>
      <c r="K3133" t="n">
        <v>0</v>
      </c>
      <c r="L3133" t="n">
        <v>1</v>
      </c>
      <c r="M3133" t="n">
        <v>0</v>
      </c>
    </row>
    <row r="3134" spans="1:13">
      <c r="A3134" s="1">
        <f>HYPERLINK("http://www.twitter.com/NathanBLawrence/status/988177257918226433", "988177257918226433")</f>
        <v/>
      </c>
      <c r="B3134" s="2" t="n">
        <v>43212.92120370371</v>
      </c>
      <c r="C3134" t="n">
        <v>0</v>
      </c>
      <c r="D3134" t="n">
        <v>11</v>
      </c>
      <c r="E3134" t="s">
        <v>3140</v>
      </c>
      <c r="F3134" t="s"/>
      <c r="G3134" t="s"/>
      <c r="H3134" t="s"/>
      <c r="I3134" t="s"/>
      <c r="J3134" t="n">
        <v>0</v>
      </c>
      <c r="K3134" t="n">
        <v>0</v>
      </c>
      <c r="L3134" t="n">
        <v>1</v>
      </c>
      <c r="M3134" t="n">
        <v>0</v>
      </c>
    </row>
    <row r="3135" spans="1:13">
      <c r="A3135" s="1">
        <f>HYPERLINK("http://www.twitter.com/NathanBLawrence/status/988177218114273281", "988177218114273281")</f>
        <v/>
      </c>
      <c r="B3135" s="2" t="n">
        <v>43212.92108796296</v>
      </c>
      <c r="C3135" t="n">
        <v>0</v>
      </c>
      <c r="D3135" t="n">
        <v>686</v>
      </c>
      <c r="E3135" t="s">
        <v>3141</v>
      </c>
      <c r="F3135">
        <f>HYPERLINK("http://pbs.twimg.com/media/DbaWqgSU8AIqdmG.jpg", "http://pbs.twimg.com/media/DbaWqgSU8AIqdmG.jpg")</f>
        <v/>
      </c>
      <c r="G3135" t="s"/>
      <c r="H3135" t="s"/>
      <c r="I3135" t="s"/>
      <c r="J3135" t="n">
        <v>0</v>
      </c>
      <c r="K3135" t="n">
        <v>0</v>
      </c>
      <c r="L3135" t="n">
        <v>1</v>
      </c>
      <c r="M3135" t="n">
        <v>0</v>
      </c>
    </row>
    <row r="3136" spans="1:13">
      <c r="A3136" s="1">
        <f>HYPERLINK("http://www.twitter.com/NathanBLawrence/status/988177125617225728", "988177125617225728")</f>
        <v/>
      </c>
      <c r="B3136" s="2" t="n">
        <v>43212.92083333333</v>
      </c>
      <c r="C3136" t="n">
        <v>15</v>
      </c>
      <c r="D3136" t="n">
        <v>5</v>
      </c>
      <c r="E3136" t="s">
        <v>3142</v>
      </c>
      <c r="F3136" t="s"/>
      <c r="G3136" t="s"/>
      <c r="H3136" t="s"/>
      <c r="I3136" t="s"/>
      <c r="J3136" t="n">
        <v>-0.8176</v>
      </c>
      <c r="K3136" t="n">
        <v>0.251</v>
      </c>
      <c r="L3136" t="n">
        <v>0.6870000000000001</v>
      </c>
      <c r="M3136" t="n">
        <v>0.062</v>
      </c>
    </row>
    <row r="3137" spans="1:13">
      <c r="A3137" s="1">
        <f>HYPERLINK("http://www.twitter.com/NathanBLawrence/status/988176556836061186", "988176556836061186")</f>
        <v/>
      </c>
      <c r="B3137" s="2" t="n">
        <v>43212.91927083334</v>
      </c>
      <c r="C3137" t="n">
        <v>0</v>
      </c>
      <c r="D3137" t="n">
        <v>335</v>
      </c>
      <c r="E3137" t="s">
        <v>3143</v>
      </c>
      <c r="F3137">
        <f>HYPERLINK("http://pbs.twimg.com/media/DbUYjmXXcAAkKae.jpg", "http://pbs.twimg.com/media/DbUYjmXXcAAkKae.jpg")</f>
        <v/>
      </c>
      <c r="G3137" t="s"/>
      <c r="H3137" t="s"/>
      <c r="I3137" t="s"/>
      <c r="J3137" t="n">
        <v>0.7717000000000001</v>
      </c>
      <c r="K3137" t="n">
        <v>0</v>
      </c>
      <c r="L3137" t="n">
        <v>0.767</v>
      </c>
      <c r="M3137" t="n">
        <v>0.233</v>
      </c>
    </row>
    <row r="3138" spans="1:13">
      <c r="A3138" s="1">
        <f>HYPERLINK("http://www.twitter.com/NathanBLawrence/status/988176476376780800", "988176476376780800")</f>
        <v/>
      </c>
      <c r="B3138" s="2" t="n">
        <v>43212.91905092593</v>
      </c>
      <c r="C3138" t="n">
        <v>0</v>
      </c>
      <c r="D3138" t="n">
        <v>1762</v>
      </c>
      <c r="E3138" t="s">
        <v>3144</v>
      </c>
      <c r="F3138" t="s"/>
      <c r="G3138" t="s"/>
      <c r="H3138" t="s"/>
      <c r="I3138" t="s"/>
      <c r="J3138" t="n">
        <v>0.6573</v>
      </c>
      <c r="K3138" t="n">
        <v>0</v>
      </c>
      <c r="L3138" t="n">
        <v>0.851</v>
      </c>
      <c r="M3138" t="n">
        <v>0.149</v>
      </c>
    </row>
    <row r="3139" spans="1:13">
      <c r="A3139" s="1">
        <f>HYPERLINK("http://www.twitter.com/NathanBLawrence/status/988176396479483904", "988176396479483904")</f>
        <v/>
      </c>
      <c r="B3139" s="2" t="n">
        <v>43212.91883101852</v>
      </c>
      <c r="C3139" t="n">
        <v>0</v>
      </c>
      <c r="D3139" t="n">
        <v>84</v>
      </c>
      <c r="E3139" t="s">
        <v>3145</v>
      </c>
      <c r="F3139" t="s"/>
      <c r="G3139" t="s"/>
      <c r="H3139" t="s"/>
      <c r="I3139" t="s"/>
      <c r="J3139" t="n">
        <v>0</v>
      </c>
      <c r="K3139" t="n">
        <v>0</v>
      </c>
      <c r="L3139" t="n">
        <v>1</v>
      </c>
      <c r="M3139" t="n">
        <v>0</v>
      </c>
    </row>
    <row r="3140" spans="1:13">
      <c r="A3140" s="1">
        <f>HYPERLINK("http://www.twitter.com/NathanBLawrence/status/988176296197799936", "988176296197799936")</f>
        <v/>
      </c>
      <c r="B3140" s="2" t="n">
        <v>43212.91855324074</v>
      </c>
      <c r="C3140" t="n">
        <v>3</v>
      </c>
      <c r="D3140" t="n">
        <v>1</v>
      </c>
      <c r="E3140" t="s">
        <v>3146</v>
      </c>
      <c r="F3140" t="s"/>
      <c r="G3140" t="s"/>
      <c r="H3140" t="s"/>
      <c r="I3140" t="s"/>
      <c r="J3140" t="n">
        <v>0</v>
      </c>
      <c r="K3140" t="n">
        <v>0</v>
      </c>
      <c r="L3140" t="n">
        <v>1</v>
      </c>
      <c r="M3140" t="n">
        <v>0</v>
      </c>
    </row>
    <row r="3141" spans="1:13">
      <c r="A3141" s="1">
        <f>HYPERLINK("http://www.twitter.com/NathanBLawrence/status/988175790918418432", "988175790918418432")</f>
        <v/>
      </c>
      <c r="B3141" s="2" t="n">
        <v>43212.91715277778</v>
      </c>
      <c r="C3141" t="n">
        <v>0</v>
      </c>
      <c r="D3141" t="n">
        <v>1</v>
      </c>
      <c r="E3141" t="s">
        <v>3147</v>
      </c>
      <c r="F3141" t="s"/>
      <c r="G3141" t="s"/>
      <c r="H3141" t="s"/>
      <c r="I3141" t="s"/>
      <c r="J3141" t="n">
        <v>0</v>
      </c>
      <c r="K3141" t="n">
        <v>0</v>
      </c>
      <c r="L3141" t="n">
        <v>1</v>
      </c>
      <c r="M3141" t="n">
        <v>0</v>
      </c>
    </row>
    <row r="3142" spans="1:13">
      <c r="A3142" s="1">
        <f>HYPERLINK("http://www.twitter.com/NathanBLawrence/status/988175759041642496", "988175759041642496")</f>
        <v/>
      </c>
      <c r="B3142" s="2" t="n">
        <v>43212.91707175926</v>
      </c>
      <c r="C3142" t="n">
        <v>0</v>
      </c>
      <c r="D3142" t="n">
        <v>6</v>
      </c>
      <c r="E3142" t="s">
        <v>3148</v>
      </c>
      <c r="F3142">
        <f>HYPERLINK("http://pbs.twimg.com/media/DbajXsgVwAAKF3P.jpg", "http://pbs.twimg.com/media/DbajXsgVwAAKF3P.jpg")</f>
        <v/>
      </c>
      <c r="G3142">
        <f>HYPERLINK("http://pbs.twimg.com/media/Dbaja4gUQAAXlKX.jpg", "http://pbs.twimg.com/media/Dbaja4gUQAAXlKX.jpg")</f>
        <v/>
      </c>
      <c r="H3142">
        <f>HYPERLINK("http://pbs.twimg.com/media/DbajlwkVMAI_08s.jpg", "http://pbs.twimg.com/media/DbajlwkVMAI_08s.jpg")</f>
        <v/>
      </c>
      <c r="I3142">
        <f>HYPERLINK("http://pbs.twimg.com/media/Dbar0QtU0AAh9aa.jpg", "http://pbs.twimg.com/media/Dbar0QtU0AAh9aa.jpg")</f>
        <v/>
      </c>
      <c r="J3142" t="n">
        <v>0</v>
      </c>
      <c r="K3142" t="n">
        <v>0</v>
      </c>
      <c r="L3142" t="n">
        <v>1</v>
      </c>
      <c r="M3142" t="n">
        <v>0</v>
      </c>
    </row>
    <row r="3143" spans="1:13">
      <c r="A3143" s="1">
        <f>HYPERLINK("http://www.twitter.com/NathanBLawrence/status/988175723050418176", "988175723050418176")</f>
        <v/>
      </c>
      <c r="B3143" s="2" t="n">
        <v>43212.9169675926</v>
      </c>
      <c r="C3143" t="n">
        <v>0</v>
      </c>
      <c r="D3143" t="n">
        <v>2054</v>
      </c>
      <c r="E3143" t="s">
        <v>3149</v>
      </c>
      <c r="F3143">
        <f>HYPERLINK("http://pbs.twimg.com/media/DbacRd2W4AQVuSS.jpg", "http://pbs.twimg.com/media/DbacRd2W4AQVuSS.jpg")</f>
        <v/>
      </c>
      <c r="G3143" t="s"/>
      <c r="H3143" t="s"/>
      <c r="I3143" t="s"/>
      <c r="J3143" t="n">
        <v>0.8316</v>
      </c>
      <c r="K3143" t="n">
        <v>0</v>
      </c>
      <c r="L3143" t="n">
        <v>0.694</v>
      </c>
      <c r="M3143" t="n">
        <v>0.306</v>
      </c>
    </row>
    <row r="3144" spans="1:13">
      <c r="A3144" s="1">
        <f>HYPERLINK("http://www.twitter.com/NathanBLawrence/status/988175651709403136", "988175651709403136")</f>
        <v/>
      </c>
      <c r="B3144" s="2" t="n">
        <v>43212.91677083333</v>
      </c>
      <c r="C3144" t="n">
        <v>7</v>
      </c>
      <c r="D3144" t="n">
        <v>1</v>
      </c>
      <c r="E3144" t="s">
        <v>3150</v>
      </c>
      <c r="F3144" t="s"/>
      <c r="G3144" t="s"/>
      <c r="H3144" t="s"/>
      <c r="I3144" t="s"/>
      <c r="J3144" t="n">
        <v>0</v>
      </c>
      <c r="K3144" t="n">
        <v>0</v>
      </c>
      <c r="L3144" t="n">
        <v>1</v>
      </c>
      <c r="M3144" t="n">
        <v>0</v>
      </c>
    </row>
    <row r="3145" spans="1:13">
      <c r="A3145" s="1">
        <f>HYPERLINK("http://www.twitter.com/NathanBLawrence/status/988175537011965952", "988175537011965952")</f>
        <v/>
      </c>
      <c r="B3145" s="2" t="n">
        <v>43212.91645833333</v>
      </c>
      <c r="C3145" t="n">
        <v>2</v>
      </c>
      <c r="D3145" t="n">
        <v>1</v>
      </c>
      <c r="E3145" t="s">
        <v>3151</v>
      </c>
      <c r="F3145" t="s"/>
      <c r="G3145" t="s"/>
      <c r="H3145" t="s"/>
      <c r="I3145" t="s"/>
      <c r="J3145" t="n">
        <v>0</v>
      </c>
      <c r="K3145" t="n">
        <v>0</v>
      </c>
      <c r="L3145" t="n">
        <v>1</v>
      </c>
      <c r="M3145" t="n">
        <v>0</v>
      </c>
    </row>
    <row r="3146" spans="1:13">
      <c r="A3146" s="1">
        <f>HYPERLINK("http://www.twitter.com/NathanBLawrence/status/988175384402264064", "988175384402264064")</f>
        <v/>
      </c>
      <c r="B3146" s="2" t="n">
        <v>43212.91603009259</v>
      </c>
      <c r="C3146" t="n">
        <v>0</v>
      </c>
      <c r="D3146" t="n">
        <v>95</v>
      </c>
      <c r="E3146" t="s">
        <v>3152</v>
      </c>
      <c r="F3146" t="s"/>
      <c r="G3146" t="s"/>
      <c r="H3146" t="s"/>
      <c r="I3146" t="s"/>
      <c r="J3146" t="n">
        <v>0</v>
      </c>
      <c r="K3146" t="n">
        <v>0</v>
      </c>
      <c r="L3146" t="n">
        <v>1</v>
      </c>
      <c r="M3146" t="n">
        <v>0</v>
      </c>
    </row>
    <row r="3147" spans="1:13">
      <c r="A3147" s="1">
        <f>HYPERLINK("http://www.twitter.com/NathanBLawrence/status/988175269205688321", "988175269205688321")</f>
        <v/>
      </c>
      <c r="B3147" s="2" t="n">
        <v>43212.91571759259</v>
      </c>
      <c r="C3147" t="n">
        <v>0</v>
      </c>
      <c r="D3147" t="n">
        <v>9</v>
      </c>
      <c r="E3147" t="s">
        <v>3153</v>
      </c>
      <c r="F3147">
        <f>HYPERLINK("http://pbs.twimg.com/media/Dbav4B8V0AAesCM.jpg", "http://pbs.twimg.com/media/Dbav4B8V0AAesCM.jpg")</f>
        <v/>
      </c>
      <c r="G3147" t="s"/>
      <c r="H3147" t="s"/>
      <c r="I3147" t="s"/>
      <c r="J3147" t="n">
        <v>-0.4767</v>
      </c>
      <c r="K3147" t="n">
        <v>0.154</v>
      </c>
      <c r="L3147" t="n">
        <v>0.846</v>
      </c>
      <c r="M3147" t="n">
        <v>0</v>
      </c>
    </row>
    <row r="3148" spans="1:13">
      <c r="A3148" s="1">
        <f>HYPERLINK("http://www.twitter.com/NathanBLawrence/status/988175181582483456", "988175181582483456")</f>
        <v/>
      </c>
      <c r="B3148" s="2" t="n">
        <v>43212.91547453704</v>
      </c>
      <c r="C3148" t="n">
        <v>6</v>
      </c>
      <c r="D3148" t="n">
        <v>5</v>
      </c>
      <c r="E3148" t="s">
        <v>3154</v>
      </c>
      <c r="F3148" t="s"/>
      <c r="G3148" t="s"/>
      <c r="H3148" t="s"/>
      <c r="I3148" t="s"/>
      <c r="J3148" t="n">
        <v>0.128</v>
      </c>
      <c r="K3148" t="n">
        <v>0.195</v>
      </c>
      <c r="L3148" t="n">
        <v>0.569</v>
      </c>
      <c r="M3148" t="n">
        <v>0.236</v>
      </c>
    </row>
    <row r="3149" spans="1:13">
      <c r="A3149" s="1">
        <f>HYPERLINK("http://www.twitter.com/NathanBLawrence/status/988175015416774658", "988175015416774658")</f>
        <v/>
      </c>
      <c r="B3149" s="2" t="n">
        <v>43212.91501157408</v>
      </c>
      <c r="C3149" t="n">
        <v>7</v>
      </c>
      <c r="D3149" t="n">
        <v>2</v>
      </c>
      <c r="E3149" t="s">
        <v>3155</v>
      </c>
      <c r="F3149" t="s"/>
      <c r="G3149" t="s"/>
      <c r="H3149" t="s"/>
      <c r="I3149" t="s"/>
      <c r="J3149" t="n">
        <v>0.4926</v>
      </c>
      <c r="K3149" t="n">
        <v>0</v>
      </c>
      <c r="L3149" t="n">
        <v>0.653</v>
      </c>
      <c r="M3149" t="n">
        <v>0.347</v>
      </c>
    </row>
    <row r="3150" spans="1:13">
      <c r="A3150" s="1">
        <f>HYPERLINK("http://www.twitter.com/NathanBLawrence/status/988174888169979904", "988174888169979904")</f>
        <v/>
      </c>
      <c r="B3150" s="2" t="n">
        <v>43212.91466435185</v>
      </c>
      <c r="C3150" t="n">
        <v>20</v>
      </c>
      <c r="D3150" t="n">
        <v>8</v>
      </c>
      <c r="E3150" t="s">
        <v>3156</v>
      </c>
      <c r="F3150" t="s"/>
      <c r="G3150" t="s"/>
      <c r="H3150" t="s"/>
      <c r="I3150" t="s"/>
      <c r="J3150" t="n">
        <v>0</v>
      </c>
      <c r="K3150" t="n">
        <v>0</v>
      </c>
      <c r="L3150" t="n">
        <v>1</v>
      </c>
      <c r="M3150" t="n">
        <v>0</v>
      </c>
    </row>
    <row r="3151" spans="1:13">
      <c r="A3151" s="1">
        <f>HYPERLINK("http://www.twitter.com/NathanBLawrence/status/988174709085749249", "988174709085749249")</f>
        <v/>
      </c>
      <c r="B3151" s="2" t="n">
        <v>43212.91416666667</v>
      </c>
      <c r="C3151" t="n">
        <v>11</v>
      </c>
      <c r="D3151" t="n">
        <v>5</v>
      </c>
      <c r="E3151" t="s">
        <v>3157</v>
      </c>
      <c r="F3151" t="s"/>
      <c r="G3151" t="s"/>
      <c r="H3151" t="s"/>
      <c r="I3151" t="s"/>
      <c r="J3151" t="n">
        <v>-0.9245</v>
      </c>
      <c r="K3151" t="n">
        <v>0.416</v>
      </c>
      <c r="L3151" t="n">
        <v>0.51</v>
      </c>
      <c r="M3151" t="n">
        <v>0.074</v>
      </c>
    </row>
    <row r="3152" spans="1:13">
      <c r="A3152" s="1">
        <f>HYPERLINK("http://www.twitter.com/NathanBLawrence/status/988174542785757184", "988174542785757184")</f>
        <v/>
      </c>
      <c r="B3152" s="2" t="n">
        <v>43212.91371527778</v>
      </c>
      <c r="C3152" t="n">
        <v>0</v>
      </c>
      <c r="D3152" t="n">
        <v>2983</v>
      </c>
      <c r="E3152" t="s">
        <v>3158</v>
      </c>
      <c r="F3152" t="s"/>
      <c r="G3152" t="s"/>
      <c r="H3152" t="s"/>
      <c r="I3152" t="s"/>
      <c r="J3152" t="n">
        <v>0</v>
      </c>
      <c r="K3152" t="n">
        <v>0</v>
      </c>
      <c r="L3152" t="n">
        <v>1</v>
      </c>
      <c r="M3152" t="n">
        <v>0</v>
      </c>
    </row>
    <row r="3153" spans="1:13">
      <c r="A3153" s="1">
        <f>HYPERLINK("http://www.twitter.com/NathanBLawrence/status/987933267943817217", "987933267943817217")</f>
        <v/>
      </c>
      <c r="B3153" s="2" t="n">
        <v>43212.24791666667</v>
      </c>
      <c r="C3153" t="n">
        <v>0</v>
      </c>
      <c r="D3153" t="n">
        <v>7077</v>
      </c>
      <c r="E3153" t="s">
        <v>3159</v>
      </c>
      <c r="F3153" t="s"/>
      <c r="G3153" t="s"/>
      <c r="H3153" t="s"/>
      <c r="I3153" t="s"/>
      <c r="J3153" t="n">
        <v>0.6705</v>
      </c>
      <c r="K3153" t="n">
        <v>0</v>
      </c>
      <c r="L3153" t="n">
        <v>0.83</v>
      </c>
      <c r="M3153" t="n">
        <v>0.17</v>
      </c>
    </row>
    <row r="3154" spans="1:13">
      <c r="A3154" s="1">
        <f>HYPERLINK("http://www.twitter.com/NathanBLawrence/status/987933108853866497", "987933108853866497")</f>
        <v/>
      </c>
      <c r="B3154" s="2" t="n">
        <v>43212.24747685185</v>
      </c>
      <c r="C3154" t="n">
        <v>0</v>
      </c>
      <c r="D3154" t="n">
        <v>145</v>
      </c>
      <c r="E3154" t="s">
        <v>3160</v>
      </c>
      <c r="F3154">
        <f>HYPERLINK("http://pbs.twimg.com/media/DbGVnluXcAAi-ds.jpg", "http://pbs.twimg.com/media/DbGVnluXcAAi-ds.jpg")</f>
        <v/>
      </c>
      <c r="G3154" t="s"/>
      <c r="H3154" t="s"/>
      <c r="I3154" t="s"/>
      <c r="J3154" t="n">
        <v>0</v>
      </c>
      <c r="K3154" t="n">
        <v>0</v>
      </c>
      <c r="L3154" t="n">
        <v>1</v>
      </c>
      <c r="M3154" t="n">
        <v>0</v>
      </c>
    </row>
    <row r="3155" spans="1:13">
      <c r="A3155" s="1">
        <f>HYPERLINK("http://www.twitter.com/NathanBLawrence/status/987933029824806912", "987933029824806912")</f>
        <v/>
      </c>
      <c r="B3155" s="2" t="n">
        <v>43212.24725694444</v>
      </c>
      <c r="C3155" t="n">
        <v>0</v>
      </c>
      <c r="D3155" t="n">
        <v>658</v>
      </c>
      <c r="E3155" t="s">
        <v>3161</v>
      </c>
      <c r="F3155">
        <f>HYPERLINK("http://pbs.twimg.com/media/DbQ03FOXcAIyO6M.jpg", "http://pbs.twimg.com/media/DbQ03FOXcAIyO6M.jpg")</f>
        <v/>
      </c>
      <c r="G3155" t="s"/>
      <c r="H3155" t="s"/>
      <c r="I3155" t="s"/>
      <c r="J3155" t="n">
        <v>-0.3818</v>
      </c>
      <c r="K3155" t="n">
        <v>0.115</v>
      </c>
      <c r="L3155" t="n">
        <v>0.885</v>
      </c>
      <c r="M3155" t="n">
        <v>0</v>
      </c>
    </row>
    <row r="3156" spans="1:13">
      <c r="A3156" s="1">
        <f>HYPERLINK("http://www.twitter.com/NathanBLawrence/status/987929513781673985", "987929513781673985")</f>
        <v/>
      </c>
      <c r="B3156" s="2" t="n">
        <v>43212.23755787037</v>
      </c>
      <c r="C3156" t="n">
        <v>25</v>
      </c>
      <c r="D3156" t="n">
        <v>21</v>
      </c>
      <c r="E3156" t="s">
        <v>3162</v>
      </c>
      <c r="F3156" t="s"/>
      <c r="G3156" t="s"/>
      <c r="H3156" t="s"/>
      <c r="I3156" t="s"/>
      <c r="J3156" t="n">
        <v>-0.4184</v>
      </c>
      <c r="K3156" t="n">
        <v>0.112</v>
      </c>
      <c r="L3156" t="n">
        <v>0.821</v>
      </c>
      <c r="M3156" t="n">
        <v>0.067</v>
      </c>
    </row>
    <row r="3157" spans="1:13">
      <c r="A3157" s="1">
        <f>HYPERLINK("http://www.twitter.com/NathanBLawrence/status/987927941479776256", "987927941479776256")</f>
        <v/>
      </c>
      <c r="B3157" s="2" t="n">
        <v>43212.23321759259</v>
      </c>
      <c r="C3157" t="n">
        <v>16</v>
      </c>
      <c r="D3157" t="n">
        <v>8</v>
      </c>
      <c r="E3157" t="s">
        <v>3163</v>
      </c>
      <c r="F3157" t="s"/>
      <c r="G3157" t="s"/>
      <c r="H3157" t="s"/>
      <c r="I3157" t="s"/>
      <c r="J3157" t="n">
        <v>0.6341</v>
      </c>
      <c r="K3157" t="n">
        <v>0.065</v>
      </c>
      <c r="L3157" t="n">
        <v>0.787</v>
      </c>
      <c r="M3157" t="n">
        <v>0.149</v>
      </c>
    </row>
    <row r="3158" spans="1:13">
      <c r="A3158" s="1">
        <f>HYPERLINK("http://www.twitter.com/NathanBLawrence/status/987927464650334208", "987927464650334208")</f>
        <v/>
      </c>
      <c r="B3158" s="2" t="n">
        <v>43212.23190972222</v>
      </c>
      <c r="C3158" t="n">
        <v>0</v>
      </c>
      <c r="D3158" t="n">
        <v>427</v>
      </c>
      <c r="E3158" t="s">
        <v>3164</v>
      </c>
      <c r="F3158">
        <f>HYPERLINK("http://pbs.twimg.com/media/DbUH4-yWkAEvC5S.jpg", "http://pbs.twimg.com/media/DbUH4-yWkAEvC5S.jpg")</f>
        <v/>
      </c>
      <c r="G3158">
        <f>HYPERLINK("http://pbs.twimg.com/media/DbUH8_oWsAEhVjT.jpg", "http://pbs.twimg.com/media/DbUH8_oWsAEhVjT.jpg")</f>
        <v/>
      </c>
      <c r="H3158" t="s"/>
      <c r="I3158" t="s"/>
      <c r="J3158" t="n">
        <v>0</v>
      </c>
      <c r="K3158" t="n">
        <v>0</v>
      </c>
      <c r="L3158" t="n">
        <v>1</v>
      </c>
      <c r="M3158" t="n">
        <v>0</v>
      </c>
    </row>
    <row r="3159" spans="1:13">
      <c r="A3159" s="1">
        <f>HYPERLINK("http://www.twitter.com/NathanBLawrence/status/987927340687618048", "987927340687618048")</f>
        <v/>
      </c>
      <c r="B3159" s="2" t="n">
        <v>43212.2315625</v>
      </c>
      <c r="C3159" t="n">
        <v>0</v>
      </c>
      <c r="D3159" t="n">
        <v>20735</v>
      </c>
      <c r="E3159" t="s">
        <v>3165</v>
      </c>
      <c r="F3159" t="s"/>
      <c r="G3159" t="s"/>
      <c r="H3159" t="s"/>
      <c r="I3159" t="s"/>
      <c r="J3159" t="n">
        <v>-0.4753</v>
      </c>
      <c r="K3159" t="n">
        <v>0.14</v>
      </c>
      <c r="L3159" t="n">
        <v>0.86</v>
      </c>
      <c r="M3159" t="n">
        <v>0</v>
      </c>
    </row>
    <row r="3160" spans="1:13">
      <c r="A3160" s="1">
        <f>HYPERLINK("http://www.twitter.com/NathanBLawrence/status/987927064735973376", "987927064735973376")</f>
        <v/>
      </c>
      <c r="B3160" s="2" t="n">
        <v>43212.23079861111</v>
      </c>
      <c r="C3160" t="n">
        <v>0</v>
      </c>
      <c r="D3160" t="n">
        <v>564</v>
      </c>
      <c r="E3160" t="s">
        <v>3166</v>
      </c>
      <c r="F3160" t="s"/>
      <c r="G3160" t="s"/>
      <c r="H3160" t="s"/>
      <c r="I3160" t="s"/>
      <c r="J3160" t="n">
        <v>-0.2263</v>
      </c>
      <c r="K3160" t="n">
        <v>0.091</v>
      </c>
      <c r="L3160" t="n">
        <v>0.909</v>
      </c>
      <c r="M3160" t="n">
        <v>0</v>
      </c>
    </row>
    <row r="3161" spans="1:13">
      <c r="A3161" s="1">
        <f>HYPERLINK("http://www.twitter.com/NathanBLawrence/status/987926996456910848", "987926996456910848")</f>
        <v/>
      </c>
      <c r="B3161" s="2" t="n">
        <v>43212.23061342593</v>
      </c>
      <c r="C3161" t="n">
        <v>0</v>
      </c>
      <c r="D3161" t="n">
        <v>5207</v>
      </c>
      <c r="E3161" t="s">
        <v>3167</v>
      </c>
      <c r="F3161">
        <f>HYPERLINK("http://pbs.twimg.com/media/DbWGNe6WkAAbrAL.jpg", "http://pbs.twimg.com/media/DbWGNe6WkAAbrAL.jpg")</f>
        <v/>
      </c>
      <c r="G3161" t="s"/>
      <c r="H3161" t="s"/>
      <c r="I3161" t="s"/>
      <c r="J3161" t="n">
        <v>-0.2263</v>
      </c>
      <c r="K3161" t="n">
        <v>0.08699999999999999</v>
      </c>
      <c r="L3161" t="n">
        <v>0.913</v>
      </c>
      <c r="M3161" t="n">
        <v>0</v>
      </c>
    </row>
    <row r="3162" spans="1:13">
      <c r="A3162" s="1">
        <f>HYPERLINK("http://www.twitter.com/NathanBLawrence/status/987926892589150208", "987926892589150208")</f>
        <v/>
      </c>
      <c r="B3162" s="2" t="n">
        <v>43212.23032407407</v>
      </c>
      <c r="C3162" t="n">
        <v>0</v>
      </c>
      <c r="D3162" t="n">
        <v>407</v>
      </c>
      <c r="E3162" t="s">
        <v>3168</v>
      </c>
      <c r="F3162">
        <f>HYPERLINK("https://video.twimg.com/amplify_video/987709889370828800/vid/1280x720/2iGbvhatFwcYBvXk.mp4?tag=2", "https://video.twimg.com/amplify_video/987709889370828800/vid/1280x720/2iGbvhatFwcYBvXk.mp4?tag=2")</f>
        <v/>
      </c>
      <c r="G3162" t="s"/>
      <c r="H3162" t="s"/>
      <c r="I3162" t="s"/>
      <c r="J3162" t="n">
        <v>-0.6801</v>
      </c>
      <c r="K3162" t="n">
        <v>0.305</v>
      </c>
      <c r="L3162" t="n">
        <v>0.695</v>
      </c>
      <c r="M3162" t="n">
        <v>0</v>
      </c>
    </row>
    <row r="3163" spans="1:13">
      <c r="A3163" s="1">
        <f>HYPERLINK("http://www.twitter.com/NathanBLawrence/status/987926816009609217", "987926816009609217")</f>
        <v/>
      </c>
      <c r="B3163" s="2" t="n">
        <v>43212.23011574074</v>
      </c>
      <c r="C3163" t="n">
        <v>0</v>
      </c>
      <c r="D3163" t="n">
        <v>7380</v>
      </c>
      <c r="E3163" t="s">
        <v>3169</v>
      </c>
      <c r="F3163" t="s"/>
      <c r="G3163" t="s"/>
      <c r="H3163" t="s"/>
      <c r="I3163" t="s"/>
      <c r="J3163" t="n">
        <v>-0.2244</v>
      </c>
      <c r="K3163" t="n">
        <v>0.182</v>
      </c>
      <c r="L3163" t="n">
        <v>0.702</v>
      </c>
      <c r="M3163" t="n">
        <v>0.116</v>
      </c>
    </row>
    <row r="3164" spans="1:13">
      <c r="A3164" s="1">
        <f>HYPERLINK("http://www.twitter.com/NathanBLawrence/status/987926725299351553", "987926725299351553")</f>
        <v/>
      </c>
      <c r="B3164" s="2" t="n">
        <v>43212.22986111111</v>
      </c>
      <c r="C3164" t="n">
        <v>5</v>
      </c>
      <c r="D3164" t="n">
        <v>6</v>
      </c>
      <c r="E3164" t="s">
        <v>3170</v>
      </c>
      <c r="F3164" t="s"/>
      <c r="G3164" t="s"/>
      <c r="H3164" t="s"/>
      <c r="I3164" t="s"/>
      <c r="J3164" t="n">
        <v>-0.6166</v>
      </c>
      <c r="K3164" t="n">
        <v>0.287</v>
      </c>
      <c r="L3164" t="n">
        <v>0.713</v>
      </c>
      <c r="M3164" t="n">
        <v>0</v>
      </c>
    </row>
    <row r="3165" spans="1:13">
      <c r="A3165" s="1">
        <f>HYPERLINK("http://www.twitter.com/NathanBLawrence/status/987926234788052992", "987926234788052992")</f>
        <v/>
      </c>
      <c r="B3165" s="2" t="n">
        <v>43212.22850694445</v>
      </c>
      <c r="C3165" t="n">
        <v>3</v>
      </c>
      <c r="D3165" t="n">
        <v>1</v>
      </c>
      <c r="E3165" t="s">
        <v>3171</v>
      </c>
      <c r="F3165" t="s"/>
      <c r="G3165" t="s"/>
      <c r="H3165" t="s"/>
      <c r="I3165" t="s"/>
      <c r="J3165" t="n">
        <v>0.3612</v>
      </c>
      <c r="K3165" t="n">
        <v>0.057</v>
      </c>
      <c r="L3165" t="n">
        <v>0.8129999999999999</v>
      </c>
      <c r="M3165" t="n">
        <v>0.129</v>
      </c>
    </row>
    <row r="3166" spans="1:13">
      <c r="A3166" s="1">
        <f>HYPERLINK("http://www.twitter.com/NathanBLawrence/status/987925888866992128", "987925888866992128")</f>
        <v/>
      </c>
      <c r="B3166" s="2" t="n">
        <v>43212.22755787037</v>
      </c>
      <c r="C3166" t="n">
        <v>3</v>
      </c>
      <c r="D3166" t="n">
        <v>3</v>
      </c>
      <c r="E3166" t="s">
        <v>3172</v>
      </c>
      <c r="F3166" t="s"/>
      <c r="G3166" t="s"/>
      <c r="H3166" t="s"/>
      <c r="I3166" t="s"/>
      <c r="J3166" t="n">
        <v>0.128</v>
      </c>
      <c r="K3166" t="n">
        <v>0.178</v>
      </c>
      <c r="L3166" t="n">
        <v>0.613</v>
      </c>
      <c r="M3166" t="n">
        <v>0.209</v>
      </c>
    </row>
    <row r="3167" spans="1:13">
      <c r="A3167" s="1">
        <f>HYPERLINK("http://www.twitter.com/NathanBLawrence/status/987925759116259329", "987925759116259329")</f>
        <v/>
      </c>
      <c r="B3167" s="2" t="n">
        <v>43212.22719907408</v>
      </c>
      <c r="C3167" t="n">
        <v>15</v>
      </c>
      <c r="D3167" t="n">
        <v>9</v>
      </c>
      <c r="E3167" t="s">
        <v>3173</v>
      </c>
      <c r="F3167" t="s"/>
      <c r="G3167" t="s"/>
      <c r="H3167" t="s"/>
      <c r="I3167" t="s"/>
      <c r="J3167" t="n">
        <v>0.34</v>
      </c>
      <c r="K3167" t="n">
        <v>0</v>
      </c>
      <c r="L3167" t="n">
        <v>0.844</v>
      </c>
      <c r="M3167" t="n">
        <v>0.156</v>
      </c>
    </row>
    <row r="3168" spans="1:13">
      <c r="A3168" s="1">
        <f>HYPERLINK("http://www.twitter.com/NathanBLawrence/status/987925603511820289", "987925603511820289")</f>
        <v/>
      </c>
      <c r="B3168" s="2" t="n">
        <v>43212.22677083333</v>
      </c>
      <c r="C3168" t="n">
        <v>7</v>
      </c>
      <c r="D3168" t="n">
        <v>4</v>
      </c>
      <c r="E3168" t="s">
        <v>3174</v>
      </c>
      <c r="F3168" t="s"/>
      <c r="G3168" t="s"/>
      <c r="H3168" t="s"/>
      <c r="I3168" t="s"/>
      <c r="J3168" t="n">
        <v>-0.296</v>
      </c>
      <c r="K3168" t="n">
        <v>0.214</v>
      </c>
      <c r="L3168" t="n">
        <v>0.649</v>
      </c>
      <c r="M3168" t="n">
        <v>0.136</v>
      </c>
    </row>
    <row r="3169" spans="1:13">
      <c r="A3169" s="1">
        <f>HYPERLINK("http://www.twitter.com/NathanBLawrence/status/987925313282699264", "987925313282699264")</f>
        <v/>
      </c>
      <c r="B3169" s="2" t="n">
        <v>43212.22597222222</v>
      </c>
      <c r="C3169" t="n">
        <v>20</v>
      </c>
      <c r="D3169" t="n">
        <v>6</v>
      </c>
      <c r="E3169" t="s">
        <v>3175</v>
      </c>
      <c r="F3169" t="s"/>
      <c r="G3169" t="s"/>
      <c r="H3169" t="s"/>
      <c r="I3169" t="s"/>
      <c r="J3169" t="n">
        <v>0.7964</v>
      </c>
      <c r="K3169" t="n">
        <v>0</v>
      </c>
      <c r="L3169" t="n">
        <v>0.679</v>
      </c>
      <c r="M3169" t="n">
        <v>0.321</v>
      </c>
    </row>
    <row r="3170" spans="1:13">
      <c r="A3170" s="1">
        <f>HYPERLINK("http://www.twitter.com/NathanBLawrence/status/987924854262325248", "987924854262325248")</f>
        <v/>
      </c>
      <c r="B3170" s="2" t="n">
        <v>43212.22469907408</v>
      </c>
      <c r="C3170" t="n">
        <v>4</v>
      </c>
      <c r="D3170" t="n">
        <v>3</v>
      </c>
      <c r="E3170" t="s">
        <v>3176</v>
      </c>
      <c r="F3170" t="s"/>
      <c r="G3170" t="s"/>
      <c r="H3170" t="s"/>
      <c r="I3170" t="s"/>
      <c r="J3170" t="n">
        <v>-0.1531</v>
      </c>
      <c r="K3170" t="n">
        <v>0.237</v>
      </c>
      <c r="L3170" t="n">
        <v>0.547</v>
      </c>
      <c r="M3170" t="n">
        <v>0.215</v>
      </c>
    </row>
    <row r="3171" spans="1:13">
      <c r="A3171" s="1">
        <f>HYPERLINK("http://www.twitter.com/NathanBLawrence/status/987924550468812800", "987924550468812800")</f>
        <v/>
      </c>
      <c r="B3171" s="2" t="n">
        <v>43212.22386574074</v>
      </c>
      <c r="C3171" t="n">
        <v>16</v>
      </c>
      <c r="D3171" t="n">
        <v>8</v>
      </c>
      <c r="E3171" t="s">
        <v>3177</v>
      </c>
      <c r="F3171" t="s"/>
      <c r="G3171" t="s"/>
      <c r="H3171" t="s"/>
      <c r="I3171" t="s"/>
      <c r="J3171" t="n">
        <v>-0.8611</v>
      </c>
      <c r="K3171" t="n">
        <v>0.294</v>
      </c>
      <c r="L3171" t="n">
        <v>0.706</v>
      </c>
      <c r="M3171" t="n">
        <v>0</v>
      </c>
    </row>
    <row r="3172" spans="1:13">
      <c r="A3172" s="1">
        <f>HYPERLINK("http://www.twitter.com/NathanBLawrence/status/987924301830488065", "987924301830488065")</f>
        <v/>
      </c>
      <c r="B3172" s="2" t="n">
        <v>43212.2231712963</v>
      </c>
      <c r="C3172" t="n">
        <v>12</v>
      </c>
      <c r="D3172" t="n">
        <v>6</v>
      </c>
      <c r="E3172" t="s">
        <v>3178</v>
      </c>
      <c r="F3172" t="s"/>
      <c r="G3172" t="s"/>
      <c r="H3172" t="s"/>
      <c r="I3172" t="s"/>
      <c r="J3172" t="n">
        <v>0.4588</v>
      </c>
      <c r="K3172" t="n">
        <v>0.131</v>
      </c>
      <c r="L3172" t="n">
        <v>0.656</v>
      </c>
      <c r="M3172" t="n">
        <v>0.213</v>
      </c>
    </row>
    <row r="3173" spans="1:13">
      <c r="A3173" s="1">
        <f>HYPERLINK("http://www.twitter.com/NathanBLawrence/status/987923206496374785", "987923206496374785")</f>
        <v/>
      </c>
      <c r="B3173" s="2" t="n">
        <v>43212.22015046296</v>
      </c>
      <c r="C3173" t="n">
        <v>12</v>
      </c>
      <c r="D3173" t="n">
        <v>10</v>
      </c>
      <c r="E3173" t="s">
        <v>3179</v>
      </c>
      <c r="F3173" t="s"/>
      <c r="G3173" t="s"/>
      <c r="H3173" t="s"/>
      <c r="I3173" t="s"/>
      <c r="J3173" t="n">
        <v>0.4389</v>
      </c>
      <c r="K3173" t="n">
        <v>0</v>
      </c>
      <c r="L3173" t="n">
        <v>0.776</v>
      </c>
      <c r="M3173" t="n">
        <v>0.224</v>
      </c>
    </row>
    <row r="3174" spans="1:13">
      <c r="A3174" s="1">
        <f>HYPERLINK("http://www.twitter.com/NathanBLawrence/status/987922815763464192", "987922815763464192")</f>
        <v/>
      </c>
      <c r="B3174" s="2" t="n">
        <v>43212.21907407408</v>
      </c>
      <c r="C3174" t="n">
        <v>11</v>
      </c>
      <c r="D3174" t="n">
        <v>3</v>
      </c>
      <c r="E3174" t="s">
        <v>3180</v>
      </c>
      <c r="F3174" t="s"/>
      <c r="G3174" t="s"/>
      <c r="H3174" t="s"/>
      <c r="I3174" t="s"/>
      <c r="J3174" t="n">
        <v>0.5574</v>
      </c>
      <c r="K3174" t="n">
        <v>0</v>
      </c>
      <c r="L3174" t="n">
        <v>0.897</v>
      </c>
      <c r="M3174" t="n">
        <v>0.103</v>
      </c>
    </row>
    <row r="3175" spans="1:13">
      <c r="A3175" s="1">
        <f>HYPERLINK("http://www.twitter.com/NathanBLawrence/status/987922224706347009", "987922224706347009")</f>
        <v/>
      </c>
      <c r="B3175" s="2" t="n">
        <v>43212.21744212963</v>
      </c>
      <c r="C3175" t="n">
        <v>10</v>
      </c>
      <c r="D3175" t="n">
        <v>2</v>
      </c>
      <c r="E3175" t="s">
        <v>3181</v>
      </c>
      <c r="F3175" t="s"/>
      <c r="G3175" t="s"/>
      <c r="H3175" t="s"/>
      <c r="I3175" t="s"/>
      <c r="J3175" t="n">
        <v>-0.867</v>
      </c>
      <c r="K3175" t="n">
        <v>0.323</v>
      </c>
      <c r="L3175" t="n">
        <v>0.603</v>
      </c>
      <c r="M3175" t="n">
        <v>0.074</v>
      </c>
    </row>
    <row r="3176" spans="1:13">
      <c r="A3176" s="1">
        <f>HYPERLINK("http://www.twitter.com/NathanBLawrence/status/987921448231583744", "987921448231583744")</f>
        <v/>
      </c>
      <c r="B3176" s="2" t="n">
        <v>43212.21530092593</v>
      </c>
      <c r="C3176" t="n">
        <v>0</v>
      </c>
      <c r="D3176" t="n">
        <v>13166</v>
      </c>
      <c r="E3176" t="s">
        <v>3182</v>
      </c>
      <c r="F3176" t="s"/>
      <c r="G3176" t="s"/>
      <c r="H3176" t="s"/>
      <c r="I3176" t="s"/>
      <c r="J3176" t="n">
        <v>0.5974</v>
      </c>
      <c r="K3176" t="n">
        <v>0</v>
      </c>
      <c r="L3176" t="n">
        <v>0.805</v>
      </c>
      <c r="M3176" t="n">
        <v>0.195</v>
      </c>
    </row>
    <row r="3177" spans="1:13">
      <c r="A3177" s="1">
        <f>HYPERLINK("http://www.twitter.com/NathanBLawrence/status/987921031586242560", "987921031586242560")</f>
        <v/>
      </c>
      <c r="B3177" s="2" t="n">
        <v>43212.2141550926</v>
      </c>
      <c r="C3177" t="n">
        <v>7</v>
      </c>
      <c r="D3177" t="n">
        <v>4</v>
      </c>
      <c r="E3177" t="s">
        <v>3183</v>
      </c>
      <c r="F3177" t="s"/>
      <c r="G3177" t="s"/>
      <c r="H3177" t="s"/>
      <c r="I3177" t="s"/>
      <c r="J3177" t="n">
        <v>-0.2924</v>
      </c>
      <c r="K3177" t="n">
        <v>0.47</v>
      </c>
      <c r="L3177" t="n">
        <v>0.221</v>
      </c>
      <c r="M3177" t="n">
        <v>0.309</v>
      </c>
    </row>
    <row r="3178" spans="1:13">
      <c r="A3178" s="1">
        <f>HYPERLINK("http://www.twitter.com/NathanBLawrence/status/987920954129989632", "987920954129989632")</f>
        <v/>
      </c>
      <c r="B3178" s="2" t="n">
        <v>43212.21393518519</v>
      </c>
      <c r="C3178" t="n">
        <v>6</v>
      </c>
      <c r="D3178" t="n">
        <v>6</v>
      </c>
      <c r="E3178" t="s">
        <v>3184</v>
      </c>
      <c r="F3178" t="s"/>
      <c r="G3178" t="s"/>
      <c r="H3178" t="s"/>
      <c r="I3178" t="s"/>
      <c r="J3178" t="n">
        <v>0.34</v>
      </c>
      <c r="K3178" t="n">
        <v>0</v>
      </c>
      <c r="L3178" t="n">
        <v>0.9320000000000001</v>
      </c>
      <c r="M3178" t="n">
        <v>0.068</v>
      </c>
    </row>
    <row r="3179" spans="1:13">
      <c r="A3179" s="1">
        <f>HYPERLINK("http://www.twitter.com/NathanBLawrence/status/987920747006836741", "987920747006836741")</f>
        <v/>
      </c>
      <c r="B3179" s="2" t="n">
        <v>43212.21336805556</v>
      </c>
      <c r="C3179" t="n">
        <v>11</v>
      </c>
      <c r="D3179" t="n">
        <v>4</v>
      </c>
      <c r="E3179" t="s">
        <v>3185</v>
      </c>
      <c r="F3179" t="s"/>
      <c r="G3179" t="s"/>
      <c r="H3179" t="s"/>
      <c r="I3179" t="s"/>
      <c r="J3179" t="n">
        <v>0</v>
      </c>
      <c r="K3179" t="n">
        <v>0</v>
      </c>
      <c r="L3179" t="n">
        <v>1</v>
      </c>
      <c r="M3179" t="n">
        <v>0</v>
      </c>
    </row>
    <row r="3180" spans="1:13">
      <c r="A3180" s="1">
        <f>HYPERLINK("http://www.twitter.com/NathanBLawrence/status/987920546313551872", "987920546313551872")</f>
        <v/>
      </c>
      <c r="B3180" s="2" t="n">
        <v>43212.2128125</v>
      </c>
      <c r="C3180" t="n">
        <v>0</v>
      </c>
      <c r="D3180" t="n">
        <v>1464</v>
      </c>
      <c r="E3180" t="s">
        <v>3186</v>
      </c>
      <c r="F3180" t="s"/>
      <c r="G3180" t="s"/>
      <c r="H3180" t="s"/>
      <c r="I3180" t="s"/>
      <c r="J3180" t="n">
        <v>0.5848</v>
      </c>
      <c r="K3180" t="n">
        <v>0.078</v>
      </c>
      <c r="L3180" t="n">
        <v>0.709</v>
      </c>
      <c r="M3180" t="n">
        <v>0.213</v>
      </c>
    </row>
    <row r="3181" spans="1:13">
      <c r="A3181" s="1">
        <f>HYPERLINK("http://www.twitter.com/NathanBLawrence/status/987920213281665025", "987920213281665025")</f>
        <v/>
      </c>
      <c r="B3181" s="2" t="n">
        <v>43212.21189814815</v>
      </c>
      <c r="C3181" t="n">
        <v>6</v>
      </c>
      <c r="D3181" t="n">
        <v>1</v>
      </c>
      <c r="E3181" t="s">
        <v>3187</v>
      </c>
      <c r="F3181" t="s"/>
      <c r="G3181" t="s"/>
      <c r="H3181" t="s"/>
      <c r="I3181" t="s"/>
      <c r="J3181" t="n">
        <v>-0.8197</v>
      </c>
      <c r="K3181" t="n">
        <v>0.344</v>
      </c>
      <c r="L3181" t="n">
        <v>0.5620000000000001</v>
      </c>
      <c r="M3181" t="n">
        <v>0.094</v>
      </c>
    </row>
    <row r="3182" spans="1:13">
      <c r="A3182" s="1">
        <f>HYPERLINK("http://www.twitter.com/NathanBLawrence/status/987861809171333120", "987861809171333120")</f>
        <v/>
      </c>
      <c r="B3182" s="2" t="n">
        <v>43212.05072916667</v>
      </c>
      <c r="C3182" t="n">
        <v>10</v>
      </c>
      <c r="D3182" t="n">
        <v>3</v>
      </c>
      <c r="E3182" t="s">
        <v>3188</v>
      </c>
      <c r="F3182" t="s"/>
      <c r="G3182" t="s"/>
      <c r="H3182" t="s"/>
      <c r="I3182" t="s"/>
      <c r="J3182" t="n">
        <v>-0.7351</v>
      </c>
      <c r="K3182" t="n">
        <v>0.246</v>
      </c>
      <c r="L3182" t="n">
        <v>0.754</v>
      </c>
      <c r="M3182" t="n">
        <v>0</v>
      </c>
    </row>
    <row r="3183" spans="1:13">
      <c r="A3183" s="1">
        <f>HYPERLINK("http://www.twitter.com/NathanBLawrence/status/987861467679539200", "987861467679539200")</f>
        <v/>
      </c>
      <c r="B3183" s="2" t="n">
        <v>43212.04979166666</v>
      </c>
      <c r="C3183" t="n">
        <v>6</v>
      </c>
      <c r="D3183" t="n">
        <v>2</v>
      </c>
      <c r="E3183" t="s">
        <v>3189</v>
      </c>
      <c r="F3183" t="s"/>
      <c r="G3183" t="s"/>
      <c r="H3183" t="s"/>
      <c r="I3183" t="s"/>
      <c r="J3183" t="n">
        <v>-0.4824</v>
      </c>
      <c r="K3183" t="n">
        <v>0.207</v>
      </c>
      <c r="L3183" t="n">
        <v>0.793</v>
      </c>
      <c r="M3183" t="n">
        <v>0</v>
      </c>
    </row>
    <row r="3184" spans="1:13">
      <c r="A3184" s="1">
        <f>HYPERLINK("http://www.twitter.com/NathanBLawrence/status/987860837317529600", "987860837317529600")</f>
        <v/>
      </c>
      <c r="B3184" s="2" t="n">
        <v>43212.04804398148</v>
      </c>
      <c r="C3184" t="n">
        <v>6</v>
      </c>
      <c r="D3184" t="n">
        <v>6</v>
      </c>
      <c r="E3184" t="s">
        <v>3190</v>
      </c>
      <c r="F3184" t="s"/>
      <c r="G3184" t="s"/>
      <c r="H3184" t="s"/>
      <c r="I3184" t="s"/>
      <c r="J3184" t="n">
        <v>-0.8401999999999999</v>
      </c>
      <c r="K3184" t="n">
        <v>0.333</v>
      </c>
      <c r="L3184" t="n">
        <v>0.667</v>
      </c>
      <c r="M3184" t="n">
        <v>0</v>
      </c>
    </row>
    <row r="3185" spans="1:13">
      <c r="A3185" s="1">
        <f>HYPERLINK("http://www.twitter.com/NathanBLawrence/status/987860606408511490", "987860606408511490")</f>
        <v/>
      </c>
      <c r="B3185" s="2" t="n">
        <v>43212.04740740741</v>
      </c>
      <c r="C3185" t="n">
        <v>5</v>
      </c>
      <c r="D3185" t="n">
        <v>1</v>
      </c>
      <c r="E3185" t="s">
        <v>3191</v>
      </c>
      <c r="F3185" t="s"/>
      <c r="G3185" t="s"/>
      <c r="H3185" t="s"/>
      <c r="I3185" t="s"/>
      <c r="J3185" t="n">
        <v>-0.5106000000000001</v>
      </c>
      <c r="K3185" t="n">
        <v>0.32</v>
      </c>
      <c r="L3185" t="n">
        <v>0.68</v>
      </c>
      <c r="M3185" t="n">
        <v>0</v>
      </c>
    </row>
    <row r="3186" spans="1:13">
      <c r="A3186" s="1">
        <f>HYPERLINK("http://www.twitter.com/NathanBLawrence/status/987860438430859264", "987860438430859264")</f>
        <v/>
      </c>
      <c r="B3186" s="2" t="n">
        <v>43212.04694444445</v>
      </c>
      <c r="C3186" t="n">
        <v>4</v>
      </c>
      <c r="D3186" t="n">
        <v>4</v>
      </c>
      <c r="E3186" t="s">
        <v>3192</v>
      </c>
      <c r="F3186" t="s"/>
      <c r="G3186" t="s"/>
      <c r="H3186" t="s"/>
      <c r="I3186" t="s"/>
      <c r="J3186" t="n">
        <v>0.128</v>
      </c>
      <c r="K3186" t="n">
        <v>0</v>
      </c>
      <c r="L3186" t="n">
        <v>0.903</v>
      </c>
      <c r="M3186" t="n">
        <v>0.097</v>
      </c>
    </row>
    <row r="3187" spans="1:13">
      <c r="A3187" s="1">
        <f>HYPERLINK("http://www.twitter.com/NathanBLawrence/status/987860311347613696", "987860311347613696")</f>
        <v/>
      </c>
      <c r="B3187" s="2" t="n">
        <v>43212.04659722222</v>
      </c>
      <c r="C3187" t="n">
        <v>4</v>
      </c>
      <c r="D3187" t="n">
        <v>2</v>
      </c>
      <c r="E3187" t="s">
        <v>2981</v>
      </c>
      <c r="F3187" t="s"/>
      <c r="G3187" t="s"/>
      <c r="H3187" t="s"/>
      <c r="I3187" t="s"/>
      <c r="J3187" t="n">
        <v>0</v>
      </c>
      <c r="K3187" t="n">
        <v>0</v>
      </c>
      <c r="L3187" t="n">
        <v>1</v>
      </c>
      <c r="M3187" t="n">
        <v>0</v>
      </c>
    </row>
    <row r="3188" spans="1:13">
      <c r="A3188" s="1">
        <f>HYPERLINK("http://www.twitter.com/NathanBLawrence/status/987860168091123712", "987860168091123712")</f>
        <v/>
      </c>
      <c r="B3188" s="2" t="n">
        <v>43212.04620370371</v>
      </c>
      <c r="C3188" t="n">
        <v>0</v>
      </c>
      <c r="D3188" t="n">
        <v>23272</v>
      </c>
      <c r="E3188" t="s">
        <v>3193</v>
      </c>
      <c r="F3188" t="s"/>
      <c r="G3188" t="s"/>
      <c r="H3188" t="s"/>
      <c r="I3188" t="s"/>
      <c r="J3188" t="n">
        <v>0.6369</v>
      </c>
      <c r="K3188" t="n">
        <v>0</v>
      </c>
      <c r="L3188" t="n">
        <v>0.625</v>
      </c>
      <c r="M3188" t="n">
        <v>0.375</v>
      </c>
    </row>
    <row r="3189" spans="1:13">
      <c r="A3189" s="1">
        <f>HYPERLINK("http://www.twitter.com/NathanBLawrence/status/987860021257027585", "987860021257027585")</f>
        <v/>
      </c>
      <c r="B3189" s="2" t="n">
        <v>43212.04579861111</v>
      </c>
      <c r="C3189" t="n">
        <v>10</v>
      </c>
      <c r="D3189" t="n">
        <v>2</v>
      </c>
      <c r="E3189" t="s">
        <v>3194</v>
      </c>
      <c r="F3189" t="s"/>
      <c r="G3189" t="s"/>
      <c r="H3189" t="s"/>
      <c r="I3189" t="s"/>
      <c r="J3189" t="n">
        <v>0.8028999999999999</v>
      </c>
      <c r="K3189" t="n">
        <v>0</v>
      </c>
      <c r="L3189" t="n">
        <v>0.555</v>
      </c>
      <c r="M3189" t="n">
        <v>0.445</v>
      </c>
    </row>
    <row r="3190" spans="1:13">
      <c r="A3190" s="1">
        <f>HYPERLINK("http://www.twitter.com/NathanBLawrence/status/987859738187649024", "987859738187649024")</f>
        <v/>
      </c>
      <c r="B3190" s="2" t="n">
        <v>43212.04501157408</v>
      </c>
      <c r="C3190" t="n">
        <v>4</v>
      </c>
      <c r="D3190" t="n">
        <v>6</v>
      </c>
      <c r="E3190" t="s">
        <v>3195</v>
      </c>
      <c r="F3190" t="s"/>
      <c r="G3190" t="s"/>
      <c r="H3190" t="s"/>
      <c r="I3190" t="s"/>
      <c r="J3190" t="n">
        <v>-0.6249</v>
      </c>
      <c r="K3190" t="n">
        <v>0.317</v>
      </c>
      <c r="L3190" t="n">
        <v>0.6830000000000001</v>
      </c>
      <c r="M3190" t="n">
        <v>0</v>
      </c>
    </row>
    <row r="3191" spans="1:13">
      <c r="A3191" s="1">
        <f>HYPERLINK("http://www.twitter.com/NathanBLawrence/status/987859618742194176", "987859618742194176")</f>
        <v/>
      </c>
      <c r="B3191" s="2" t="n">
        <v>43212.0446875</v>
      </c>
      <c r="C3191" t="n">
        <v>3</v>
      </c>
      <c r="D3191" t="n">
        <v>2</v>
      </c>
      <c r="E3191" t="s">
        <v>3196</v>
      </c>
      <c r="F3191" t="s"/>
      <c r="G3191" t="s"/>
      <c r="H3191" t="s"/>
      <c r="I3191" t="s"/>
      <c r="J3191" t="n">
        <v>-0.128</v>
      </c>
      <c r="K3191" t="n">
        <v>0.204</v>
      </c>
      <c r="L3191" t="n">
        <v>0.616</v>
      </c>
      <c r="M3191" t="n">
        <v>0.18</v>
      </c>
    </row>
    <row r="3192" spans="1:13">
      <c r="A3192" s="1">
        <f>HYPERLINK("http://www.twitter.com/NathanBLawrence/status/987859484146991104", "987859484146991104")</f>
        <v/>
      </c>
      <c r="B3192" s="2" t="n">
        <v>43212.04431712963</v>
      </c>
      <c r="C3192" t="n">
        <v>13</v>
      </c>
      <c r="D3192" t="n">
        <v>5</v>
      </c>
      <c r="E3192" t="s">
        <v>3197</v>
      </c>
      <c r="F3192" t="s"/>
      <c r="G3192" t="s"/>
      <c r="H3192" t="s"/>
      <c r="I3192" t="s"/>
      <c r="J3192" t="n">
        <v>-0.3678</v>
      </c>
      <c r="K3192" t="n">
        <v>0.143</v>
      </c>
      <c r="L3192" t="n">
        <v>0.6919999999999999</v>
      </c>
      <c r="M3192" t="n">
        <v>0.165</v>
      </c>
    </row>
    <row r="3193" spans="1:13">
      <c r="A3193" s="1">
        <f>HYPERLINK("http://www.twitter.com/NathanBLawrence/status/987859205188009984", "987859205188009984")</f>
        <v/>
      </c>
      <c r="B3193" s="2" t="n">
        <v>43212.04354166667</v>
      </c>
      <c r="C3193" t="n">
        <v>20</v>
      </c>
      <c r="D3193" t="n">
        <v>9</v>
      </c>
      <c r="E3193" t="s">
        <v>3198</v>
      </c>
      <c r="F3193" t="s"/>
      <c r="G3193" t="s"/>
      <c r="H3193" t="s"/>
      <c r="I3193" t="s"/>
      <c r="J3193" t="n">
        <v>-0.9022</v>
      </c>
      <c r="K3193" t="n">
        <v>0.266</v>
      </c>
      <c r="L3193" t="n">
        <v>0.694</v>
      </c>
      <c r="M3193" t="n">
        <v>0.04</v>
      </c>
    </row>
    <row r="3194" spans="1:13">
      <c r="A3194" s="1">
        <f>HYPERLINK("http://www.twitter.com/NathanBLawrence/status/987858888216080384", "987858888216080384")</f>
        <v/>
      </c>
      <c r="B3194" s="2" t="n">
        <v>43212.04267361111</v>
      </c>
      <c r="C3194" t="n">
        <v>3</v>
      </c>
      <c r="D3194" t="n">
        <v>3</v>
      </c>
      <c r="E3194" t="s">
        <v>3199</v>
      </c>
      <c r="F3194" t="s"/>
      <c r="G3194" t="s"/>
      <c r="H3194" t="s"/>
      <c r="I3194" t="s"/>
      <c r="J3194" t="n">
        <v>-0.6705</v>
      </c>
      <c r="K3194" t="n">
        <v>0.297</v>
      </c>
      <c r="L3194" t="n">
        <v>0.703</v>
      </c>
      <c r="M3194" t="n">
        <v>0</v>
      </c>
    </row>
    <row r="3195" spans="1:13">
      <c r="A3195" s="1">
        <f>HYPERLINK("http://www.twitter.com/NathanBLawrence/status/987858455955292160", "987858455955292160")</f>
        <v/>
      </c>
      <c r="B3195" s="2" t="n">
        <v>43212.04148148148</v>
      </c>
      <c r="C3195" t="n">
        <v>3</v>
      </c>
      <c r="D3195" t="n">
        <v>2</v>
      </c>
      <c r="E3195" t="s">
        <v>3200</v>
      </c>
      <c r="F3195" t="s"/>
      <c r="G3195" t="s"/>
      <c r="H3195" t="s"/>
      <c r="I3195" t="s"/>
      <c r="J3195" t="n">
        <v>0.3252</v>
      </c>
      <c r="K3195" t="n">
        <v>0</v>
      </c>
      <c r="L3195" t="n">
        <v>0.837</v>
      </c>
      <c r="M3195" t="n">
        <v>0.163</v>
      </c>
    </row>
    <row r="3196" spans="1:13">
      <c r="A3196" s="1">
        <f>HYPERLINK("http://www.twitter.com/NathanBLawrence/status/987758471842967554", "987758471842967554")</f>
        <v/>
      </c>
      <c r="B3196" s="2" t="n">
        <v>43211.7655787037</v>
      </c>
      <c r="C3196" t="n">
        <v>4</v>
      </c>
      <c r="D3196" t="n">
        <v>0</v>
      </c>
      <c r="E3196" t="s">
        <v>3201</v>
      </c>
      <c r="F3196" t="s"/>
      <c r="G3196" t="s"/>
      <c r="H3196" t="s"/>
      <c r="I3196" t="s"/>
      <c r="J3196" t="n">
        <v>0</v>
      </c>
      <c r="K3196" t="n">
        <v>0</v>
      </c>
      <c r="L3196" t="n">
        <v>1</v>
      </c>
      <c r="M3196" t="n">
        <v>0</v>
      </c>
    </row>
    <row r="3197" spans="1:13">
      <c r="A3197" s="1">
        <f>HYPERLINK("http://www.twitter.com/NathanBLawrence/status/987576942567161856", "987576942567161856")</f>
        <v/>
      </c>
      <c r="B3197" s="2" t="n">
        <v>43211.26465277778</v>
      </c>
      <c r="C3197" t="n">
        <v>9</v>
      </c>
      <c r="D3197" t="n">
        <v>6</v>
      </c>
      <c r="E3197" t="s">
        <v>3202</v>
      </c>
      <c r="F3197" t="s"/>
      <c r="G3197" t="s"/>
      <c r="H3197" t="s"/>
      <c r="I3197" t="s"/>
      <c r="J3197" t="n">
        <v>-0.2484</v>
      </c>
      <c r="K3197" t="n">
        <v>0.102</v>
      </c>
      <c r="L3197" t="n">
        <v>0.824</v>
      </c>
      <c r="M3197" t="n">
        <v>0.074</v>
      </c>
    </row>
    <row r="3198" spans="1:13">
      <c r="A3198" s="1">
        <f>HYPERLINK("http://www.twitter.com/NathanBLawrence/status/987575649345851392", "987575649345851392")</f>
        <v/>
      </c>
      <c r="B3198" s="2" t="n">
        <v>43211.26107638889</v>
      </c>
      <c r="C3198" t="n">
        <v>9</v>
      </c>
      <c r="D3198" t="n">
        <v>2</v>
      </c>
      <c r="E3198" t="s">
        <v>3203</v>
      </c>
      <c r="F3198" t="s"/>
      <c r="G3198" t="s"/>
      <c r="H3198" t="s"/>
      <c r="I3198" t="s"/>
      <c r="J3198" t="n">
        <v>0</v>
      </c>
      <c r="K3198" t="n">
        <v>0</v>
      </c>
      <c r="L3198" t="n">
        <v>1</v>
      </c>
      <c r="M3198" t="n">
        <v>0</v>
      </c>
    </row>
    <row r="3199" spans="1:13">
      <c r="A3199" s="1">
        <f>HYPERLINK("http://www.twitter.com/NathanBLawrence/status/987575559747088384", "987575559747088384")</f>
        <v/>
      </c>
      <c r="B3199" s="2" t="n">
        <v>43211.26083333333</v>
      </c>
      <c r="C3199" t="n">
        <v>0</v>
      </c>
      <c r="D3199" t="n">
        <v>6</v>
      </c>
      <c r="E3199" t="s">
        <v>3204</v>
      </c>
      <c r="F3199" t="s"/>
      <c r="G3199" t="s"/>
      <c r="H3199" t="s"/>
      <c r="I3199" t="s"/>
      <c r="J3199" t="n">
        <v>0</v>
      </c>
      <c r="K3199" t="n">
        <v>0</v>
      </c>
      <c r="L3199" t="n">
        <v>1</v>
      </c>
      <c r="M3199" t="n">
        <v>0</v>
      </c>
    </row>
    <row r="3200" spans="1:13">
      <c r="A3200" s="1">
        <f>HYPERLINK("http://www.twitter.com/NathanBLawrence/status/987575502893281280", "987575502893281280")</f>
        <v/>
      </c>
      <c r="B3200" s="2" t="n">
        <v>43211.2606712963</v>
      </c>
      <c r="C3200" t="n">
        <v>0</v>
      </c>
      <c r="D3200" t="n">
        <v>430</v>
      </c>
      <c r="E3200" t="s">
        <v>3205</v>
      </c>
      <c r="F3200" t="s"/>
      <c r="G3200" t="s"/>
      <c r="H3200" t="s"/>
      <c r="I3200" t="s"/>
      <c r="J3200" t="n">
        <v>-0.5915</v>
      </c>
      <c r="K3200" t="n">
        <v>0.195</v>
      </c>
      <c r="L3200" t="n">
        <v>0.805</v>
      </c>
      <c r="M3200" t="n">
        <v>0</v>
      </c>
    </row>
    <row r="3201" spans="1:13">
      <c r="A3201" s="1">
        <f>HYPERLINK("http://www.twitter.com/NathanBLawrence/status/987575442742722560", "987575442742722560")</f>
        <v/>
      </c>
      <c r="B3201" s="2" t="n">
        <v>43211.26050925926</v>
      </c>
      <c r="C3201" t="n">
        <v>9</v>
      </c>
      <c r="D3201" t="n">
        <v>0</v>
      </c>
      <c r="E3201" t="s">
        <v>3206</v>
      </c>
      <c r="F3201" t="s"/>
      <c r="G3201" t="s"/>
      <c r="H3201" t="s"/>
      <c r="I3201" t="s"/>
      <c r="J3201" t="n">
        <v>0.5326</v>
      </c>
      <c r="K3201" t="n">
        <v>0.035</v>
      </c>
      <c r="L3201" t="n">
        <v>0.855</v>
      </c>
      <c r="M3201" t="n">
        <v>0.11</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